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hreadedComments/threadedComment7.xml" ContentType="application/vnd.ms-excel.threadedcomments+xml"/>
  <Override PartName="/xl/comments12.xml" ContentType="application/vnd.openxmlformats-officedocument.spreadsheetml.comments+xml"/>
  <Override PartName="/xl/threadedComments/threadedComment8.xml" ContentType="application/vnd.ms-excel.threadedcomments+xml"/>
  <Override PartName="/xl/comments13.xml" ContentType="application/vnd.openxmlformats-officedocument.spreadsheetml.comments+xml"/>
  <Override PartName="/xl/threadedComments/threadedComment9.xml" ContentType="application/vnd.ms-excel.threadedcomments+xml"/>
  <Override PartName="/xl/comments14.xml" ContentType="application/vnd.openxmlformats-officedocument.spreadsheetml.comments+xml"/>
  <Override PartName="/xl/threadedComments/threadedComment10.xml" ContentType="application/vnd.ms-excel.threadedcomments+xml"/>
  <Override PartName="/xl/comments15.xml" ContentType="application/vnd.openxmlformats-officedocument.spreadsheetml.comments+xml"/>
  <Override PartName="/xl/comments16.xml" ContentType="application/vnd.openxmlformats-officedocument.spreadsheetml.comments+xml"/>
  <Override PartName="/xl/threadedComments/threadedComment11.xml" ContentType="application/vnd.ms-excel.threadedcomments+xml"/>
  <Override PartName="/xl/comments17.xml" ContentType="application/vnd.openxmlformats-officedocument.spreadsheetml.comments+xml"/>
  <Override PartName="/xl/threadedComments/threadedComment12.xml" ContentType="application/vnd.ms-excel.threadedcomments+xml"/>
  <Override PartName="/xl/comments18.xml" ContentType="application/vnd.openxmlformats-officedocument.spreadsheetml.comments+xml"/>
  <Override PartName="/xl/threadedComments/threadedComment13.xml" ContentType="application/vnd.ms-excel.threadedcomments+xml"/>
  <Override PartName="/xl/comments19.xml" ContentType="application/vnd.openxmlformats-officedocument.spreadsheetml.comments+xml"/>
  <Override PartName="/xl/threadedComments/threadedComment14.xml" ContentType="application/vnd.ms-excel.threadedcomments+xml"/>
  <Override PartName="/xl/comments20.xml" ContentType="application/vnd.openxmlformats-officedocument.spreadsheetml.comments+xml"/>
  <Override PartName="/xl/comments2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eorgiySavchenko\Documents\Pull From SS\"/>
    </mc:Choice>
  </mc:AlternateContent>
  <xr:revisionPtr revIDLastSave="0" documentId="13_ncr:1_{C4F3633B-0E1D-43B9-8C1E-C2D12512512F}" xr6:coauthVersionLast="47" xr6:coauthVersionMax="47" xr10:uidLastSave="{00000000-0000-0000-0000-000000000000}"/>
  <bookViews>
    <workbookView xWindow="-120" yWindow="-120" windowWidth="29040" windowHeight="15720" firstSheet="10" activeTab="10" xr2:uid="{9180B861-9091-4519-B14D-691268BA2621}"/>
  </bookViews>
  <sheets>
    <sheet name="West Burton" sheetId="7" r:id="rId1"/>
    <sheet name="Cottam" sheetId="11" r:id="rId2"/>
    <sheet name="Euston" sheetId="6" r:id="rId3"/>
    <sheet name="Lullington" sheetId="8" r:id="rId4"/>
    <sheet name="Camblesforth" sheetId="9" r:id="rId5"/>
    <sheet name="Brynrhyd" sheetId="10" r:id="rId6"/>
    <sheet name="Hardwick" sheetId="12" r:id="rId7"/>
    <sheet name="Kinmuck" sheetId="14" r:id="rId8"/>
    <sheet name="Welby" sheetId="20" r:id="rId9"/>
    <sheet name="Carlton" sheetId="18" r:id="rId10"/>
    <sheet name="Tean Leys" sheetId="15" r:id="rId11"/>
    <sheet name="Bonsdale (Ragwhistle)" sheetId="13" r:id="rId12"/>
    <sheet name="Bodelwyddan " sheetId="34" r:id="rId13"/>
    <sheet name="Lime Down (Melksham)" sheetId="21" r:id="rId14"/>
    <sheet name="Green Hill (Grendon)" sheetId="27" r:id="rId15"/>
    <sheet name="Branxton" sheetId="33" r:id="rId16"/>
    <sheet name="Lullington (Resubmission)" sheetId="30" r:id="rId17"/>
    <sheet name="Whitehouse" sheetId="26" r:id="rId18"/>
    <sheet name="New Deer" sheetId="32" r:id="rId19"/>
    <sheet name="East Pye (Long Stratton)" sheetId="29" r:id="rId20"/>
    <sheet name="The Droves (Kings Lynn)" sheetId="22" r:id="rId21"/>
    <sheet name="Grange (Stallingborough)" sheetId="31" r:id="rId22"/>
    <sheet name="Light Valley S (Monk Fryston)" sheetId="28" r:id="rId23"/>
    <sheet name="Exeter" sheetId="37" r:id="rId24"/>
    <sheet name="Phase 2 spends" sheetId="35" r:id="rId25"/>
  </sheets>
  <definedNames>
    <definedName name="_xlnm._FilterDatabase" localSheetId="0" hidden="1">'West Burton'!$B$4:$BA$74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62" i="7" l="1"/>
  <c r="I45" i="27"/>
  <c r="DH142" i="28"/>
  <c r="E89" i="22"/>
  <c r="E87" i="22"/>
  <c r="BN22" i="28"/>
  <c r="BN25" i="28"/>
  <c r="G33" i="32"/>
  <c r="G34" i="32"/>
  <c r="G35" i="32"/>
  <c r="G36" i="32"/>
  <c r="G37" i="32"/>
  <c r="G38" i="32"/>
  <c r="G39" i="32"/>
  <c r="G40" i="32"/>
  <c r="G41" i="32"/>
  <c r="G12" i="32"/>
  <c r="G13" i="32"/>
  <c r="G14" i="32"/>
  <c r="G15" i="32"/>
  <c r="G16" i="32"/>
  <c r="G17" i="32"/>
  <c r="G18" i="32"/>
  <c r="G19" i="32"/>
  <c r="G20" i="32"/>
  <c r="G21" i="32"/>
  <c r="G22" i="32"/>
  <c r="G23" i="32"/>
  <c r="G24" i="32"/>
  <c r="G25" i="32"/>
  <c r="G26" i="32"/>
  <c r="G27" i="32"/>
  <c r="G28" i="32"/>
  <c r="G29" i="32"/>
  <c r="G30" i="32"/>
  <c r="G31" i="32"/>
  <c r="G32" i="32"/>
  <c r="G10" i="32"/>
  <c r="BP131" i="28"/>
  <c r="BF25" i="27"/>
  <c r="BF12" i="27"/>
  <c r="I12" i="27"/>
  <c r="G16" i="34"/>
  <c r="H16" i="34" s="1"/>
  <c r="F36" i="27"/>
  <c r="G36" i="27" s="1"/>
  <c r="BS4" i="28"/>
  <c r="BM4" i="28"/>
  <c r="BL4" i="28"/>
  <c r="BK4" i="28"/>
  <c r="BJ4" i="28"/>
  <c r="BI4" i="28"/>
  <c r="BH4" i="28"/>
  <c r="BM41" i="28" l="1"/>
  <c r="E59" i="33"/>
  <c r="D47" i="37" l="1"/>
  <c r="E7" i="37"/>
  <c r="E6" i="37"/>
  <c r="F50" i="37"/>
  <c r="F52" i="37" s="1"/>
  <c r="G50" i="37"/>
  <c r="G52" i="37" s="1"/>
  <c r="H50" i="37"/>
  <c r="H52" i="37" s="1"/>
  <c r="BI11" i="11"/>
  <c r="BE14" i="7"/>
  <c r="BJ11" i="11"/>
  <c r="BI61" i="7"/>
  <c r="BJ55" i="11"/>
  <c r="J42" i="37"/>
  <c r="J43" i="37"/>
  <c r="J44" i="37"/>
  <c r="J9" i="37"/>
  <c r="J13" i="37"/>
  <c r="J14" i="37"/>
  <c r="J16" i="37"/>
  <c r="J17" i="37"/>
  <c r="J18" i="37"/>
  <c r="J19" i="37"/>
  <c r="J20" i="37"/>
  <c r="J21" i="37"/>
  <c r="J22" i="37"/>
  <c r="J23" i="37"/>
  <c r="J26" i="37"/>
  <c r="J27" i="37"/>
  <c r="J28" i="37"/>
  <c r="J29" i="37"/>
  <c r="J30" i="37"/>
  <c r="J31" i="37"/>
  <c r="J33" i="37"/>
  <c r="J34" i="37"/>
  <c r="J35" i="37"/>
  <c r="J36" i="37"/>
  <c r="J37" i="37"/>
  <c r="J38" i="37"/>
  <c r="J39" i="37"/>
  <c r="J40" i="37"/>
  <c r="J41" i="37"/>
  <c r="AU45" i="37"/>
  <c r="AU50" i="37" s="1"/>
  <c r="AV45" i="37"/>
  <c r="AV50" i="37" s="1"/>
  <c r="AW45" i="37"/>
  <c r="AW50" i="37" s="1"/>
  <c r="AX45" i="37"/>
  <c r="AX50" i="37" s="1"/>
  <c r="AY45" i="37"/>
  <c r="AY50" i="37" s="1"/>
  <c r="E5" i="37"/>
  <c r="I5" i="37"/>
  <c r="J5" i="37"/>
  <c r="I6" i="37"/>
  <c r="J6" i="37"/>
  <c r="E4" i="37"/>
  <c r="M45" i="37"/>
  <c r="M50" i="37" s="1"/>
  <c r="N45" i="37"/>
  <c r="N50" i="37" s="1"/>
  <c r="O45" i="37"/>
  <c r="O50" i="37" s="1"/>
  <c r="J11" i="37"/>
  <c r="D45" i="37" a="1"/>
  <c r="D45" i="37" s="1"/>
  <c r="I4" i="37"/>
  <c r="J4" i="37"/>
  <c r="J7" i="37"/>
  <c r="J8" i="37"/>
  <c r="J10" i="37"/>
  <c r="V45" i="37"/>
  <c r="V50" i="37" s="1"/>
  <c r="J15" i="37"/>
  <c r="I45" i="37"/>
  <c r="P45" i="37"/>
  <c r="P50" i="37" s="1"/>
  <c r="Q45" i="37"/>
  <c r="Q50" i="37" s="1"/>
  <c r="R45" i="37"/>
  <c r="R50" i="37" s="1"/>
  <c r="S45" i="37"/>
  <c r="S50" i="37" s="1"/>
  <c r="T45" i="37"/>
  <c r="T50" i="37" s="1"/>
  <c r="U45" i="37"/>
  <c r="U50" i="37" s="1"/>
  <c r="W45" i="37"/>
  <c r="W50" i="37" s="1"/>
  <c r="X45" i="37"/>
  <c r="X50" i="37" s="1"/>
  <c r="Y45" i="37"/>
  <c r="Y50" i="37" s="1"/>
  <c r="Z45" i="37"/>
  <c r="Z50" i="37" s="1"/>
  <c r="AA45" i="37"/>
  <c r="AA50" i="37" s="1"/>
  <c r="AB45" i="37"/>
  <c r="AB50" i="37" s="1"/>
  <c r="AC45" i="37"/>
  <c r="AC50" i="37" s="1"/>
  <c r="AD45" i="37"/>
  <c r="AD50" i="37" s="1"/>
  <c r="AE45" i="37"/>
  <c r="AE50" i="37" s="1"/>
  <c r="AF45" i="37"/>
  <c r="AF50" i="37" s="1"/>
  <c r="AG45" i="37"/>
  <c r="AG50" i="37" s="1"/>
  <c r="AH45" i="37"/>
  <c r="AH50" i="37" s="1"/>
  <c r="AI45" i="37"/>
  <c r="AI50" i="37" s="1"/>
  <c r="AJ45" i="37"/>
  <c r="AJ50" i="37" s="1"/>
  <c r="AK45" i="37"/>
  <c r="AK50" i="37" s="1"/>
  <c r="AL45" i="37"/>
  <c r="AL50" i="37" s="1"/>
  <c r="AM45" i="37"/>
  <c r="AM50" i="37" s="1"/>
  <c r="AN45" i="37"/>
  <c r="AN50" i="37" s="1"/>
  <c r="AO45" i="37"/>
  <c r="AO50" i="37" s="1"/>
  <c r="AP45" i="37"/>
  <c r="AP50" i="37" s="1"/>
  <c r="AQ45" i="37"/>
  <c r="AQ50" i="37" s="1"/>
  <c r="AR45" i="37"/>
  <c r="AR50" i="37" s="1"/>
  <c r="AS45" i="37"/>
  <c r="AS50" i="37" s="1"/>
  <c r="AT45" i="37"/>
  <c r="AT50" i="37" s="1"/>
  <c r="E46" i="37"/>
  <c r="J46" i="37"/>
  <c r="E48" i="37"/>
  <c r="J48" i="37"/>
  <c r="E49" i="37"/>
  <c r="J49" i="37"/>
  <c r="BD14" i="7"/>
  <c r="E45" i="37" l="1"/>
  <c r="D50" i="37"/>
  <c r="D52" i="37" s="1"/>
  <c r="I50" i="37"/>
  <c r="I52" i="37" s="1"/>
  <c r="J12" i="37"/>
  <c r="H15" i="21"/>
  <c r="AD187" i="28"/>
  <c r="K186" i="28"/>
  <c r="BT179" i="28"/>
  <c r="BG179" i="28"/>
  <c r="AD179" i="28"/>
  <c r="BT178" i="28"/>
  <c r="AP178" i="28" s="1"/>
  <c r="BG178" i="28"/>
  <c r="AT178" i="28"/>
  <c r="AS178" i="28"/>
  <c r="AR178" i="28"/>
  <c r="AQ178" i="28"/>
  <c r="AO178" i="28"/>
  <c r="AN178" i="28"/>
  <c r="AA178" i="28"/>
  <c r="BT177" i="28"/>
  <c r="AP177" i="28" s="1"/>
  <c r="BG177" i="28"/>
  <c r="AT177" i="28"/>
  <c r="AS177" i="28"/>
  <c r="AR177" i="28"/>
  <c r="AQ177" i="28"/>
  <c r="AO177" i="28"/>
  <c r="AN177" i="28"/>
  <c r="AA177" i="28"/>
  <c r="BT176" i="28"/>
  <c r="AP176" i="28" s="1"/>
  <c r="BG176" i="28"/>
  <c r="AT176" i="28"/>
  <c r="AS176" i="28"/>
  <c r="AR176" i="28"/>
  <c r="AQ176" i="28"/>
  <c r="AO176" i="28"/>
  <c r="AN176" i="28"/>
  <c r="AA176" i="28"/>
  <c r="BT175" i="28"/>
  <c r="AP175" i="28" s="1"/>
  <c r="BG175" i="28"/>
  <c r="AT175" i="28"/>
  <c r="AS175" i="28"/>
  <c r="AR175" i="28"/>
  <c r="AQ175" i="28"/>
  <c r="AO175" i="28"/>
  <c r="AN175" i="28"/>
  <c r="AA175" i="28"/>
  <c r="BT174" i="28"/>
  <c r="AP174" i="28" s="1"/>
  <c r="BG174" i="28"/>
  <c r="AT174" i="28"/>
  <c r="AS174" i="28"/>
  <c r="AR174" i="28"/>
  <c r="AQ174" i="28"/>
  <c r="AO174" i="28"/>
  <c r="AN174" i="28"/>
  <c r="AA174" i="28"/>
  <c r="DG173" i="28"/>
  <c r="AS173" i="28" s="1"/>
  <c r="CT173" i="28"/>
  <c r="AR173" i="28" s="1"/>
  <c r="CG173" i="28"/>
  <c r="AQ173" i="28" s="1"/>
  <c r="BT173" i="28"/>
  <c r="AP173" i="28" s="1"/>
  <c r="BG173" i="28"/>
  <c r="AT173" i="28"/>
  <c r="AO173" i="28"/>
  <c r="AN173" i="28"/>
  <c r="AA173" i="28"/>
  <c r="J173" i="28"/>
  <c r="G173" i="28"/>
  <c r="BT172" i="28"/>
  <c r="BG172" i="28"/>
  <c r="BT171" i="28"/>
  <c r="BG171" i="28"/>
  <c r="BT170" i="28"/>
  <c r="BF170" i="28"/>
  <c r="BE170" i="28"/>
  <c r="BD170" i="28"/>
  <c r="BC170" i="28"/>
  <c r="BB170" i="28"/>
  <c r="BA170" i="28"/>
  <c r="AZ170" i="28"/>
  <c r="AY170" i="28"/>
  <c r="AX170" i="28"/>
  <c r="AW170" i="28"/>
  <c r="AV170" i="28"/>
  <c r="AU170" i="28"/>
  <c r="DH165" i="28"/>
  <c r="DF165" i="28"/>
  <c r="DE165" i="28"/>
  <c r="DD165" i="28"/>
  <c r="DC165" i="28"/>
  <c r="DB165" i="28"/>
  <c r="DA165" i="28"/>
  <c r="CZ165" i="28"/>
  <c r="CY165" i="28"/>
  <c r="CX165" i="28"/>
  <c r="CW165" i="28"/>
  <c r="CV165" i="28"/>
  <c r="CU165" i="28"/>
  <c r="CS165" i="28"/>
  <c r="CR165" i="28"/>
  <c r="CQ165" i="28"/>
  <c r="CP165" i="28"/>
  <c r="CO165" i="28"/>
  <c r="CN165" i="28"/>
  <c r="CM165" i="28"/>
  <c r="CL165" i="28"/>
  <c r="CK165" i="28"/>
  <c r="CJ165" i="28"/>
  <c r="CI165" i="28"/>
  <c r="CH165" i="28"/>
  <c r="CF165" i="28"/>
  <c r="CE165" i="28"/>
  <c r="CD165" i="28"/>
  <c r="CC165" i="28"/>
  <c r="CB165" i="28"/>
  <c r="CA165" i="28"/>
  <c r="BZ165" i="28"/>
  <c r="BY165" i="28"/>
  <c r="BX165" i="28"/>
  <c r="BW165" i="28"/>
  <c r="BV165" i="28"/>
  <c r="BU165" i="28"/>
  <c r="BS165" i="28"/>
  <c r="BR165" i="28"/>
  <c r="BQ165" i="28"/>
  <c r="BP165" i="28"/>
  <c r="BO165" i="28"/>
  <c r="BN165" i="28"/>
  <c r="BM165" i="28"/>
  <c r="BL165" i="28"/>
  <c r="BK165" i="28"/>
  <c r="BJ165" i="28"/>
  <c r="BI165" i="28"/>
  <c r="BH165" i="28"/>
  <c r="BG165" i="28"/>
  <c r="N165" i="28"/>
  <c r="H165" i="28"/>
  <c r="DG164" i="28"/>
  <c r="AS164" i="28" s="1"/>
  <c r="CT164" i="28"/>
  <c r="AR164" i="28" s="1"/>
  <c r="CG164" i="28"/>
  <c r="AQ164" i="28" s="1"/>
  <c r="BT164" i="28"/>
  <c r="BG164" i="28"/>
  <c r="AT164" i="28"/>
  <c r="AO164" i="28"/>
  <c r="AN164" i="28"/>
  <c r="AA164" i="28"/>
  <c r="J164" i="28"/>
  <c r="DG163" i="28"/>
  <c r="AS163" i="28" s="1"/>
  <c r="CT163" i="28"/>
  <c r="AR163" i="28" s="1"/>
  <c r="CG163" i="28"/>
  <c r="AQ163" i="28" s="1"/>
  <c r="BT163" i="28"/>
  <c r="AP163" i="28" s="1"/>
  <c r="BG163" i="28"/>
  <c r="AT163" i="28"/>
  <c r="AO163" i="28"/>
  <c r="AN163" i="28"/>
  <c r="AA163" i="28"/>
  <c r="J163" i="28"/>
  <c r="DG162" i="28"/>
  <c r="AS162" i="28" s="1"/>
  <c r="CT162" i="28"/>
  <c r="AR162" i="28" s="1"/>
  <c r="CG162" i="28"/>
  <c r="AQ162" i="28" s="1"/>
  <c r="BT162" i="28"/>
  <c r="AP162" i="28" s="1"/>
  <c r="BG162" i="28"/>
  <c r="AT162" i="28"/>
  <c r="AO162" i="28"/>
  <c r="AN162" i="28"/>
  <c r="AA162" i="28"/>
  <c r="J162" i="28"/>
  <c r="DG161" i="28"/>
  <c r="AS161" i="28" s="1"/>
  <c r="CT161" i="28"/>
  <c r="AR161" i="28" s="1"/>
  <c r="CG161" i="28"/>
  <c r="AQ161" i="28" s="1"/>
  <c r="BT161" i="28"/>
  <c r="BG161" i="28"/>
  <c r="AT161" i="28"/>
  <c r="AO161" i="28"/>
  <c r="AN161" i="28"/>
  <c r="AA161" i="28"/>
  <c r="J161" i="28"/>
  <c r="DG160" i="28"/>
  <c r="AS160" i="28" s="1"/>
  <c r="CT160" i="28"/>
  <c r="AR160" i="28" s="1"/>
  <c r="CG160" i="28"/>
  <c r="AQ160" i="28" s="1"/>
  <c r="BT160" i="28"/>
  <c r="AP160" i="28" s="1"/>
  <c r="BG160" i="28"/>
  <c r="AT160" i="28"/>
  <c r="AO160" i="28"/>
  <c r="AN160" i="28"/>
  <c r="AA160" i="28"/>
  <c r="J160" i="28"/>
  <c r="DG159" i="28"/>
  <c r="AS159" i="28" s="1"/>
  <c r="CT159" i="28"/>
  <c r="AR159" i="28" s="1"/>
  <c r="CG159" i="28"/>
  <c r="AQ159" i="28" s="1"/>
  <c r="BT159" i="28"/>
  <c r="AP159" i="28" s="1"/>
  <c r="BG159" i="28"/>
  <c r="AT159" i="28"/>
  <c r="AO159" i="28"/>
  <c r="AN159" i="28"/>
  <c r="AA159" i="28"/>
  <c r="J159" i="28"/>
  <c r="DG158" i="28"/>
  <c r="AS158" i="28" s="1"/>
  <c r="CT158" i="28"/>
  <c r="AR158" i="28" s="1"/>
  <c r="CG158" i="28"/>
  <c r="AQ158" i="28" s="1"/>
  <c r="BT158" i="28"/>
  <c r="AP158" i="28" s="1"/>
  <c r="BG158" i="28"/>
  <c r="AT158" i="28"/>
  <c r="AO158" i="28"/>
  <c r="AN158" i="28"/>
  <c r="AA158" i="28"/>
  <c r="J158" i="28"/>
  <c r="DE157" i="28"/>
  <c r="DD157" i="28"/>
  <c r="DC157" i="28"/>
  <c r="DB157" i="28"/>
  <c r="DA157" i="28"/>
  <c r="CZ157" i="28"/>
  <c r="CY157" i="28"/>
  <c r="CX157" i="28"/>
  <c r="CW157" i="28"/>
  <c r="CV157" i="28"/>
  <c r="CU157" i="28"/>
  <c r="CR157" i="28"/>
  <c r="CQ157" i="28"/>
  <c r="CP157" i="28"/>
  <c r="CO157" i="28"/>
  <c r="CN157" i="28"/>
  <c r="CM157" i="28"/>
  <c r="CL157" i="28"/>
  <c r="CK157" i="28"/>
  <c r="CJ157" i="28"/>
  <c r="CI157" i="28"/>
  <c r="CH157" i="28"/>
  <c r="CE157" i="28"/>
  <c r="CD157" i="28"/>
  <c r="CC157" i="28"/>
  <c r="CB157" i="28"/>
  <c r="CA157" i="28"/>
  <c r="BZ157" i="28"/>
  <c r="BY157" i="28"/>
  <c r="BX157" i="28"/>
  <c r="BW157" i="28"/>
  <c r="BV157" i="28"/>
  <c r="BU157" i="28"/>
  <c r="BS157" i="28"/>
  <c r="BR157" i="28"/>
  <c r="BQ157" i="28"/>
  <c r="BP157" i="28"/>
  <c r="BO157" i="28"/>
  <c r="BN157" i="28"/>
  <c r="BM157" i="28"/>
  <c r="BL157" i="28"/>
  <c r="BK157" i="28"/>
  <c r="BJ157" i="28"/>
  <c r="BI157" i="28"/>
  <c r="BH157" i="28"/>
  <c r="BG157" i="28"/>
  <c r="N157" i="28"/>
  <c r="DG156" i="28"/>
  <c r="AS156" i="28" s="1"/>
  <c r="CT156" i="28"/>
  <c r="AR156" i="28" s="1"/>
  <c r="CG156" i="28"/>
  <c r="AQ156" i="28" s="1"/>
  <c r="BT156" i="28"/>
  <c r="AP156" i="28" s="1"/>
  <c r="BG156" i="28"/>
  <c r="AT156" i="28"/>
  <c r="AO156" i="28"/>
  <c r="AN156" i="28"/>
  <c r="AA156" i="28"/>
  <c r="J156" i="28"/>
  <c r="H156" i="28"/>
  <c r="H157" i="28" s="1"/>
  <c r="DG155" i="28"/>
  <c r="AS155" i="28" s="1"/>
  <c r="CT155" i="28"/>
  <c r="AR155" i="28" s="1"/>
  <c r="CG155" i="28"/>
  <c r="AQ155" i="28" s="1"/>
  <c r="BT155" i="28"/>
  <c r="AP155" i="28" s="1"/>
  <c r="BG155" i="28"/>
  <c r="AT155" i="28"/>
  <c r="AO155" i="28"/>
  <c r="AN155" i="28"/>
  <c r="AA155" i="28"/>
  <c r="J155" i="28"/>
  <c r="DG154" i="28"/>
  <c r="AS154" i="28" s="1"/>
  <c r="CT154" i="28"/>
  <c r="AR154" i="28" s="1"/>
  <c r="CG154" i="28"/>
  <c r="AQ154" i="28" s="1"/>
  <c r="BT154" i="28"/>
  <c r="AP154" i="28" s="1"/>
  <c r="BG154" i="28"/>
  <c r="AT154" i="28"/>
  <c r="AO154" i="28"/>
  <c r="AN154" i="28"/>
  <c r="AA154" i="28"/>
  <c r="J154" i="28"/>
  <c r="DG153" i="28"/>
  <c r="AS153" i="28" s="1"/>
  <c r="CT153" i="28"/>
  <c r="AR153" i="28" s="1"/>
  <c r="CG153" i="28"/>
  <c r="AQ153" i="28" s="1"/>
  <c r="BT153" i="28"/>
  <c r="AP153" i="28" s="1"/>
  <c r="BG153" i="28"/>
  <c r="AT153" i="28"/>
  <c r="AO153" i="28"/>
  <c r="AN153" i="28"/>
  <c r="AA153" i="28"/>
  <c r="J153" i="28"/>
  <c r="DG152" i="28"/>
  <c r="AS152" i="28" s="1"/>
  <c r="CT152" i="28"/>
  <c r="AR152" i="28" s="1"/>
  <c r="CG152" i="28"/>
  <c r="BT152" i="28"/>
  <c r="AP152" i="28" s="1"/>
  <c r="BG152" i="28"/>
  <c r="AT152" i="28"/>
  <c r="AO152" i="28"/>
  <c r="AN152" i="28"/>
  <c r="AA152" i="28"/>
  <c r="J152" i="28"/>
  <c r="DG151" i="28"/>
  <c r="CT151" i="28"/>
  <c r="CG151" i="28"/>
  <c r="BT151" i="28"/>
  <c r="BG151" i="28"/>
  <c r="J151" i="28"/>
  <c r="I151" i="28"/>
  <c r="DF150" i="28"/>
  <c r="DE150" i="28"/>
  <c r="DD150" i="28"/>
  <c r="DC150" i="28"/>
  <c r="DB150" i="28"/>
  <c r="DA150" i="28"/>
  <c r="CZ150" i="28"/>
  <c r="CY150" i="28"/>
  <c r="CX150" i="28"/>
  <c r="CW150" i="28"/>
  <c r="CV150" i="28"/>
  <c r="CU150" i="28"/>
  <c r="CS150" i="28"/>
  <c r="CR150" i="28"/>
  <c r="CQ150" i="28"/>
  <c r="CP150" i="28"/>
  <c r="CO150" i="28"/>
  <c r="CN150" i="28"/>
  <c r="CM150" i="28"/>
  <c r="CL150" i="28"/>
  <c r="CK150" i="28"/>
  <c r="CJ150" i="28"/>
  <c r="CI150" i="28"/>
  <c r="CH150" i="28"/>
  <c r="CF150" i="28"/>
  <c r="CE150" i="28"/>
  <c r="CD150" i="28"/>
  <c r="CC150" i="28"/>
  <c r="CB150" i="28"/>
  <c r="CA150" i="28"/>
  <c r="BZ150" i="28"/>
  <c r="BY150" i="28"/>
  <c r="BX150" i="28"/>
  <c r="BW150" i="28"/>
  <c r="BV150" i="28"/>
  <c r="BU150" i="28"/>
  <c r="BS150" i="28"/>
  <c r="BR150" i="28"/>
  <c r="BQ150" i="28"/>
  <c r="BP150" i="28"/>
  <c r="BO150" i="28"/>
  <c r="BN150" i="28"/>
  <c r="BM150" i="28"/>
  <c r="BL150" i="28"/>
  <c r="BK150" i="28"/>
  <c r="BJ150" i="28"/>
  <c r="BI150" i="28"/>
  <c r="BH150" i="28"/>
  <c r="BG150" i="28"/>
  <c r="H150" i="28"/>
  <c r="DG149" i="28"/>
  <c r="AS149" i="28" s="1"/>
  <c r="CT149" i="28"/>
  <c r="AR149" i="28" s="1"/>
  <c r="CG149" i="28"/>
  <c r="AQ149" i="28" s="1"/>
  <c r="BT149" i="28"/>
  <c r="AP149" i="28" s="1"/>
  <c r="BG149" i="28"/>
  <c r="AT149" i="28"/>
  <c r="AO149" i="28"/>
  <c r="AN149" i="28"/>
  <c r="AA149" i="28"/>
  <c r="J149" i="28"/>
  <c r="DG148" i="28"/>
  <c r="AS148" i="28" s="1"/>
  <c r="CT148" i="28"/>
  <c r="AR148" i="28" s="1"/>
  <c r="CG148" i="28"/>
  <c r="AQ148" i="28" s="1"/>
  <c r="BT148" i="28"/>
  <c r="AP148" i="28" s="1"/>
  <c r="BG148" i="28"/>
  <c r="AT148" i="28"/>
  <c r="AO148" i="28"/>
  <c r="AN148" i="28"/>
  <c r="AA148" i="28"/>
  <c r="J148" i="28"/>
  <c r="DG147" i="28"/>
  <c r="AS147" i="28" s="1"/>
  <c r="CT147" i="28"/>
  <c r="AR147" i="28" s="1"/>
  <c r="CG147" i="28"/>
  <c r="AQ147" i="28" s="1"/>
  <c r="BT147" i="28"/>
  <c r="AP147" i="28" s="1"/>
  <c r="BG147" i="28"/>
  <c r="AT147" i="28"/>
  <c r="AO147" i="28"/>
  <c r="AN147" i="28"/>
  <c r="AA147" i="28"/>
  <c r="DG146" i="28"/>
  <c r="AS146" i="28" s="1"/>
  <c r="CT146" i="28"/>
  <c r="AR146" i="28" s="1"/>
  <c r="CG146" i="28"/>
  <c r="AQ146" i="28" s="1"/>
  <c r="BT146" i="28"/>
  <c r="AP146" i="28" s="1"/>
  <c r="BG146" i="28"/>
  <c r="AT146" i="28"/>
  <c r="AO146" i="28"/>
  <c r="AN146" i="28"/>
  <c r="AA146" i="28"/>
  <c r="J146" i="28"/>
  <c r="DG145" i="28"/>
  <c r="AS145" i="28" s="1"/>
  <c r="CT145" i="28"/>
  <c r="AR145" i="28" s="1"/>
  <c r="CG145" i="28"/>
  <c r="BT145" i="28"/>
  <c r="AP145" i="28" s="1"/>
  <c r="BG145" i="28"/>
  <c r="AT145" i="28"/>
  <c r="AO145" i="28"/>
  <c r="AN145" i="28"/>
  <c r="AA145" i="28"/>
  <c r="J145" i="28"/>
  <c r="DG144" i="28"/>
  <c r="AS144" i="28" s="1"/>
  <c r="CT144" i="28"/>
  <c r="AR144" i="28" s="1"/>
  <c r="CG144" i="28"/>
  <c r="AQ144" i="28" s="1"/>
  <c r="BT144" i="28"/>
  <c r="AP144" i="28" s="1"/>
  <c r="BG144" i="28"/>
  <c r="AT144" i="28"/>
  <c r="AO144" i="28"/>
  <c r="AN144" i="28"/>
  <c r="AA144" i="28"/>
  <c r="J144" i="28"/>
  <c r="DG143" i="28"/>
  <c r="AS143" i="28" s="1"/>
  <c r="CT143" i="28"/>
  <c r="AR143" i="28" s="1"/>
  <c r="CG143" i="28"/>
  <c r="AQ143" i="28" s="1"/>
  <c r="BT143" i="28"/>
  <c r="AP143" i="28" s="1"/>
  <c r="BG143" i="28"/>
  <c r="AT143" i="28"/>
  <c r="AO143" i="28"/>
  <c r="AN143" i="28"/>
  <c r="AA143" i="28"/>
  <c r="J143" i="28"/>
  <c r="DF142" i="28"/>
  <c r="DE142" i="28"/>
  <c r="DD142" i="28"/>
  <c r="DC142" i="28"/>
  <c r="DB142" i="28"/>
  <c r="DA142" i="28"/>
  <c r="CZ142" i="28"/>
  <c r="CY142" i="28"/>
  <c r="CX142" i="28"/>
  <c r="CW142" i="28"/>
  <c r="CV142" i="28"/>
  <c r="CU142" i="28"/>
  <c r="CS142" i="28"/>
  <c r="CR142" i="28"/>
  <c r="CQ142" i="28"/>
  <c r="CP142" i="28"/>
  <c r="CO142" i="28"/>
  <c r="CN142" i="28"/>
  <c r="CM142" i="28"/>
  <c r="CL142" i="28"/>
  <c r="CK142" i="28"/>
  <c r="CJ142" i="28"/>
  <c r="CI142" i="28"/>
  <c r="CH142" i="28"/>
  <c r="CF142" i="28"/>
  <c r="CE142" i="28"/>
  <c r="CD142" i="28"/>
  <c r="CC142" i="28"/>
  <c r="CB142" i="28"/>
  <c r="CA142" i="28"/>
  <c r="BZ142" i="28"/>
  <c r="BY142" i="28"/>
  <c r="BX142" i="28"/>
  <c r="BW142" i="28"/>
  <c r="BV142" i="28"/>
  <c r="BU142" i="28"/>
  <c r="BS142" i="28"/>
  <c r="BR142" i="28"/>
  <c r="BQ142" i="28"/>
  <c r="BP142" i="28"/>
  <c r="BO142" i="28"/>
  <c r="BN142" i="28"/>
  <c r="BM142" i="28"/>
  <c r="BL142" i="28"/>
  <c r="BK142" i="28"/>
  <c r="BJ142" i="28"/>
  <c r="BI142" i="28"/>
  <c r="BH142" i="28"/>
  <c r="BG142" i="28"/>
  <c r="H142" i="28"/>
  <c r="DG141" i="28"/>
  <c r="AS141" i="28" s="1"/>
  <c r="CT141" i="28"/>
  <c r="CG141" i="28"/>
  <c r="AQ141" i="28" s="1"/>
  <c r="BT141" i="28"/>
  <c r="AP141" i="28" s="1"/>
  <c r="BG141" i="28"/>
  <c r="AT141" i="28"/>
  <c r="AO141" i="28"/>
  <c r="AN141" i="28"/>
  <c r="AA141" i="28"/>
  <c r="J141" i="28"/>
  <c r="J142" i="28" s="1"/>
  <c r="DG140" i="28"/>
  <c r="AS140" i="28" s="1"/>
  <c r="CT140" i="28"/>
  <c r="AR140" i="28" s="1"/>
  <c r="CG140" i="28"/>
  <c r="AQ140" i="28" s="1"/>
  <c r="BT140" i="28"/>
  <c r="AP140" i="28" s="1"/>
  <c r="BG140" i="28"/>
  <c r="AT140" i="28"/>
  <c r="AO140" i="28"/>
  <c r="AN140" i="28"/>
  <c r="AA140" i="28"/>
  <c r="DH139" i="28"/>
  <c r="DF139" i="28"/>
  <c r="DE139" i="28"/>
  <c r="DD139" i="28"/>
  <c r="DC139" i="28"/>
  <c r="DB139" i="28"/>
  <c r="DA139" i="28"/>
  <c r="CZ139" i="28"/>
  <c r="CY139" i="28"/>
  <c r="CX139" i="28"/>
  <c r="CW139" i="28"/>
  <c r="CV139" i="28"/>
  <c r="CU139" i="28"/>
  <c r="CS139" i="28"/>
  <c r="CR139" i="28"/>
  <c r="CQ139" i="28"/>
  <c r="CP139" i="28"/>
  <c r="CO139" i="28"/>
  <c r="CN139" i="28"/>
  <c r="CM139" i="28"/>
  <c r="CL139" i="28"/>
  <c r="CK139" i="28"/>
  <c r="CJ139" i="28"/>
  <c r="CI139" i="28"/>
  <c r="CH139" i="28"/>
  <c r="CF139" i="28"/>
  <c r="CE139" i="28"/>
  <c r="CD139" i="28"/>
  <c r="CC139" i="28"/>
  <c r="CB139" i="28"/>
  <c r="CA139" i="28"/>
  <c r="BZ139" i="28"/>
  <c r="BY139" i="28"/>
  <c r="BX139" i="28"/>
  <c r="BW139" i="28"/>
  <c r="BV139" i="28"/>
  <c r="BU139" i="28"/>
  <c r="BS139" i="28"/>
  <c r="BR139" i="28"/>
  <c r="BQ139" i="28"/>
  <c r="BP139" i="28"/>
  <c r="BO139" i="28"/>
  <c r="BN139" i="28"/>
  <c r="BM139" i="28"/>
  <c r="BL139" i="28"/>
  <c r="BK139" i="28"/>
  <c r="BJ139" i="28"/>
  <c r="BI139" i="28"/>
  <c r="BH139" i="28"/>
  <c r="BF139" i="28"/>
  <c r="BE139" i="28"/>
  <c r="BD139" i="28"/>
  <c r="BC139" i="28"/>
  <c r="BB139" i="28"/>
  <c r="BA139" i="28"/>
  <c r="AZ139" i="28"/>
  <c r="AY139" i="28"/>
  <c r="AX139" i="28"/>
  <c r="AW139" i="28"/>
  <c r="AV139" i="28"/>
  <c r="AU139" i="28"/>
  <c r="AM139" i="28"/>
  <c r="AL139" i="28"/>
  <c r="AK139" i="28"/>
  <c r="AJ139" i="28"/>
  <c r="AI139" i="28"/>
  <c r="AH139" i="28"/>
  <c r="AG139" i="28"/>
  <c r="AF139" i="28"/>
  <c r="AE139" i="28"/>
  <c r="AD139" i="28"/>
  <c r="AC139" i="28"/>
  <c r="AB139" i="28"/>
  <c r="DG138" i="28"/>
  <c r="AS138" i="28" s="1"/>
  <c r="CT138" i="28"/>
  <c r="AR138" i="28" s="1"/>
  <c r="CG138" i="28"/>
  <c r="AQ138" i="28" s="1"/>
  <c r="BT138" i="28"/>
  <c r="BG138" i="28"/>
  <c r="AT138" i="28"/>
  <c r="AO138" i="28"/>
  <c r="AN138" i="28"/>
  <c r="AA138" i="28"/>
  <c r="J138" i="28"/>
  <c r="DG137" i="28"/>
  <c r="AS137" i="28" s="1"/>
  <c r="CT137" i="28"/>
  <c r="AR137" i="28" s="1"/>
  <c r="CG137" i="28"/>
  <c r="AQ137" i="28" s="1"/>
  <c r="BT137" i="28"/>
  <c r="AP137" i="28" s="1"/>
  <c r="BG137" i="28"/>
  <c r="AT137" i="28"/>
  <c r="AO137" i="28"/>
  <c r="AN137" i="28"/>
  <c r="AA137" i="28"/>
  <c r="J137" i="28"/>
  <c r="DG136" i="28"/>
  <c r="AS136" i="28" s="1"/>
  <c r="CT136" i="28"/>
  <c r="AR136" i="28" s="1"/>
  <c r="CG136" i="28"/>
  <c r="AQ136" i="28" s="1"/>
  <c r="BT136" i="28"/>
  <c r="AP136" i="28" s="1"/>
  <c r="BG136" i="28"/>
  <c r="AT136" i="28"/>
  <c r="AO136" i="28"/>
  <c r="AN136" i="28"/>
  <c r="AA136" i="28"/>
  <c r="J136" i="28"/>
  <c r="DG135" i="28"/>
  <c r="AS135" i="28" s="1"/>
  <c r="CT135" i="28"/>
  <c r="AR135" i="28" s="1"/>
  <c r="CG135" i="28"/>
  <c r="AQ135" i="28" s="1"/>
  <c r="BT135" i="28"/>
  <c r="AP135" i="28" s="1"/>
  <c r="BG135" i="28"/>
  <c r="AT135" i="28"/>
  <c r="AO135" i="28"/>
  <c r="AN135" i="28"/>
  <c r="AA135" i="28"/>
  <c r="J135" i="28"/>
  <c r="DG134" i="28"/>
  <c r="AS134" i="28" s="1"/>
  <c r="CT134" i="28"/>
  <c r="AR134" i="28" s="1"/>
  <c r="CG134" i="28"/>
  <c r="AQ134" i="28" s="1"/>
  <c r="BT134" i="28"/>
  <c r="AP134" i="28" s="1"/>
  <c r="BG134" i="28"/>
  <c r="AT134" i="28"/>
  <c r="AO134" i="28"/>
  <c r="AN134" i="28"/>
  <c r="AA134" i="28"/>
  <c r="J134" i="28"/>
  <c r="DG133" i="28"/>
  <c r="AS133" i="28" s="1"/>
  <c r="CT133" i="28"/>
  <c r="AR133" i="28" s="1"/>
  <c r="CG133" i="28"/>
  <c r="AQ133" i="28" s="1"/>
  <c r="BT133" i="28"/>
  <c r="AP133" i="28" s="1"/>
  <c r="BG133" i="28"/>
  <c r="AT133" i="28"/>
  <c r="AO133" i="28"/>
  <c r="AN133" i="28"/>
  <c r="AA133" i="28"/>
  <c r="J133" i="28"/>
  <c r="DG132" i="28"/>
  <c r="AS132" i="28" s="1"/>
  <c r="CT132" i="28"/>
  <c r="CG132" i="28"/>
  <c r="AQ132" i="28" s="1"/>
  <c r="BT132" i="28"/>
  <c r="BG132" i="28"/>
  <c r="AT132" i="28"/>
  <c r="AO132" i="28"/>
  <c r="AN132" i="28"/>
  <c r="AA132" i="28"/>
  <c r="J132" i="28"/>
  <c r="DG131" i="28"/>
  <c r="CT131" i="28"/>
  <c r="AR131" i="28" s="1"/>
  <c r="CG131" i="28"/>
  <c r="AQ131" i="28" s="1"/>
  <c r="BT131" i="28"/>
  <c r="AP131" i="28" s="1"/>
  <c r="BG131" i="28"/>
  <c r="AT131" i="28"/>
  <c r="AO131" i="28"/>
  <c r="AN131" i="28"/>
  <c r="AA131" i="28"/>
  <c r="J131" i="28"/>
  <c r="DG130" i="28"/>
  <c r="AS130" i="28" s="1"/>
  <c r="CT130" i="28"/>
  <c r="AR130" i="28" s="1"/>
  <c r="CG130" i="28"/>
  <c r="AQ130" i="28" s="1"/>
  <c r="BT130" i="28"/>
  <c r="AP130" i="28" s="1"/>
  <c r="BG130" i="28"/>
  <c r="AT130" i="28"/>
  <c r="AO130" i="28"/>
  <c r="AN130" i="28"/>
  <c r="AA130" i="28"/>
  <c r="J130" i="28"/>
  <c r="H130" i="28"/>
  <c r="DH129" i="28"/>
  <c r="DF129" i="28"/>
  <c r="DE129" i="28"/>
  <c r="DD129" i="28"/>
  <c r="DC129" i="28"/>
  <c r="DB129" i="28"/>
  <c r="DA129" i="28"/>
  <c r="CZ129" i="28"/>
  <c r="CY129" i="28"/>
  <c r="CX129" i="28"/>
  <c r="CW129" i="28"/>
  <c r="CV129" i="28"/>
  <c r="CU129" i="28"/>
  <c r="CS129" i="28"/>
  <c r="CR129" i="28"/>
  <c r="CQ129" i="28"/>
  <c r="CP129" i="28"/>
  <c r="CO129" i="28"/>
  <c r="CN129" i="28"/>
  <c r="CM129" i="28"/>
  <c r="CL129" i="28"/>
  <c r="CK129" i="28"/>
  <c r="CJ129" i="28"/>
  <c r="CI129" i="28"/>
  <c r="CH129" i="28"/>
  <c r="CF129" i="28"/>
  <c r="CE129" i="28"/>
  <c r="CD129" i="28"/>
  <c r="CC129" i="28"/>
  <c r="CB129" i="28"/>
  <c r="CA129" i="28"/>
  <c r="BZ129" i="28"/>
  <c r="BY129" i="28"/>
  <c r="BX129" i="28"/>
  <c r="BW129" i="28"/>
  <c r="BV129" i="28"/>
  <c r="BU129" i="28"/>
  <c r="BS129" i="28"/>
  <c r="BR129" i="28"/>
  <c r="BQ129" i="28"/>
  <c r="BP129" i="28"/>
  <c r="BO129" i="28"/>
  <c r="BN129" i="28"/>
  <c r="BM129" i="28"/>
  <c r="BL129" i="28"/>
  <c r="BK129" i="28"/>
  <c r="BJ129" i="28"/>
  <c r="BI129" i="28"/>
  <c r="BH129" i="28"/>
  <c r="BF129" i="28"/>
  <c r="BE129" i="28"/>
  <c r="BD129" i="28"/>
  <c r="BC129" i="28"/>
  <c r="BB129" i="28"/>
  <c r="BA129" i="28"/>
  <c r="AZ129" i="28"/>
  <c r="AY129" i="28"/>
  <c r="AX129" i="28"/>
  <c r="AW129" i="28"/>
  <c r="AV129" i="28"/>
  <c r="AU129" i="28"/>
  <c r="AM129" i="28"/>
  <c r="AL129" i="28"/>
  <c r="AK129" i="28"/>
  <c r="AJ129" i="28"/>
  <c r="AI129" i="28"/>
  <c r="AH129" i="28"/>
  <c r="AG129" i="28"/>
  <c r="AF129" i="28"/>
  <c r="AE129" i="28"/>
  <c r="AD129" i="28"/>
  <c r="AC129" i="28"/>
  <c r="AB129" i="28"/>
  <c r="DG128" i="28"/>
  <c r="AS128" i="28" s="1"/>
  <c r="CT128" i="28"/>
  <c r="AR128" i="28" s="1"/>
  <c r="CG128" i="28"/>
  <c r="AQ128" i="28" s="1"/>
  <c r="BT128" i="28"/>
  <c r="AP128" i="28" s="1"/>
  <c r="BG128" i="28"/>
  <c r="AT128" i="28"/>
  <c r="AO128" i="28"/>
  <c r="AN128" i="28"/>
  <c r="AA128" i="28"/>
  <c r="DG127" i="28"/>
  <c r="AS127" i="28" s="1"/>
  <c r="CT127" i="28"/>
  <c r="AR127" i="28" s="1"/>
  <c r="CG127" i="28"/>
  <c r="AQ127" i="28" s="1"/>
  <c r="BT127" i="28"/>
  <c r="AP127" i="28" s="1"/>
  <c r="BG127" i="28"/>
  <c r="AT127" i="28"/>
  <c r="AO127" i="28"/>
  <c r="AN127" i="28"/>
  <c r="AA127" i="28"/>
  <c r="J127" i="28"/>
  <c r="BT126" i="28"/>
  <c r="AP126" i="28" s="1"/>
  <c r="BG126" i="28"/>
  <c r="AT126" i="28"/>
  <c r="AS126" i="28"/>
  <c r="AR126" i="28"/>
  <c r="AQ126" i="28"/>
  <c r="AO126" i="28"/>
  <c r="AN126" i="28"/>
  <c r="AA126" i="28"/>
  <c r="J126" i="28"/>
  <c r="H126" i="28"/>
  <c r="G126" i="28"/>
  <c r="DG125" i="28"/>
  <c r="AS125" i="28" s="1"/>
  <c r="CT125" i="28"/>
  <c r="AR125" i="28" s="1"/>
  <c r="CG125" i="28"/>
  <c r="AQ125" i="28" s="1"/>
  <c r="BT125" i="28"/>
  <c r="AP125" i="28" s="1"/>
  <c r="BG125" i="28"/>
  <c r="AT125" i="28"/>
  <c r="AO125" i="28"/>
  <c r="AN125" i="28"/>
  <c r="AA125" i="28"/>
  <c r="J125" i="28"/>
  <c r="DG124" i="28"/>
  <c r="AS124" i="28" s="1"/>
  <c r="CT124" i="28"/>
  <c r="AR124" i="28" s="1"/>
  <c r="CG124" i="28"/>
  <c r="AQ124" i="28" s="1"/>
  <c r="BT124" i="28"/>
  <c r="AP124" i="28" s="1"/>
  <c r="BG124" i="28"/>
  <c r="AT124" i="28"/>
  <c r="AO124" i="28"/>
  <c r="AN124" i="28"/>
  <c r="AA124" i="28"/>
  <c r="J124" i="28"/>
  <c r="DG123" i="28"/>
  <c r="AS123" i="28" s="1"/>
  <c r="CT123" i="28"/>
  <c r="AR123" i="28" s="1"/>
  <c r="CG123" i="28"/>
  <c r="AQ123" i="28" s="1"/>
  <c r="BT123" i="28"/>
  <c r="AP123" i="28" s="1"/>
  <c r="BG123" i="28"/>
  <c r="AT123" i="28"/>
  <c r="AO123" i="28"/>
  <c r="AN123" i="28"/>
  <c r="AA123" i="28"/>
  <c r="J123" i="28"/>
  <c r="DG122" i="28"/>
  <c r="AS122" i="28" s="1"/>
  <c r="CT122" i="28"/>
  <c r="AR122" i="28" s="1"/>
  <c r="CG122" i="28"/>
  <c r="AQ122" i="28" s="1"/>
  <c r="BT122" i="28"/>
  <c r="AP122" i="28" s="1"/>
  <c r="BG122" i="28"/>
  <c r="AT122" i="28"/>
  <c r="AO122" i="28"/>
  <c r="AN122" i="28"/>
  <c r="AA122" i="28"/>
  <c r="J122" i="28"/>
  <c r="DG121" i="28"/>
  <c r="AS121" i="28" s="1"/>
  <c r="CT121" i="28"/>
  <c r="AR121" i="28" s="1"/>
  <c r="CG121" i="28"/>
  <c r="BT121" i="28"/>
  <c r="AP121" i="28" s="1"/>
  <c r="BG121" i="28"/>
  <c r="AT121" i="28"/>
  <c r="AO121" i="28"/>
  <c r="AN121" i="28"/>
  <c r="AA121" i="28"/>
  <c r="J121" i="28"/>
  <c r="H121" i="28"/>
  <c r="DG120" i="28"/>
  <c r="AS120" i="28" s="1"/>
  <c r="CT120" i="28"/>
  <c r="AR120" i="28" s="1"/>
  <c r="CG120" i="28"/>
  <c r="AQ120" i="28" s="1"/>
  <c r="BT120" i="28"/>
  <c r="AP120" i="28" s="1"/>
  <c r="BG120" i="28"/>
  <c r="AT120" i="28"/>
  <c r="AO120" i="28"/>
  <c r="AN120" i="28"/>
  <c r="AA120" i="28"/>
  <c r="J120" i="28"/>
  <c r="DG119" i="28"/>
  <c r="AS119" i="28" s="1"/>
  <c r="CT119" i="28"/>
  <c r="AR119" i="28" s="1"/>
  <c r="CG119" i="28"/>
  <c r="AQ119" i="28" s="1"/>
  <c r="BT119" i="28"/>
  <c r="AP119" i="28" s="1"/>
  <c r="BG119" i="28"/>
  <c r="AT119" i="28"/>
  <c r="AO119" i="28"/>
  <c r="AN119" i="28"/>
  <c r="AA119" i="28"/>
  <c r="J119" i="28"/>
  <c r="DG118" i="28"/>
  <c r="AS118" i="28" s="1"/>
  <c r="CT118" i="28"/>
  <c r="AR118" i="28" s="1"/>
  <c r="CG118" i="28"/>
  <c r="AQ118" i="28" s="1"/>
  <c r="BT118" i="28"/>
  <c r="AP118" i="28" s="1"/>
  <c r="BG118" i="28"/>
  <c r="AT118" i="28"/>
  <c r="AO118" i="28"/>
  <c r="AN118" i="28"/>
  <c r="AA118" i="28"/>
  <c r="J118" i="28"/>
  <c r="DG117" i="28"/>
  <c r="AS117" i="28" s="1"/>
  <c r="CT117" i="28"/>
  <c r="AR117" i="28" s="1"/>
  <c r="CG117" i="28"/>
  <c r="AQ117" i="28" s="1"/>
  <c r="BT117" i="28"/>
  <c r="AP117" i="28" s="1"/>
  <c r="BG117" i="28"/>
  <c r="AT117" i="28"/>
  <c r="AO117" i="28"/>
  <c r="AN117" i="28"/>
  <c r="AA117" i="28"/>
  <c r="J117" i="28"/>
  <c r="DG116" i="28"/>
  <c r="AS116" i="28" s="1"/>
  <c r="CT116" i="28"/>
  <c r="AR116" i="28" s="1"/>
  <c r="CG116" i="28"/>
  <c r="AQ116" i="28" s="1"/>
  <c r="BT116" i="28"/>
  <c r="AP116" i="28" s="1"/>
  <c r="BG116" i="28"/>
  <c r="AT116" i="28"/>
  <c r="AO116" i="28"/>
  <c r="AN116" i="28"/>
  <c r="AA116" i="28"/>
  <c r="J116" i="28"/>
  <c r="DG115" i="28"/>
  <c r="AS115" i="28" s="1"/>
  <c r="CT115" i="28"/>
  <c r="AR115" i="28" s="1"/>
  <c r="CG115" i="28"/>
  <c r="AQ115" i="28" s="1"/>
  <c r="BT115" i="28"/>
  <c r="AP115" i="28" s="1"/>
  <c r="BG115" i="28"/>
  <c r="AT115" i="28"/>
  <c r="AO115" i="28"/>
  <c r="AN115" i="28"/>
  <c r="AA115" i="28"/>
  <c r="J115" i="28"/>
  <c r="H115" i="28"/>
  <c r="DG114" i="28"/>
  <c r="AS114" i="28" s="1"/>
  <c r="CT114" i="28"/>
  <c r="AR114" i="28" s="1"/>
  <c r="CG114" i="28"/>
  <c r="AQ114" i="28" s="1"/>
  <c r="BT114" i="28"/>
  <c r="AP114" i="28" s="1"/>
  <c r="BG114" i="28"/>
  <c r="AT114" i="28"/>
  <c r="AO114" i="28"/>
  <c r="AN114" i="28"/>
  <c r="AA114" i="28"/>
  <c r="J114" i="28"/>
  <c r="DG113" i="28"/>
  <c r="AS113" i="28" s="1"/>
  <c r="CT113" i="28"/>
  <c r="AR113" i="28" s="1"/>
  <c r="CG113" i="28"/>
  <c r="AQ113" i="28" s="1"/>
  <c r="BT113" i="28"/>
  <c r="AP113" i="28" s="1"/>
  <c r="BG113" i="28"/>
  <c r="AT113" i="28"/>
  <c r="AO113" i="28"/>
  <c r="AN113" i="28"/>
  <c r="AA113" i="28"/>
  <c r="J113" i="28"/>
  <c r="CT112" i="28"/>
  <c r="AR112" i="28" s="1"/>
  <c r="BT112" i="28"/>
  <c r="AP112" i="28" s="1"/>
  <c r="BG112" i="28"/>
  <c r="AT112" i="28"/>
  <c r="AS112" i="28"/>
  <c r="AQ112" i="28"/>
  <c r="AO112" i="28"/>
  <c r="AN112" i="28"/>
  <c r="AA112" i="28"/>
  <c r="J112" i="28"/>
  <c r="DG111" i="28"/>
  <c r="AS111" i="28" s="1"/>
  <c r="CT111" i="28"/>
  <c r="AR111" i="28" s="1"/>
  <c r="CG111" i="28"/>
  <c r="AQ111" i="28" s="1"/>
  <c r="BT111" i="28"/>
  <c r="AP111" i="28" s="1"/>
  <c r="BG111" i="28"/>
  <c r="AT111" i="28"/>
  <c r="AO111" i="28"/>
  <c r="AN111" i="28"/>
  <c r="AA111" i="28"/>
  <c r="J111" i="28"/>
  <c r="H111" i="28"/>
  <c r="DG110" i="28"/>
  <c r="AS110" i="28" s="1"/>
  <c r="CG110" i="28"/>
  <c r="AQ110" i="28" s="1"/>
  <c r="BT110" i="28"/>
  <c r="AP110" i="28" s="1"/>
  <c r="BG110" i="28"/>
  <c r="AT110" i="28"/>
  <c r="AR110" i="28"/>
  <c r="AO110" i="28"/>
  <c r="AN110" i="28"/>
  <c r="AA110" i="28"/>
  <c r="DH109" i="28"/>
  <c r="DF109" i="28"/>
  <c r="DE109" i="28"/>
  <c r="DD109" i="28"/>
  <c r="DC109" i="28"/>
  <c r="DB109" i="28"/>
  <c r="DA109" i="28"/>
  <c r="CZ109" i="28"/>
  <c r="CY109" i="28"/>
  <c r="CX109" i="28"/>
  <c r="CW109" i="28"/>
  <c r="CV109" i="28"/>
  <c r="CU109" i="28"/>
  <c r="CS109" i="28"/>
  <c r="CR109" i="28"/>
  <c r="CQ109" i="28"/>
  <c r="CP109" i="28"/>
  <c r="CO109" i="28"/>
  <c r="CN109" i="28"/>
  <c r="CM109" i="28"/>
  <c r="CL109" i="28"/>
  <c r="CK109" i="28"/>
  <c r="CJ109" i="28"/>
  <c r="CI109" i="28"/>
  <c r="CH109" i="28"/>
  <c r="CE109" i="28"/>
  <c r="CD109" i="28"/>
  <c r="CC109" i="28"/>
  <c r="CB109" i="28"/>
  <c r="CA109" i="28"/>
  <c r="BZ109" i="28"/>
  <c r="BY109" i="28"/>
  <c r="BX109" i="28"/>
  <c r="BW109" i="28"/>
  <c r="BV109" i="28"/>
  <c r="BU109" i="28"/>
  <c r="BS109" i="28"/>
  <c r="BR109" i="28"/>
  <c r="BQ109" i="28"/>
  <c r="BP109" i="28"/>
  <c r="BO109" i="28"/>
  <c r="BN109" i="28"/>
  <c r="BM109" i="28"/>
  <c r="BK109" i="28"/>
  <c r="BJ109" i="28"/>
  <c r="BI109" i="28"/>
  <c r="BH109" i="28"/>
  <c r="BF109" i="28"/>
  <c r="BE109" i="28"/>
  <c r="BD109" i="28"/>
  <c r="BC109" i="28"/>
  <c r="BB109" i="28"/>
  <c r="BA109" i="28"/>
  <c r="AZ109" i="28"/>
  <c r="AY109" i="28"/>
  <c r="AX109" i="28"/>
  <c r="AW109" i="28"/>
  <c r="AV109" i="28"/>
  <c r="AU109" i="28"/>
  <c r="AM109" i="28"/>
  <c r="AL109" i="28"/>
  <c r="AK109" i="28"/>
  <c r="AJ109" i="28"/>
  <c r="AI109" i="28"/>
  <c r="AH109" i="28"/>
  <c r="AG109" i="28"/>
  <c r="AF109" i="28"/>
  <c r="AE109" i="28"/>
  <c r="AD109" i="28"/>
  <c r="AC109" i="28"/>
  <c r="AB109" i="28"/>
  <c r="DG108" i="28"/>
  <c r="AS108" i="28" s="1"/>
  <c r="CT108" i="28"/>
  <c r="AR108" i="28" s="1"/>
  <c r="CG108" i="28"/>
  <c r="AQ108" i="28" s="1"/>
  <c r="BT108" i="28"/>
  <c r="AP108" i="28" s="1"/>
  <c r="BG108" i="28"/>
  <c r="AT108" i="28"/>
  <c r="AO108" i="28"/>
  <c r="AN108" i="28"/>
  <c r="AA108" i="28"/>
  <c r="J108" i="28"/>
  <c r="DG107" i="28"/>
  <c r="AS107" i="28" s="1"/>
  <c r="CT107" i="28"/>
  <c r="AR107" i="28" s="1"/>
  <c r="CG107" i="28"/>
  <c r="AQ107" i="28" s="1"/>
  <c r="BT107" i="28"/>
  <c r="AP107" i="28" s="1"/>
  <c r="BG107" i="28"/>
  <c r="AT107" i="28"/>
  <c r="AO107" i="28"/>
  <c r="AN107" i="28"/>
  <c r="AA107" i="28"/>
  <c r="J107" i="28"/>
  <c r="DG106" i="28"/>
  <c r="CT106" i="28"/>
  <c r="CG106" i="28"/>
  <c r="BT106" i="28"/>
  <c r="BG106" i="28"/>
  <c r="J106" i="28"/>
  <c r="I106" i="28"/>
  <c r="K106" i="28" s="1"/>
  <c r="DG105" i="28"/>
  <c r="CT105" i="28"/>
  <c r="CG105" i="28"/>
  <c r="BT105" i="28"/>
  <c r="BG105" i="28"/>
  <c r="J105" i="28"/>
  <c r="I105" i="28"/>
  <c r="K105" i="28" s="1"/>
  <c r="DG104" i="28"/>
  <c r="CT104" i="28"/>
  <c r="CG104" i="28"/>
  <c r="BT104" i="28"/>
  <c r="BG104" i="28"/>
  <c r="J104" i="28"/>
  <c r="I104" i="28"/>
  <c r="K104" i="28" s="1"/>
  <c r="DG103" i="28"/>
  <c r="CT103" i="28"/>
  <c r="CG103" i="28"/>
  <c r="BT103" i="28"/>
  <c r="BG103" i="28"/>
  <c r="J103" i="28"/>
  <c r="I103" i="28"/>
  <c r="K103" i="28" s="1"/>
  <c r="DG102" i="28"/>
  <c r="CT102" i="28"/>
  <c r="CG102" i="28"/>
  <c r="BT102" i="28"/>
  <c r="BG102" i="28"/>
  <c r="J102" i="28"/>
  <c r="I102" i="28"/>
  <c r="K102" i="28" s="1"/>
  <c r="DG101" i="28"/>
  <c r="CT101" i="28"/>
  <c r="CG101" i="28"/>
  <c r="BT101" i="28"/>
  <c r="BG101" i="28"/>
  <c r="J101" i="28"/>
  <c r="I101" i="28"/>
  <c r="K101" i="28" s="1"/>
  <c r="DG100" i="28"/>
  <c r="CT100" i="28"/>
  <c r="CG100" i="28"/>
  <c r="BT100" i="28"/>
  <c r="BG100" i="28"/>
  <c r="J100" i="28"/>
  <c r="I100" i="28"/>
  <c r="K100" i="28" s="1"/>
  <c r="DG99" i="28"/>
  <c r="CT99" i="28"/>
  <c r="CG99" i="28"/>
  <c r="BT99" i="28"/>
  <c r="BG99" i="28"/>
  <c r="J99" i="28"/>
  <c r="I99" i="28"/>
  <c r="K99" i="28" s="1"/>
  <c r="DG98" i="28"/>
  <c r="CT98" i="28"/>
  <c r="CG98" i="28"/>
  <c r="BT98" i="28"/>
  <c r="BG98" i="28"/>
  <c r="J98" i="28"/>
  <c r="I98" i="28"/>
  <c r="K98" i="28" s="1"/>
  <c r="DG97" i="28"/>
  <c r="CT97" i="28"/>
  <c r="CG97" i="28"/>
  <c r="BT97" i="28"/>
  <c r="BG97" i="28"/>
  <c r="J97" i="28"/>
  <c r="I97" i="28"/>
  <c r="K97" i="28" s="1"/>
  <c r="DG96" i="28"/>
  <c r="CT96" i="28"/>
  <c r="CG96" i="28"/>
  <c r="BT96" i="28"/>
  <c r="BG96" i="28"/>
  <c r="J96" i="28"/>
  <c r="I96" i="28"/>
  <c r="K96" i="28" s="1"/>
  <c r="DG95" i="28"/>
  <c r="CT95" i="28"/>
  <c r="CG95" i="28"/>
  <c r="BT95" i="28"/>
  <c r="BG95" i="28"/>
  <c r="J95" i="28"/>
  <c r="I95" i="28"/>
  <c r="K95" i="28" s="1"/>
  <c r="DG94" i="28"/>
  <c r="CT94" i="28"/>
  <c r="CG94" i="28"/>
  <c r="BT94" i="28"/>
  <c r="BG94" i="28"/>
  <c r="J94" i="28"/>
  <c r="I94" i="28"/>
  <c r="K94" i="28" s="1"/>
  <c r="DG93" i="28"/>
  <c r="CT93" i="28"/>
  <c r="CG93" i="28"/>
  <c r="BT93" i="28"/>
  <c r="BG93" i="28"/>
  <c r="J93" i="28"/>
  <c r="I93" i="28"/>
  <c r="K93" i="28" s="1"/>
  <c r="DG92" i="28"/>
  <c r="CT92" i="28"/>
  <c r="CG92" i="28"/>
  <c r="BT92" i="28"/>
  <c r="BG92" i="28"/>
  <c r="J92" i="28"/>
  <c r="I92" i="28"/>
  <c r="H92" i="28"/>
  <c r="DG91" i="28"/>
  <c r="CT91" i="28"/>
  <c r="CG91" i="28"/>
  <c r="BT91" i="28"/>
  <c r="BG91" i="28"/>
  <c r="J91" i="28"/>
  <c r="I91" i="28"/>
  <c r="K91" i="28" s="1"/>
  <c r="CF90" i="28"/>
  <c r="BT90" i="28"/>
  <c r="AP90" i="28" s="1"/>
  <c r="AT90" i="28"/>
  <c r="AS90" i="28"/>
  <c r="AR90" i="28"/>
  <c r="AO90" i="28"/>
  <c r="AN90" i="28"/>
  <c r="AA90" i="28"/>
  <c r="DG89" i="28"/>
  <c r="CT89" i="28"/>
  <c r="CG89" i="28"/>
  <c r="BT89" i="28"/>
  <c r="BG89" i="28"/>
  <c r="DG88" i="28"/>
  <c r="CT88" i="28"/>
  <c r="CG88" i="28"/>
  <c r="BT88" i="28"/>
  <c r="BG88" i="28"/>
  <c r="DG87" i="28"/>
  <c r="CT87" i="28"/>
  <c r="CG87" i="28"/>
  <c r="BT87" i="28"/>
  <c r="BG87" i="28"/>
  <c r="DG86" i="28"/>
  <c r="CT86" i="28"/>
  <c r="CG86" i="28"/>
  <c r="BT86" i="28"/>
  <c r="BG86" i="28"/>
  <c r="DG85" i="28"/>
  <c r="CT85" i="28"/>
  <c r="CG85" i="28"/>
  <c r="BT85" i="28"/>
  <c r="BG85" i="28"/>
  <c r="DG84" i="28"/>
  <c r="CT84" i="28"/>
  <c r="CG84" i="28"/>
  <c r="BT84" i="28"/>
  <c r="BG84" i="28"/>
  <c r="DG83" i="28"/>
  <c r="CT83" i="28"/>
  <c r="CG83" i="28"/>
  <c r="BT83" i="28"/>
  <c r="BG83" i="28"/>
  <c r="DG82" i="28"/>
  <c r="CT82" i="28"/>
  <c r="CG82" i="28"/>
  <c r="BT82" i="28"/>
  <c r="BG82" i="28"/>
  <c r="DG81" i="28"/>
  <c r="CT81" i="28"/>
  <c r="CG81" i="28"/>
  <c r="BT81" i="28"/>
  <c r="BG81" i="28"/>
  <c r="DG80" i="28"/>
  <c r="CT80" i="28"/>
  <c r="CG80" i="28"/>
  <c r="BT80" i="28"/>
  <c r="BG80" i="28"/>
  <c r="DG79" i="28"/>
  <c r="CT79" i="28"/>
  <c r="CG79" i="28"/>
  <c r="BT79" i="28"/>
  <c r="BG79" i="28"/>
  <c r="DG78" i="28"/>
  <c r="CT78" i="28"/>
  <c r="CG78" i="28"/>
  <c r="BT78" i="28"/>
  <c r="BG78" i="28"/>
  <c r="DG77" i="28"/>
  <c r="CT77" i="28"/>
  <c r="CG77" i="28"/>
  <c r="BT77" i="28"/>
  <c r="BG77" i="28"/>
  <c r="DG76" i="28"/>
  <c r="CT76" i="28"/>
  <c r="CG76" i="28"/>
  <c r="BT76" i="28"/>
  <c r="BG76" i="28"/>
  <c r="DG75" i="28"/>
  <c r="CT75" i="28"/>
  <c r="CG75" i="28"/>
  <c r="BT75" i="28"/>
  <c r="BG75" i="28"/>
  <c r="DG74" i="28"/>
  <c r="AS74" i="28" s="1"/>
  <c r="CT74" i="28"/>
  <c r="AR74" i="28" s="1"/>
  <c r="CG74" i="28"/>
  <c r="AQ74" i="28" s="1"/>
  <c r="BT74" i="28"/>
  <c r="AP74" i="28" s="1"/>
  <c r="BG74" i="28"/>
  <c r="AT74" i="28"/>
  <c r="AO74" i="28"/>
  <c r="AN74" i="28"/>
  <c r="AA74" i="28"/>
  <c r="J74" i="28"/>
  <c r="DG73" i="28"/>
  <c r="AS73" i="28" s="1"/>
  <c r="CT73" i="28"/>
  <c r="AR73" i="28" s="1"/>
  <c r="CG73" i="28"/>
  <c r="AQ73" i="28" s="1"/>
  <c r="BT73" i="28"/>
  <c r="AP73" i="28" s="1"/>
  <c r="BG73" i="28"/>
  <c r="AT73" i="28"/>
  <c r="AO73" i="28"/>
  <c r="AN73" i="28"/>
  <c r="AA73" i="28"/>
  <c r="J73" i="28"/>
  <c r="DG72" i="28"/>
  <c r="AS72" i="28" s="1"/>
  <c r="CT72" i="28"/>
  <c r="AR72" i="28" s="1"/>
  <c r="CG72" i="28"/>
  <c r="AQ72" i="28" s="1"/>
  <c r="BT72" i="28"/>
  <c r="AP72" i="28" s="1"/>
  <c r="BG72" i="28"/>
  <c r="AT72" i="28"/>
  <c r="AO72" i="28"/>
  <c r="AN72" i="28"/>
  <c r="AA72" i="28"/>
  <c r="J72" i="28"/>
  <c r="DG71" i="28"/>
  <c r="AS71" i="28" s="1"/>
  <c r="CT71" i="28"/>
  <c r="AR71" i="28" s="1"/>
  <c r="CG71" i="28"/>
  <c r="AQ71" i="28" s="1"/>
  <c r="BT71" i="28"/>
  <c r="AP71" i="28" s="1"/>
  <c r="BG71" i="28"/>
  <c r="AT71" i="28"/>
  <c r="AO71" i="28"/>
  <c r="AN71" i="28"/>
  <c r="AA71" i="28"/>
  <c r="J71" i="28"/>
  <c r="DG70" i="28"/>
  <c r="AS70" i="28" s="1"/>
  <c r="CT70" i="28"/>
  <c r="AR70" i="28" s="1"/>
  <c r="CG70" i="28"/>
  <c r="AQ70" i="28" s="1"/>
  <c r="BT70" i="28"/>
  <c r="AP70" i="28" s="1"/>
  <c r="BG70" i="28"/>
  <c r="AT70" i="28"/>
  <c r="AO70" i="28"/>
  <c r="AN70" i="28"/>
  <c r="AA70" i="28"/>
  <c r="J70" i="28"/>
  <c r="DG69" i="28"/>
  <c r="AS69" i="28" s="1"/>
  <c r="CT69" i="28"/>
  <c r="AR69" i="28" s="1"/>
  <c r="CG69" i="28"/>
  <c r="AQ69" i="28" s="1"/>
  <c r="BT69" i="28"/>
  <c r="AP69" i="28" s="1"/>
  <c r="BG69" i="28"/>
  <c r="AT69" i="28"/>
  <c r="AO69" i="28"/>
  <c r="AN69" i="28"/>
  <c r="AA69" i="28"/>
  <c r="J69" i="28"/>
  <c r="DG68" i="28"/>
  <c r="AS68" i="28" s="1"/>
  <c r="CT68" i="28"/>
  <c r="AR68" i="28" s="1"/>
  <c r="CG68" i="28"/>
  <c r="AQ68" i="28" s="1"/>
  <c r="BT68" i="28"/>
  <c r="AP68" i="28" s="1"/>
  <c r="BG68" i="28"/>
  <c r="AT68" i="28"/>
  <c r="AO68" i="28"/>
  <c r="AN68" i="28"/>
  <c r="AA68" i="28"/>
  <c r="J68" i="28"/>
  <c r="DG67" i="28"/>
  <c r="AS67" i="28" s="1"/>
  <c r="CT67" i="28"/>
  <c r="AR67" i="28" s="1"/>
  <c r="CG67" i="28"/>
  <c r="AQ67" i="28" s="1"/>
  <c r="BT67" i="28"/>
  <c r="AP67" i="28" s="1"/>
  <c r="BG67" i="28"/>
  <c r="AT67" i="28"/>
  <c r="AO67" i="28"/>
  <c r="AN67" i="28"/>
  <c r="AA67" i="28"/>
  <c r="J67" i="28"/>
  <c r="DG66" i="28"/>
  <c r="AS66" i="28" s="1"/>
  <c r="CT66" i="28"/>
  <c r="AR66" i="28" s="1"/>
  <c r="CG66" i="28"/>
  <c r="AQ66" i="28" s="1"/>
  <c r="BT66" i="28"/>
  <c r="AP66" i="28" s="1"/>
  <c r="BG66" i="28"/>
  <c r="AT66" i="28"/>
  <c r="AO66" i="28"/>
  <c r="AN66" i="28"/>
  <c r="AA66" i="28"/>
  <c r="J66" i="28"/>
  <c r="H66" i="28"/>
  <c r="G66" i="28"/>
  <c r="DG65" i="28"/>
  <c r="AS65" i="28" s="1"/>
  <c r="CT65" i="28"/>
  <c r="AR65" i="28" s="1"/>
  <c r="CG65" i="28"/>
  <c r="AQ65" i="28" s="1"/>
  <c r="BT65" i="28"/>
  <c r="AP65" i="28" s="1"/>
  <c r="BG65" i="28"/>
  <c r="AT65" i="28"/>
  <c r="AO65" i="28"/>
  <c r="AN65" i="28"/>
  <c r="AA65" i="28"/>
  <c r="J65" i="28"/>
  <c r="DG64" i="28"/>
  <c r="CT64" i="28"/>
  <c r="CG64" i="28"/>
  <c r="BT64" i="28"/>
  <c r="BG64" i="28"/>
  <c r="J64" i="28"/>
  <c r="I64" i="28"/>
  <c r="K64" i="28" s="1"/>
  <c r="DG63" i="28"/>
  <c r="CT63" i="28"/>
  <c r="CG63" i="28"/>
  <c r="BT63" i="28"/>
  <c r="BG63" i="28"/>
  <c r="J63" i="28"/>
  <c r="I63" i="28"/>
  <c r="K63" i="28" s="1"/>
  <c r="DG62" i="28"/>
  <c r="CT62" i="28"/>
  <c r="CG62" i="28"/>
  <c r="BT62" i="28"/>
  <c r="BG62" i="28"/>
  <c r="J62" i="28"/>
  <c r="I62" i="28"/>
  <c r="H62" i="28"/>
  <c r="G62" i="28"/>
  <c r="DG61" i="28"/>
  <c r="CT61" i="28"/>
  <c r="CG61" i="28"/>
  <c r="BT61" i="28"/>
  <c r="BG61" i="28"/>
  <c r="J61" i="28"/>
  <c r="I61" i="28"/>
  <c r="H61" i="28"/>
  <c r="G61" i="28"/>
  <c r="DG60" i="28"/>
  <c r="CT60" i="28"/>
  <c r="CG60" i="28"/>
  <c r="BT60" i="28"/>
  <c r="BG60" i="28"/>
  <c r="J60" i="28"/>
  <c r="I60" i="28"/>
  <c r="H60" i="28"/>
  <c r="G60" i="28"/>
  <c r="DG59" i="28"/>
  <c r="CT59" i="28"/>
  <c r="CG59" i="28"/>
  <c r="BT59" i="28"/>
  <c r="BG59" i="28"/>
  <c r="J59" i="28"/>
  <c r="I59" i="28"/>
  <c r="K59" i="28" s="1"/>
  <c r="DG58" i="28"/>
  <c r="CT58" i="28"/>
  <c r="CG58" i="28"/>
  <c r="BT58" i="28"/>
  <c r="BG58" i="28"/>
  <c r="J58" i="28"/>
  <c r="I58" i="28"/>
  <c r="H58" i="28"/>
  <c r="G58" i="28"/>
  <c r="DG57" i="28"/>
  <c r="CT57" i="28"/>
  <c r="CG57" i="28"/>
  <c r="BT57" i="28"/>
  <c r="BG57" i="28"/>
  <c r="J57" i="28"/>
  <c r="I57" i="28"/>
  <c r="K57" i="28" s="1"/>
  <c r="DG56" i="28"/>
  <c r="CT56" i="28"/>
  <c r="CG56" i="28"/>
  <c r="BT56" i="28"/>
  <c r="BG56" i="28"/>
  <c r="J56" i="28"/>
  <c r="I56" i="28"/>
  <c r="H56" i="28"/>
  <c r="G56" i="28"/>
  <c r="DG55" i="28"/>
  <c r="CT55" i="28"/>
  <c r="CG55" i="28"/>
  <c r="BT55" i="28"/>
  <c r="BG55" i="28"/>
  <c r="J55" i="28"/>
  <c r="I55" i="28"/>
  <c r="H55" i="28"/>
  <c r="G55" i="28"/>
  <c r="DG54" i="28"/>
  <c r="CT54" i="28"/>
  <c r="CG54" i="28"/>
  <c r="BT54" i="28"/>
  <c r="BG54" i="28"/>
  <c r="J54" i="28"/>
  <c r="I54" i="28"/>
  <c r="K54" i="28" s="1"/>
  <c r="DG53" i="28"/>
  <c r="CT53" i="28"/>
  <c r="CG53" i="28"/>
  <c r="BT53" i="28"/>
  <c r="BG53" i="28"/>
  <c r="J53" i="28"/>
  <c r="I53" i="28"/>
  <c r="K53" i="28" s="1"/>
  <c r="DG52" i="28"/>
  <c r="CT52" i="28"/>
  <c r="CG52" i="28"/>
  <c r="BT52" i="28"/>
  <c r="BG52" i="28"/>
  <c r="J52" i="28"/>
  <c r="I52" i="28"/>
  <c r="K52" i="28" s="1"/>
  <c r="DG51" i="28"/>
  <c r="CT51" i="28"/>
  <c r="CG51" i="28"/>
  <c r="BT51" i="28"/>
  <c r="BG51" i="28"/>
  <c r="J51" i="28"/>
  <c r="I51" i="28"/>
  <c r="K51" i="28" s="1"/>
  <c r="DG50" i="28"/>
  <c r="AS50" i="28" s="1"/>
  <c r="CT50" i="28"/>
  <c r="AR50" i="28" s="1"/>
  <c r="CG50" i="28"/>
  <c r="AQ50" i="28" s="1"/>
  <c r="BT50" i="28"/>
  <c r="AP50" i="28" s="1"/>
  <c r="BG50" i="28"/>
  <c r="AT50" i="28"/>
  <c r="AO50" i="28"/>
  <c r="AN50" i="28"/>
  <c r="AA50" i="28"/>
  <c r="J50" i="28"/>
  <c r="DG49" i="28"/>
  <c r="AS49" i="28" s="1"/>
  <c r="CT49" i="28"/>
  <c r="AR49" i="28" s="1"/>
  <c r="CG49" i="28"/>
  <c r="AQ49" i="28" s="1"/>
  <c r="BT49" i="28"/>
  <c r="AP49" i="28" s="1"/>
  <c r="BG49" i="28"/>
  <c r="AT49" i="28"/>
  <c r="AO49" i="28"/>
  <c r="AN49" i="28"/>
  <c r="AA49" i="28"/>
  <c r="J49" i="28"/>
  <c r="DG48" i="28"/>
  <c r="AS48" i="28" s="1"/>
  <c r="CT48" i="28"/>
  <c r="AR48" i="28" s="1"/>
  <c r="CG48" i="28"/>
  <c r="AQ48" i="28" s="1"/>
  <c r="BT48" i="28"/>
  <c r="AP48" i="28" s="1"/>
  <c r="BG48" i="28"/>
  <c r="AT48" i="28"/>
  <c r="AO48" i="28"/>
  <c r="AN48" i="28"/>
  <c r="AA48" i="28"/>
  <c r="J48" i="28"/>
  <c r="DG47" i="28"/>
  <c r="AS47" i="28" s="1"/>
  <c r="CT47" i="28"/>
  <c r="AR47" i="28" s="1"/>
  <c r="CG47" i="28"/>
  <c r="AQ47" i="28" s="1"/>
  <c r="BT47" i="28"/>
  <c r="AP47" i="28" s="1"/>
  <c r="BG47" i="28"/>
  <c r="AT47" i="28"/>
  <c r="AO47" i="28"/>
  <c r="AN47" i="28"/>
  <c r="AA47" i="28"/>
  <c r="J47" i="28"/>
  <c r="DG46" i="28"/>
  <c r="AS46" i="28" s="1"/>
  <c r="CT46" i="28"/>
  <c r="AR46" i="28" s="1"/>
  <c r="CG46" i="28"/>
  <c r="AQ46" i="28" s="1"/>
  <c r="BT46" i="28"/>
  <c r="AP46" i="28" s="1"/>
  <c r="BG46" i="28"/>
  <c r="AT46" i="28"/>
  <c r="AO46" i="28"/>
  <c r="AN46" i="28"/>
  <c r="AA46" i="28"/>
  <c r="J46" i="28"/>
  <c r="DG45" i="28"/>
  <c r="AS45" i="28" s="1"/>
  <c r="CT45" i="28"/>
  <c r="AR45" i="28" s="1"/>
  <c r="CG45" i="28"/>
  <c r="BT45" i="28"/>
  <c r="AP45" i="28" s="1"/>
  <c r="BG45" i="28"/>
  <c r="AT45" i="28"/>
  <c r="AO45" i="28"/>
  <c r="AN45" i="28"/>
  <c r="AA45" i="28"/>
  <c r="J45" i="28"/>
  <c r="DG44" i="28"/>
  <c r="AS44" i="28" s="1"/>
  <c r="CT44" i="28"/>
  <c r="CG44" i="28"/>
  <c r="AQ44" i="28" s="1"/>
  <c r="BT44" i="28"/>
  <c r="AP44" i="28" s="1"/>
  <c r="BG44" i="28"/>
  <c r="AT44" i="28"/>
  <c r="AO44" i="28"/>
  <c r="AN44" i="28"/>
  <c r="AA44" i="28"/>
  <c r="J44" i="28"/>
  <c r="DG43" i="28"/>
  <c r="AS43" i="28" s="1"/>
  <c r="CT43" i="28"/>
  <c r="AR43" i="28" s="1"/>
  <c r="CG43" i="28"/>
  <c r="AQ43" i="28" s="1"/>
  <c r="BT43" i="28"/>
  <c r="AP43" i="28" s="1"/>
  <c r="BG43" i="28"/>
  <c r="AT43" i="28"/>
  <c r="AO43" i="28"/>
  <c r="AN43" i="28"/>
  <c r="AA43" i="28"/>
  <c r="J43" i="28"/>
  <c r="DG42" i="28"/>
  <c r="AS42" i="28" s="1"/>
  <c r="CT42" i="28"/>
  <c r="AR42" i="28" s="1"/>
  <c r="CG42" i="28"/>
  <c r="AQ42" i="28" s="1"/>
  <c r="BT42" i="28"/>
  <c r="AP42" i="28" s="1"/>
  <c r="BG42" i="28"/>
  <c r="AT42" i="28"/>
  <c r="AO42" i="28"/>
  <c r="AN42" i="28"/>
  <c r="AA42" i="28"/>
  <c r="J42" i="28"/>
  <c r="DG41" i="28"/>
  <c r="AS41" i="28" s="1"/>
  <c r="CT41" i="28"/>
  <c r="AR41" i="28" s="1"/>
  <c r="CG41" i="28"/>
  <c r="AQ41" i="28" s="1"/>
  <c r="BG41" i="28"/>
  <c r="AT41" i="28"/>
  <c r="AO41" i="28"/>
  <c r="AN41" i="28"/>
  <c r="AA41" i="28"/>
  <c r="DG40" i="28"/>
  <c r="AS40" i="28" s="1"/>
  <c r="CT40" i="28"/>
  <c r="AR40" i="28" s="1"/>
  <c r="CG40" i="28"/>
  <c r="AQ40" i="28" s="1"/>
  <c r="BT40" i="28"/>
  <c r="AP40" i="28" s="1"/>
  <c r="BG40" i="28"/>
  <c r="AT40" i="28"/>
  <c r="AO40" i="28"/>
  <c r="AN40" i="28"/>
  <c r="AA40" i="28"/>
  <c r="J40" i="28"/>
  <c r="DG39" i="28"/>
  <c r="AS39" i="28" s="1"/>
  <c r="CT39" i="28"/>
  <c r="AR39" i="28" s="1"/>
  <c r="CG39" i="28"/>
  <c r="AQ39" i="28" s="1"/>
  <c r="BT39" i="28"/>
  <c r="AP39" i="28" s="1"/>
  <c r="BG39" i="28"/>
  <c r="AT39" i="28"/>
  <c r="AO39" i="28"/>
  <c r="AN39" i="28"/>
  <c r="AA39" i="28"/>
  <c r="J39" i="28"/>
  <c r="DG38" i="28"/>
  <c r="AS38" i="28" s="1"/>
  <c r="CT38" i="28"/>
  <c r="AR38" i="28" s="1"/>
  <c r="CG38" i="28"/>
  <c r="AQ38" i="28" s="1"/>
  <c r="BT38" i="28"/>
  <c r="AP38" i="28" s="1"/>
  <c r="BG38" i="28"/>
  <c r="AT38" i="28"/>
  <c r="AO38" i="28"/>
  <c r="AN38" i="28"/>
  <c r="AA38" i="28"/>
  <c r="J38" i="28"/>
  <c r="DG37" i="28"/>
  <c r="CT37" i="28"/>
  <c r="CG37" i="28"/>
  <c r="BT37" i="28"/>
  <c r="BG37" i="28"/>
  <c r="J37" i="28"/>
  <c r="I37" i="28"/>
  <c r="DG36" i="28"/>
  <c r="CT36" i="28"/>
  <c r="CG36" i="28"/>
  <c r="BT36" i="28"/>
  <c r="BG36" i="28"/>
  <c r="J36" i="28"/>
  <c r="I36" i="28"/>
  <c r="DG35" i="28"/>
  <c r="CT35" i="28"/>
  <c r="CG35" i="28"/>
  <c r="BT35" i="28"/>
  <c r="BG35" i="28"/>
  <c r="J35" i="28"/>
  <c r="I35" i="28"/>
  <c r="DG34" i="28"/>
  <c r="CT34" i="28"/>
  <c r="CG34" i="28"/>
  <c r="BT34" i="28"/>
  <c r="BG34" i="28"/>
  <c r="J34" i="28"/>
  <c r="I34" i="28"/>
  <c r="H34" i="28"/>
  <c r="G34" i="28"/>
  <c r="DG33" i="28"/>
  <c r="CT33" i="28"/>
  <c r="CG33" i="28"/>
  <c r="BT33" i="28"/>
  <c r="BG33" i="28"/>
  <c r="J33" i="28"/>
  <c r="I33" i="28"/>
  <c r="DG32" i="28"/>
  <c r="CT32" i="28"/>
  <c r="CG32" i="28"/>
  <c r="BT32" i="28"/>
  <c r="BG32" i="28"/>
  <c r="J32" i="28"/>
  <c r="I32" i="28"/>
  <c r="DG31" i="28"/>
  <c r="BT31" i="28"/>
  <c r="BG31" i="28"/>
  <c r="J31" i="28"/>
  <c r="I31" i="28"/>
  <c r="DG30" i="28"/>
  <c r="CT30" i="28"/>
  <c r="CG30" i="28"/>
  <c r="BT30" i="28"/>
  <c r="BG30" i="28"/>
  <c r="J30" i="28"/>
  <c r="I30" i="28"/>
  <c r="G30" i="28"/>
  <c r="DG29" i="28"/>
  <c r="CT29" i="28"/>
  <c r="CG29" i="28"/>
  <c r="BT29" i="28"/>
  <c r="BG29" i="28"/>
  <c r="J29" i="28"/>
  <c r="I29" i="28"/>
  <c r="DG28" i="28"/>
  <c r="CT28" i="28"/>
  <c r="CG28" i="28"/>
  <c r="BT28" i="28"/>
  <c r="BG28" i="28"/>
  <c r="J28" i="28"/>
  <c r="I28" i="28"/>
  <c r="DG27" i="28"/>
  <c r="CT27" i="28"/>
  <c r="CG27" i="28"/>
  <c r="BT27" i="28"/>
  <c r="BG27" i="28"/>
  <c r="J27" i="28"/>
  <c r="I27" i="28"/>
  <c r="DG26" i="28"/>
  <c r="AS26" i="28" s="1"/>
  <c r="CT26" i="28"/>
  <c r="AR26" i="28" s="1"/>
  <c r="CG26" i="28"/>
  <c r="AQ26" i="28" s="1"/>
  <c r="BT26" i="28"/>
  <c r="AP26" i="28" s="1"/>
  <c r="BG26" i="28"/>
  <c r="AT26" i="28"/>
  <c r="AO26" i="28"/>
  <c r="AN26" i="28"/>
  <c r="AA26" i="28"/>
  <c r="J26" i="28"/>
  <c r="DG25" i="28"/>
  <c r="AS25" i="28" s="1"/>
  <c r="CT25" i="28"/>
  <c r="AR25" i="28" s="1"/>
  <c r="CG25" i="28"/>
  <c r="AQ25" i="28" s="1"/>
  <c r="BT25" i="28"/>
  <c r="AP25" i="28" s="1"/>
  <c r="BG25" i="28"/>
  <c r="AT25" i="28"/>
  <c r="AO25" i="28"/>
  <c r="AN25" i="28"/>
  <c r="AA25" i="28"/>
  <c r="J25" i="28"/>
  <c r="DG24" i="28"/>
  <c r="AS24" i="28" s="1"/>
  <c r="CT24" i="28"/>
  <c r="AR24" i="28" s="1"/>
  <c r="CG24" i="28"/>
  <c r="AQ24" i="28" s="1"/>
  <c r="BT24" i="28"/>
  <c r="AP24" i="28" s="1"/>
  <c r="BG24" i="28"/>
  <c r="AT24" i="28"/>
  <c r="AO24" i="28"/>
  <c r="AN24" i="28"/>
  <c r="AA24" i="28"/>
  <c r="J24" i="28"/>
  <c r="F24" i="28"/>
  <c r="F25" i="28" s="1"/>
  <c r="F50" i="28" s="1"/>
  <c r="DG23" i="28"/>
  <c r="AS23" i="28" s="1"/>
  <c r="CT23" i="28"/>
  <c r="AR23" i="28" s="1"/>
  <c r="CG23" i="28"/>
  <c r="AQ23" i="28" s="1"/>
  <c r="BT23" i="28"/>
  <c r="AP23" i="28" s="1"/>
  <c r="BG23" i="28"/>
  <c r="AT23" i="28"/>
  <c r="AO23" i="28"/>
  <c r="AN23" i="28"/>
  <c r="AA23" i="28"/>
  <c r="J23" i="28"/>
  <c r="DG22" i="28"/>
  <c r="AS22" i="28" s="1"/>
  <c r="CT22" i="28"/>
  <c r="AR22" i="28" s="1"/>
  <c r="CG22" i="28"/>
  <c r="AQ22" i="28" s="1"/>
  <c r="BT22" i="28"/>
  <c r="AP22" i="28" s="1"/>
  <c r="BG22" i="28"/>
  <c r="AT22" i="28"/>
  <c r="AO22" i="28"/>
  <c r="AN22" i="28"/>
  <c r="AA22" i="28"/>
  <c r="J22" i="28"/>
  <c r="DF21" i="28"/>
  <c r="DE21" i="28"/>
  <c r="DD21" i="28"/>
  <c r="DC21" i="28"/>
  <c r="DB21" i="28"/>
  <c r="DA21" i="28"/>
  <c r="CZ21" i="28"/>
  <c r="CY21" i="28"/>
  <c r="CX21" i="28"/>
  <c r="CW21" i="28"/>
  <c r="CV21" i="28"/>
  <c r="CU21" i="28"/>
  <c r="CS21" i="28"/>
  <c r="CR21" i="28"/>
  <c r="CP21" i="28"/>
  <c r="CO21" i="28"/>
  <c r="CN21" i="28"/>
  <c r="CM21" i="28"/>
  <c r="CL21" i="28"/>
  <c r="CK21" i="28"/>
  <c r="CJ21" i="28"/>
  <c r="CI21" i="28"/>
  <c r="CH21" i="28"/>
  <c r="CF21" i="28"/>
  <c r="CE21" i="28"/>
  <c r="CD21" i="28"/>
  <c r="CC21" i="28"/>
  <c r="CB21" i="28"/>
  <c r="CA21" i="28"/>
  <c r="BZ21" i="28"/>
  <c r="BY21" i="28"/>
  <c r="BX21" i="28"/>
  <c r="BW21" i="28"/>
  <c r="BV21" i="28"/>
  <c r="BU21" i="28"/>
  <c r="BS21" i="28"/>
  <c r="BR21" i="28"/>
  <c r="BQ21" i="28"/>
  <c r="BP21" i="28"/>
  <c r="BO21" i="28"/>
  <c r="BN21" i="28"/>
  <c r="BM21" i="28"/>
  <c r="BL21" i="28"/>
  <c r="BK21" i="28"/>
  <c r="BJ21" i="28"/>
  <c r="BI21" i="28"/>
  <c r="BF21" i="28"/>
  <c r="BE21" i="28"/>
  <c r="BD21" i="28"/>
  <c r="BC21" i="28"/>
  <c r="BB21" i="28"/>
  <c r="BA21" i="28"/>
  <c r="AZ21" i="28"/>
  <c r="AY21" i="28"/>
  <c r="AX21" i="28"/>
  <c r="AW21" i="28"/>
  <c r="AV21" i="28"/>
  <c r="AU21" i="28"/>
  <c r="DG20" i="28"/>
  <c r="AS20" i="28" s="1"/>
  <c r="CT20" i="28"/>
  <c r="AR20" i="28" s="1"/>
  <c r="CG20" i="28"/>
  <c r="AQ20" i="28" s="1"/>
  <c r="BT20" i="28"/>
  <c r="AP20" i="28" s="1"/>
  <c r="BG20" i="28"/>
  <c r="AT20" i="28"/>
  <c r="AO20" i="28"/>
  <c r="AN20" i="28"/>
  <c r="AA20" i="28"/>
  <c r="J20" i="28"/>
  <c r="DG19" i="28"/>
  <c r="AS19" i="28" s="1"/>
  <c r="CT19" i="28"/>
  <c r="AR19" i="28" s="1"/>
  <c r="CG19" i="28"/>
  <c r="AQ19" i="28" s="1"/>
  <c r="BT19" i="28"/>
  <c r="AP19" i="28" s="1"/>
  <c r="BG19" i="28"/>
  <c r="AT19" i="28"/>
  <c r="AO19" i="28"/>
  <c r="AN19" i="28"/>
  <c r="AA19" i="28"/>
  <c r="J19" i="28"/>
  <c r="DG18" i="28"/>
  <c r="AS18" i="28" s="1"/>
  <c r="CT18" i="28"/>
  <c r="AR18" i="28" s="1"/>
  <c r="CG18" i="28"/>
  <c r="AQ18" i="28" s="1"/>
  <c r="BT18" i="28"/>
  <c r="AP18" i="28" s="1"/>
  <c r="BG18" i="28"/>
  <c r="AT18" i="28"/>
  <c r="AO18" i="28"/>
  <c r="AN18" i="28"/>
  <c r="AA18" i="28"/>
  <c r="J18" i="28"/>
  <c r="DG17" i="28"/>
  <c r="AS17" i="28" s="1"/>
  <c r="CT17" i="28"/>
  <c r="AR17" i="28" s="1"/>
  <c r="CG17" i="28"/>
  <c r="AQ17" i="28" s="1"/>
  <c r="BT17" i="28"/>
  <c r="AP17" i="28" s="1"/>
  <c r="BG17" i="28"/>
  <c r="AT17" i="28"/>
  <c r="AO17" i="28"/>
  <c r="AN17" i="28"/>
  <c r="AA17" i="28"/>
  <c r="J17" i="28"/>
  <c r="DG16" i="28"/>
  <c r="AS16" i="28" s="1"/>
  <c r="CT16" i="28"/>
  <c r="AR16" i="28" s="1"/>
  <c r="CG16" i="28"/>
  <c r="AQ16" i="28" s="1"/>
  <c r="BT16" i="28"/>
  <c r="AP16" i="28" s="1"/>
  <c r="BG16" i="28"/>
  <c r="AT16" i="28"/>
  <c r="AO16" i="28"/>
  <c r="AN16" i="28"/>
  <c r="AA16" i="28"/>
  <c r="J16" i="28"/>
  <c r="DH15" i="28"/>
  <c r="DH21" i="28" s="1"/>
  <c r="DG15" i="28"/>
  <c r="AS15" i="28" s="1"/>
  <c r="CQ15" i="28"/>
  <c r="CT15" i="28" s="1"/>
  <c r="AR15" i="28" s="1"/>
  <c r="CG15" i="28"/>
  <c r="AQ15" i="28" s="1"/>
  <c r="BT15" i="28"/>
  <c r="AP15" i="28" s="1"/>
  <c r="BG15" i="28"/>
  <c r="AO15" i="28"/>
  <c r="AN15" i="28"/>
  <c r="AA15" i="28"/>
  <c r="J15" i="28"/>
  <c r="H15" i="28"/>
  <c r="H21" i="28" s="1"/>
  <c r="DG14" i="28"/>
  <c r="AS14" i="28" s="1"/>
  <c r="CT14" i="28"/>
  <c r="AR14" i="28" s="1"/>
  <c r="CG14" i="28"/>
  <c r="AQ14" i="28" s="1"/>
  <c r="BT14" i="28"/>
  <c r="BG14" i="28"/>
  <c r="AT14" i="28"/>
  <c r="AO14" i="28"/>
  <c r="AN14" i="28"/>
  <c r="AA14" i="28"/>
  <c r="J14" i="28"/>
  <c r="DG13" i="28"/>
  <c r="AS13" i="28" s="1"/>
  <c r="CT13" i="28"/>
  <c r="AR13" i="28" s="1"/>
  <c r="CG13" i="28"/>
  <c r="AQ13" i="28" s="1"/>
  <c r="BT13" i="28"/>
  <c r="AP13" i="28" s="1"/>
  <c r="BG13" i="28"/>
  <c r="AT13" i="28"/>
  <c r="AO13" i="28"/>
  <c r="AN13" i="28"/>
  <c r="AA13" i="28"/>
  <c r="J13" i="28"/>
  <c r="DG12" i="28"/>
  <c r="AS12" i="28" s="1"/>
  <c r="CT12" i="28"/>
  <c r="AR12" i="28" s="1"/>
  <c r="CG12" i="28"/>
  <c r="AQ12" i="28" s="1"/>
  <c r="BT12" i="28"/>
  <c r="AP12" i="28" s="1"/>
  <c r="BG12" i="28"/>
  <c r="AT12" i="28"/>
  <c r="AO12" i="28"/>
  <c r="AN12" i="28"/>
  <c r="AA12" i="28"/>
  <c r="J12" i="28"/>
  <c r="DG11" i="28"/>
  <c r="AS11" i="28" s="1"/>
  <c r="CT11" i="28"/>
  <c r="AR11" i="28" s="1"/>
  <c r="CG11" i="28"/>
  <c r="AQ11" i="28" s="1"/>
  <c r="BT11" i="28"/>
  <c r="AP11" i="28" s="1"/>
  <c r="BG11" i="28"/>
  <c r="AT11" i="28"/>
  <c r="AO11" i="28"/>
  <c r="AN11" i="28"/>
  <c r="AA11" i="28"/>
  <c r="J11" i="28"/>
  <c r="DG10" i="28"/>
  <c r="AS10" i="28" s="1"/>
  <c r="CT10" i="28"/>
  <c r="AR10" i="28" s="1"/>
  <c r="CG10" i="28"/>
  <c r="AQ10" i="28" s="1"/>
  <c r="BT10" i="28"/>
  <c r="AP10" i="28" s="1"/>
  <c r="BG10" i="28"/>
  <c r="AT10" i="28"/>
  <c r="AO10" i="28"/>
  <c r="AN10" i="28"/>
  <c r="AA10" i="28"/>
  <c r="J10" i="28"/>
  <c r="DG9" i="28"/>
  <c r="AS9" i="28" s="1"/>
  <c r="CT9" i="28"/>
  <c r="AR9" i="28" s="1"/>
  <c r="CG9" i="28"/>
  <c r="AQ9" i="28" s="1"/>
  <c r="BT9" i="28"/>
  <c r="BG9" i="28"/>
  <c r="AT9" i="28"/>
  <c r="AO9" i="28"/>
  <c r="AN9" i="28"/>
  <c r="AA9" i="28"/>
  <c r="J9" i="28"/>
  <c r="DG8" i="28"/>
  <c r="AS8" i="28" s="1"/>
  <c r="CT8" i="28"/>
  <c r="AR8" i="28" s="1"/>
  <c r="CG8" i="28"/>
  <c r="AQ8" i="28" s="1"/>
  <c r="BT8" i="28"/>
  <c r="BG8" i="28"/>
  <c r="AT8" i="28"/>
  <c r="AO8" i="28"/>
  <c r="AN8" i="28"/>
  <c r="AA8" i="28"/>
  <c r="J8" i="28"/>
  <c r="DG7" i="28"/>
  <c r="AS7" i="28" s="1"/>
  <c r="CT7" i="28"/>
  <c r="AR7" i="28" s="1"/>
  <c r="CG7" i="28"/>
  <c r="AQ7" i="28" s="1"/>
  <c r="BT7" i="28"/>
  <c r="AP7" i="28" s="1"/>
  <c r="BG7" i="28"/>
  <c r="AT7" i="28"/>
  <c r="AO7" i="28"/>
  <c r="AN7" i="28"/>
  <c r="AA7" i="28"/>
  <c r="J7" i="28"/>
  <c r="DG6" i="28"/>
  <c r="CT6" i="28"/>
  <c r="CG6" i="28"/>
  <c r="BG6" i="28"/>
  <c r="AT6" i="28"/>
  <c r="AO6" i="28"/>
  <c r="AN6" i="28"/>
  <c r="AA6" i="28"/>
  <c r="BF28" i="27"/>
  <c r="BF27" i="27"/>
  <c r="BF24" i="27"/>
  <c r="F4" i="34"/>
  <c r="F36" i="20"/>
  <c r="G59" i="20"/>
  <c r="F29" i="27"/>
  <c r="G29" i="27" s="1"/>
  <c r="K29" i="27"/>
  <c r="G6" i="34"/>
  <c r="H32" i="27"/>
  <c r="I32" i="27" s="1"/>
  <c r="L26" i="27"/>
  <c r="BH56" i="11"/>
  <c r="E12" i="22"/>
  <c r="E68" i="22" s="1"/>
  <c r="E12" i="29"/>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I4" i="35"/>
  <c r="G4" i="35" s="1"/>
  <c r="F39" i="35"/>
  <c r="F41" i="35" s="1"/>
  <c r="S35" i="35"/>
  <c r="S39" i="35" s="1"/>
  <c r="R35" i="35"/>
  <c r="R39" i="35" s="1"/>
  <c r="Q35" i="35"/>
  <c r="Q39" i="35" s="1"/>
  <c r="P35" i="35"/>
  <c r="P39" i="35" s="1"/>
  <c r="O35" i="35"/>
  <c r="O39" i="35" s="1"/>
  <c r="N35" i="35"/>
  <c r="N39" i="35" s="1"/>
  <c r="M35" i="35"/>
  <c r="M39" i="35" s="1"/>
  <c r="L35" i="35"/>
  <c r="L39" i="35" s="1"/>
  <c r="K35" i="35"/>
  <c r="K39" i="35" s="1"/>
  <c r="J35" i="35"/>
  <c r="J39" i="35" s="1"/>
  <c r="I35" i="35"/>
  <c r="D39" i="35"/>
  <c r="D41" i="35" s="1"/>
  <c r="E55" i="33" a="1"/>
  <c r="E55" i="33" s="1"/>
  <c r="E43" i="32" a="1"/>
  <c r="E43" i="32" s="1"/>
  <c r="BF21" i="27"/>
  <c r="O30" i="27"/>
  <c r="AR141" i="28" l="1"/>
  <c r="L141" i="28"/>
  <c r="I19" i="28"/>
  <c r="K19" i="28" s="1"/>
  <c r="I158" i="28"/>
  <c r="K158" i="28" s="1"/>
  <c r="I18" i="28"/>
  <c r="K18" i="28" s="1"/>
  <c r="I161" i="28"/>
  <c r="K161" i="28" s="1"/>
  <c r="I26" i="28"/>
  <c r="I74" i="28"/>
  <c r="K74" i="28" s="1"/>
  <c r="I39" i="28"/>
  <c r="K39" i="28" s="1"/>
  <c r="I45" i="28"/>
  <c r="K45" i="28" s="1"/>
  <c r="K56" i="28"/>
  <c r="K92" i="28"/>
  <c r="E50" i="37"/>
  <c r="E52" i="37" s="1"/>
  <c r="J50" i="37"/>
  <c r="J52" i="37" s="1"/>
  <c r="I160" i="28"/>
  <c r="K160" i="28" s="1"/>
  <c r="N166" i="28"/>
  <c r="N170" i="28" s="1"/>
  <c r="I49" i="28"/>
  <c r="K49" i="28" s="1"/>
  <c r="I154" i="28"/>
  <c r="K154" i="28" s="1"/>
  <c r="I50" i="28"/>
  <c r="K50" i="28" s="1"/>
  <c r="L51" i="28"/>
  <c r="I23" i="28"/>
  <c r="K23" i="28" s="1"/>
  <c r="I126" i="28"/>
  <c r="K126" i="28" s="1"/>
  <c r="I164" i="28"/>
  <c r="K164" i="28" s="1"/>
  <c r="L61" i="28"/>
  <c r="I111" i="28"/>
  <c r="K111" i="28" s="1"/>
  <c r="K62" i="28"/>
  <c r="I8" i="28"/>
  <c r="K8" i="28" s="1"/>
  <c r="I155" i="28"/>
  <c r="K155" i="28" s="1"/>
  <c r="I9" i="28"/>
  <c r="I22" i="28"/>
  <c r="K22" i="28" s="1"/>
  <c r="I112" i="28"/>
  <c r="K112" i="28" s="1"/>
  <c r="I12" i="28"/>
  <c r="I67" i="28"/>
  <c r="K67" i="28" s="1"/>
  <c r="I149" i="28"/>
  <c r="K149" i="28" s="1"/>
  <c r="I65" i="28"/>
  <c r="K65" i="28" s="1"/>
  <c r="I108" i="28"/>
  <c r="K108" i="28" s="1"/>
  <c r="I159" i="28"/>
  <c r="K159" i="28" s="1"/>
  <c r="I14" i="28"/>
  <c r="K14" i="28" s="1"/>
  <c r="I146" i="28"/>
  <c r="K146" i="28" s="1"/>
  <c r="J157" i="28"/>
  <c r="I38" i="28"/>
  <c r="K38" i="28" s="1"/>
  <c r="I71" i="28"/>
  <c r="K71" i="28" s="1"/>
  <c r="I132" i="28"/>
  <c r="K132" i="28" s="1"/>
  <c r="CU166" i="28"/>
  <c r="AO142" i="28"/>
  <c r="I143" i="28"/>
  <c r="K143" i="28" s="1"/>
  <c r="L161" i="28"/>
  <c r="M161" i="28" s="1"/>
  <c r="I66" i="28"/>
  <c r="K66" i="28" s="1"/>
  <c r="I72" i="28"/>
  <c r="K72" i="28" s="1"/>
  <c r="CR166" i="28"/>
  <c r="AO165" i="28"/>
  <c r="L164" i="28"/>
  <c r="M164" i="28" s="1"/>
  <c r="I117" i="28"/>
  <c r="K117" i="28" s="1"/>
  <c r="I119" i="28"/>
  <c r="K119" i="28" s="1"/>
  <c r="I121" i="28"/>
  <c r="K121" i="28" s="1"/>
  <c r="AT139" i="28"/>
  <c r="AT142" i="28"/>
  <c r="L12" i="28"/>
  <c r="BQ166" i="28"/>
  <c r="BQ4" i="28" s="1"/>
  <c r="L46" i="28"/>
  <c r="M46" i="28" s="1"/>
  <c r="K58" i="28"/>
  <c r="BG139" i="28"/>
  <c r="AS142" i="28"/>
  <c r="I48" i="28"/>
  <c r="K48" i="28" s="1"/>
  <c r="L174" i="28"/>
  <c r="M174" i="28" s="1"/>
  <c r="I41" i="28"/>
  <c r="K41" i="28" s="1"/>
  <c r="I68" i="28"/>
  <c r="K68" i="28" s="1"/>
  <c r="I131" i="28"/>
  <c r="K131" i="28" s="1"/>
  <c r="I69" i="28"/>
  <c r="K69" i="28" s="1"/>
  <c r="L57" i="28"/>
  <c r="BG21" i="28"/>
  <c r="L64" i="28"/>
  <c r="L113" i="28"/>
  <c r="M113" i="28" s="1"/>
  <c r="L144" i="28"/>
  <c r="M144" i="28" s="1"/>
  <c r="AP161" i="28"/>
  <c r="I122" i="28"/>
  <c r="K122" i="28" s="1"/>
  <c r="L122" i="28"/>
  <c r="M122" i="28" s="1"/>
  <c r="L55" i="28"/>
  <c r="I125" i="28"/>
  <c r="K125" i="28" s="1"/>
  <c r="CP166" i="28"/>
  <c r="L54" i="28"/>
  <c r="L65" i="28"/>
  <c r="L137" i="28"/>
  <c r="M137" i="28" s="1"/>
  <c r="AT150" i="28"/>
  <c r="L7" i="28"/>
  <c r="M7" i="28" s="1"/>
  <c r="L136" i="28"/>
  <c r="M136" i="28" s="1"/>
  <c r="DH166" i="28"/>
  <c r="CQ21" i="28"/>
  <c r="CQ166" i="28" s="1"/>
  <c r="L45" i="28"/>
  <c r="M45" i="28" s="1"/>
  <c r="BG129" i="28"/>
  <c r="BT129" i="28"/>
  <c r="CG129" i="28"/>
  <c r="CH166" i="28"/>
  <c r="DG129" i="28"/>
  <c r="L143" i="28"/>
  <c r="I148" i="28"/>
  <c r="K148" i="28" s="1"/>
  <c r="L177" i="28"/>
  <c r="M177" i="28" s="1"/>
  <c r="I114" i="28"/>
  <c r="K114" i="28" s="1"/>
  <c r="L114" i="28"/>
  <c r="M114" i="28" s="1"/>
  <c r="AA142" i="28"/>
  <c r="AB142" i="28" s="1"/>
  <c r="I141" i="28"/>
  <c r="I142" i="28" s="1"/>
  <c r="BT150" i="28"/>
  <c r="DG150" i="28"/>
  <c r="L38" i="28"/>
  <c r="M38" i="28" s="1"/>
  <c r="L40" i="28"/>
  <c r="M40" i="28" s="1"/>
  <c r="AR129" i="28"/>
  <c r="CG142" i="28"/>
  <c r="CW166" i="28"/>
  <c r="I44" i="28"/>
  <c r="K44" i="28" s="1"/>
  <c r="AT129" i="28"/>
  <c r="AN150" i="28"/>
  <c r="BT157" i="28"/>
  <c r="CF157" i="28" s="1"/>
  <c r="CG157" i="28" s="1"/>
  <c r="CS157" i="28" s="1"/>
  <c r="CS166" i="28" s="1"/>
  <c r="AN165" i="28"/>
  <c r="L163" i="28"/>
  <c r="M163" i="28" s="1"/>
  <c r="CA166" i="28"/>
  <c r="I10" i="28"/>
  <c r="BT41" i="28"/>
  <c r="AP41" i="28" s="1"/>
  <c r="AP109" i="28" s="1"/>
  <c r="BL109" i="28"/>
  <c r="BT109" i="28" s="1"/>
  <c r="J41" i="28"/>
  <c r="J109" i="28" s="1"/>
  <c r="L178" i="28"/>
  <c r="M178" i="28" s="1"/>
  <c r="L39" i="28"/>
  <c r="M39" i="28" s="1"/>
  <c r="AP129" i="28"/>
  <c r="AR150" i="28"/>
  <c r="AS150" i="28"/>
  <c r="L176" i="28"/>
  <c r="M176" i="28" s="1"/>
  <c r="AN21" i="28"/>
  <c r="BK166" i="28"/>
  <c r="BT142" i="28"/>
  <c r="CV166" i="28"/>
  <c r="BN166" i="28"/>
  <c r="BN4" i="28" s="1"/>
  <c r="L151" i="28"/>
  <c r="M151" i="28" s="1"/>
  <c r="L159" i="28"/>
  <c r="M159" i="28" s="1"/>
  <c r="BO166" i="28"/>
  <c r="BO4" i="28" s="1"/>
  <c r="L175" i="28"/>
  <c r="M175" i="28" s="1"/>
  <c r="AT15" i="28"/>
  <c r="AT21" i="28" s="1"/>
  <c r="I46" i="28"/>
  <c r="K46" i="28" s="1"/>
  <c r="CK166" i="28"/>
  <c r="CX166" i="28"/>
  <c r="L23" i="28"/>
  <c r="M23" i="28" s="1"/>
  <c r="L56" i="28"/>
  <c r="L69" i="28"/>
  <c r="M69" i="28" s="1"/>
  <c r="AR157" i="28"/>
  <c r="AP164" i="28"/>
  <c r="CL166" i="28"/>
  <c r="CY166" i="28"/>
  <c r="I40" i="28"/>
  <c r="K40" i="28" s="1"/>
  <c r="L63" i="28"/>
  <c r="L66" i="28"/>
  <c r="L112" i="28"/>
  <c r="M112" i="28" s="1"/>
  <c r="AO139" i="28"/>
  <c r="I152" i="28"/>
  <c r="K152" i="28" s="1"/>
  <c r="AN157" i="28"/>
  <c r="BM166" i="28"/>
  <c r="BZ166" i="28"/>
  <c r="L53" i="28"/>
  <c r="L58" i="28"/>
  <c r="K60" i="28"/>
  <c r="L62" i="28"/>
  <c r="I113" i="28"/>
  <c r="K113" i="28" s="1"/>
  <c r="I137" i="28"/>
  <c r="K137" i="28" s="1"/>
  <c r="I138" i="28"/>
  <c r="K138" i="28" s="1"/>
  <c r="AN142" i="28"/>
  <c r="I163" i="28"/>
  <c r="K163" i="28" s="1"/>
  <c r="L133" i="28"/>
  <c r="M133" i="28" s="1"/>
  <c r="L131" i="28"/>
  <c r="M131" i="28" s="1"/>
  <c r="L134" i="28"/>
  <c r="M134" i="28" s="1"/>
  <c r="I134" i="28"/>
  <c r="K134" i="28" s="1"/>
  <c r="BY166" i="28"/>
  <c r="AR44" i="28"/>
  <c r="AR109" i="28" s="1"/>
  <c r="L44" i="28"/>
  <c r="M44" i="28" s="1"/>
  <c r="AP9" i="28"/>
  <c r="L9" i="28"/>
  <c r="L16" i="28"/>
  <c r="M16" i="28" s="1"/>
  <c r="I16" i="28"/>
  <c r="K16" i="28" s="1"/>
  <c r="CC166" i="28"/>
  <c r="L24" i="28"/>
  <c r="M24" i="28" s="1"/>
  <c r="I24" i="28"/>
  <c r="K24" i="28" s="1"/>
  <c r="L25" i="28"/>
  <c r="M25" i="28" s="1"/>
  <c r="I25" i="28"/>
  <c r="K25" i="28" s="1"/>
  <c r="I70" i="28"/>
  <c r="K70" i="28" s="1"/>
  <c r="L70" i="28"/>
  <c r="M70" i="28" s="1"/>
  <c r="AP132" i="28"/>
  <c r="L132" i="28"/>
  <c r="M132" i="28" s="1"/>
  <c r="AQ152" i="28"/>
  <c r="AQ157" i="28" s="1"/>
  <c r="L152" i="28"/>
  <c r="L8" i="28"/>
  <c r="M8" i="28" s="1"/>
  <c r="AP8" i="28"/>
  <c r="AP14" i="28"/>
  <c r="L14" i="28"/>
  <c r="M14" i="28" s="1"/>
  <c r="CD166" i="28"/>
  <c r="AN109" i="28"/>
  <c r="L43" i="28"/>
  <c r="M43" i="28" s="1"/>
  <c r="I43" i="28"/>
  <c r="K43" i="28" s="1"/>
  <c r="CE166" i="28"/>
  <c r="L42" i="28"/>
  <c r="M42" i="28" s="1"/>
  <c r="I42" i="28"/>
  <c r="K42" i="28" s="1"/>
  <c r="L124" i="28"/>
  <c r="M124" i="28" s="1"/>
  <c r="I124" i="28"/>
  <c r="K124" i="28" s="1"/>
  <c r="J165" i="28"/>
  <c r="L107" i="28"/>
  <c r="M107" i="28" s="1"/>
  <c r="I107" i="28"/>
  <c r="K107" i="28" s="1"/>
  <c r="L123" i="28"/>
  <c r="I123" i="28"/>
  <c r="L125" i="28"/>
  <c r="M125" i="28" s="1"/>
  <c r="AN139" i="28"/>
  <c r="I130" i="28"/>
  <c r="K130" i="28" s="1"/>
  <c r="AQ121" i="28"/>
  <c r="L121" i="28"/>
  <c r="M121" i="28" s="1"/>
  <c r="AQ145" i="28"/>
  <c r="AQ150" i="28" s="1"/>
  <c r="L145" i="28"/>
  <c r="M145" i="28" s="1"/>
  <c r="AS109" i="28"/>
  <c r="AA109" i="28"/>
  <c r="L116" i="28"/>
  <c r="M116" i="28" s="1"/>
  <c r="I116" i="28"/>
  <c r="K116" i="28" s="1"/>
  <c r="AS131" i="28"/>
  <c r="AS139" i="28" s="1"/>
  <c r="DG139" i="28"/>
  <c r="AP138" i="28"/>
  <c r="L138" i="28"/>
  <c r="M138" i="28" s="1"/>
  <c r="AQ165" i="28"/>
  <c r="DG165" i="28"/>
  <c r="BG109" i="28"/>
  <c r="I11" i="28"/>
  <c r="K11" i="28" s="1"/>
  <c r="L11" i="28"/>
  <c r="M11" i="28" s="1"/>
  <c r="I13" i="28"/>
  <c r="K13" i="28" s="1"/>
  <c r="L13" i="28"/>
  <c r="M13" i="28" s="1"/>
  <c r="J129" i="28"/>
  <c r="AQ139" i="28"/>
  <c r="L135" i="28"/>
  <c r="M135" i="28" s="1"/>
  <c r="I135" i="28"/>
  <c r="K135" i="28" s="1"/>
  <c r="I136" i="28"/>
  <c r="K136" i="28" s="1"/>
  <c r="AA21" i="28"/>
  <c r="I6" i="28"/>
  <c r="BX166" i="28"/>
  <c r="L22" i="28"/>
  <c r="L47" i="28"/>
  <c r="M47" i="28" s="1"/>
  <c r="I47" i="28"/>
  <c r="K47" i="28" s="1"/>
  <c r="L67" i="28"/>
  <c r="M67" i="28" s="1"/>
  <c r="L111" i="28"/>
  <c r="AP150" i="28"/>
  <c r="L173" i="28"/>
  <c r="M173" i="28" s="1"/>
  <c r="I173" i="28"/>
  <c r="CZ166" i="28"/>
  <c r="AS129" i="28"/>
  <c r="AN129" i="28"/>
  <c r="CN166" i="28"/>
  <c r="AO150" i="28"/>
  <c r="I144" i="28"/>
  <c r="K144" i="28" s="1"/>
  <c r="BP166" i="28"/>
  <c r="BP4" i="28" s="1"/>
  <c r="CO166" i="28"/>
  <c r="L73" i="28"/>
  <c r="M73" i="28" s="1"/>
  <c r="I73" i="28"/>
  <c r="K73" i="28" s="1"/>
  <c r="CT150" i="28"/>
  <c r="AR165" i="28"/>
  <c r="DC166" i="28"/>
  <c r="K55" i="28"/>
  <c r="H109" i="28"/>
  <c r="L127" i="28"/>
  <c r="M127" i="28" s="1"/>
  <c r="I127" i="28"/>
  <c r="K127" i="28" s="1"/>
  <c r="L154" i="28"/>
  <c r="M154" i="28" s="1"/>
  <c r="AS165" i="28"/>
  <c r="BR166" i="28"/>
  <c r="BR4" i="28" s="1"/>
  <c r="DD166" i="28"/>
  <c r="L68" i="28"/>
  <c r="M68" i="28" s="1"/>
  <c r="BT139" i="28"/>
  <c r="AP142" i="28"/>
  <c r="AT165" i="28"/>
  <c r="L15" i="28"/>
  <c r="M15" i="28" s="1"/>
  <c r="I15" i="28"/>
  <c r="K15" i="28" s="1"/>
  <c r="L18" i="28"/>
  <c r="M18" i="28" s="1"/>
  <c r="AO21" i="28"/>
  <c r="DE166" i="28"/>
  <c r="L50" i="28"/>
  <c r="M50" i="28" s="1"/>
  <c r="CF109" i="28"/>
  <c r="CG109" i="28" s="1"/>
  <c r="CG90" i="28"/>
  <c r="AQ90" i="28" s="1"/>
  <c r="L118" i="28"/>
  <c r="M118" i="28" s="1"/>
  <c r="I118" i="28"/>
  <c r="K118" i="28" s="1"/>
  <c r="L149" i="28"/>
  <c r="M149" i="28" s="1"/>
  <c r="CG165" i="28"/>
  <c r="L19" i="28"/>
  <c r="M19" i="28" s="1"/>
  <c r="AQ45" i="28"/>
  <c r="L126" i="28"/>
  <c r="M126" i="28" s="1"/>
  <c r="H139" i="28"/>
  <c r="AR142" i="28"/>
  <c r="CT142" i="28"/>
  <c r="L119" i="28"/>
  <c r="M119" i="28" s="1"/>
  <c r="J139" i="28"/>
  <c r="J150" i="28"/>
  <c r="AT157" i="28"/>
  <c r="L156" i="28"/>
  <c r="M156" i="28" s="1"/>
  <c r="I156" i="28"/>
  <c r="K156" i="28" s="1"/>
  <c r="CM166" i="28"/>
  <c r="L71" i="28"/>
  <c r="M71" i="28" s="1"/>
  <c r="L17" i="28"/>
  <c r="M17" i="28" s="1"/>
  <c r="I17" i="28"/>
  <c r="K17" i="28" s="1"/>
  <c r="DA166" i="28"/>
  <c r="L49" i="28"/>
  <c r="M49" i="28" s="1"/>
  <c r="AR132" i="28"/>
  <c r="AR139" i="28" s="1"/>
  <c r="CT139" i="28"/>
  <c r="I145" i="28"/>
  <c r="K145" i="28" s="1"/>
  <c r="AA150" i="28"/>
  <c r="L153" i="28"/>
  <c r="M153" i="28" s="1"/>
  <c r="I153" i="28"/>
  <c r="K153" i="28" s="1"/>
  <c r="AA157" i="28"/>
  <c r="CB166" i="28"/>
  <c r="DB166" i="28"/>
  <c r="L72" i="28"/>
  <c r="M72" i="28" s="1"/>
  <c r="CG150" i="28"/>
  <c r="CT129" i="28"/>
  <c r="L146" i="28"/>
  <c r="M146" i="28" s="1"/>
  <c r="K151" i="28"/>
  <c r="L160" i="28"/>
  <c r="M160" i="28" s="1"/>
  <c r="H123" i="28"/>
  <c r="CI166" i="28"/>
  <c r="CG21" i="28"/>
  <c r="AQ6" i="28"/>
  <c r="AQ21" i="28" s="1"/>
  <c r="BS166" i="28"/>
  <c r="L74" i="28"/>
  <c r="M74" i="28" s="1"/>
  <c r="CG139" i="28"/>
  <c r="AQ142" i="28"/>
  <c r="AS157" i="28"/>
  <c r="CT165" i="28"/>
  <c r="AR6" i="28"/>
  <c r="AR21" i="28" s="1"/>
  <c r="CT21" i="28"/>
  <c r="L115" i="28"/>
  <c r="M115" i="28" s="1"/>
  <c r="I115" i="28"/>
  <c r="K115" i="28" s="1"/>
  <c r="L120" i="28"/>
  <c r="M120" i="28" s="1"/>
  <c r="I120" i="28"/>
  <c r="K120" i="28" s="1"/>
  <c r="DG142" i="28"/>
  <c r="L162" i="28"/>
  <c r="M162" i="28" s="1"/>
  <c r="I162" i="28"/>
  <c r="K162" i="28" s="1"/>
  <c r="AS6" i="28"/>
  <c r="AS21" i="28" s="1"/>
  <c r="DG21" i="28"/>
  <c r="BU166" i="28"/>
  <c r="L60" i="28"/>
  <c r="I7" i="28"/>
  <c r="K7" i="28" s="1"/>
  <c r="L20" i="28"/>
  <c r="M20" i="28" s="1"/>
  <c r="I20" i="28"/>
  <c r="K20" i="28" s="1"/>
  <c r="L59" i="28"/>
  <c r="AO129" i="28"/>
  <c r="AP157" i="28"/>
  <c r="AA165" i="28"/>
  <c r="BT165" i="28"/>
  <c r="BI166" i="28"/>
  <c r="BJ166" i="28"/>
  <c r="L108" i="28"/>
  <c r="M108" i="28" s="1"/>
  <c r="L158" i="28"/>
  <c r="AO109" i="28"/>
  <c r="L155" i="28"/>
  <c r="M155" i="28" s="1"/>
  <c r="BV166" i="28"/>
  <c r="L48" i="28"/>
  <c r="M48" i="28" s="1"/>
  <c r="L52" i="28"/>
  <c r="L117" i="28"/>
  <c r="M117" i="28" s="1"/>
  <c r="H173" i="28"/>
  <c r="L10" i="28"/>
  <c r="BW166" i="28"/>
  <c r="CT109" i="28"/>
  <c r="DG109" i="28"/>
  <c r="AO157" i="28"/>
  <c r="CJ166" i="28"/>
  <c r="K61" i="28"/>
  <c r="AA129" i="28"/>
  <c r="AA139" i="28"/>
  <c r="L130" i="28"/>
  <c r="M130" i="28" s="1"/>
  <c r="I133" i="28"/>
  <c r="K133" i="28" s="1"/>
  <c r="L148" i="28"/>
  <c r="M148" i="28" s="1"/>
  <c r="I39" i="35"/>
  <c r="G39" i="35"/>
  <c r="G41" i="35" s="1"/>
  <c r="E39" i="35"/>
  <c r="E41" i="35" s="1"/>
  <c r="BF52" i="27"/>
  <c r="I90" i="29"/>
  <c r="E4" i="21"/>
  <c r="F4" i="31"/>
  <c r="D10" i="21"/>
  <c r="C57" i="20"/>
  <c r="C58" i="20" s="1"/>
  <c r="AP165" i="28" l="1"/>
  <c r="K141" i="28"/>
  <c r="K142" i="28" s="1"/>
  <c r="L150" i="28"/>
  <c r="AN166" i="28"/>
  <c r="K165" i="28"/>
  <c r="K139" i="28"/>
  <c r="L41" i="28"/>
  <c r="M41" i="28" s="1"/>
  <c r="CT157" i="28"/>
  <c r="DF157" i="28" s="1"/>
  <c r="DG157" i="28" s="1"/>
  <c r="DG166" i="28" s="1"/>
  <c r="AT166" i="28"/>
  <c r="L90" i="28"/>
  <c r="M90" i="28" s="1"/>
  <c r="AQ129" i="28"/>
  <c r="M21" i="28"/>
  <c r="BL166" i="28"/>
  <c r="M143" i="28"/>
  <c r="M150" i="28" s="1"/>
  <c r="BG166" i="28"/>
  <c r="AQ109" i="28"/>
  <c r="K150" i="28"/>
  <c r="K109" i="28"/>
  <c r="I157" i="28"/>
  <c r="AA166" i="28"/>
  <c r="AA167" i="28" s="1"/>
  <c r="AP139" i="28"/>
  <c r="I150" i="28"/>
  <c r="M152" i="28"/>
  <c r="M157" i="28" s="1"/>
  <c r="L157" i="28"/>
  <c r="L139" i="28"/>
  <c r="M123" i="28"/>
  <c r="K123" i="28"/>
  <c r="K129" i="28" s="1"/>
  <c r="AS166" i="28"/>
  <c r="I129" i="28"/>
  <c r="M158" i="28"/>
  <c r="M165" i="28" s="1"/>
  <c r="L165" i="28"/>
  <c r="M22" i="28"/>
  <c r="AC142" i="28"/>
  <c r="CF166" i="28"/>
  <c r="I21" i="28"/>
  <c r="AB165" i="28"/>
  <c r="AB166" i="28" s="1"/>
  <c r="L142" i="28"/>
  <c r="M141" i="28"/>
  <c r="M142" i="28" s="1"/>
  <c r="I165" i="28"/>
  <c r="M139" i="28"/>
  <c r="H179" i="28"/>
  <c r="B3" i="28" s="1"/>
  <c r="K173" i="28"/>
  <c r="AO166" i="28"/>
  <c r="K21" i="28"/>
  <c r="I139" i="28"/>
  <c r="I109" i="28"/>
  <c r="AR166" i="28"/>
  <c r="K157" i="28"/>
  <c r="L129" i="28"/>
  <c r="M111" i="28"/>
  <c r="H129" i="28"/>
  <c r="H166" i="28" s="1"/>
  <c r="G4" i="26"/>
  <c r="G5" i="26"/>
  <c r="G6" i="26"/>
  <c r="E49" i="29"/>
  <c r="P13" i="29"/>
  <c r="F22" i="29"/>
  <c r="E20" i="29"/>
  <c r="L109" i="28" l="1"/>
  <c r="M129" i="28"/>
  <c r="M109" i="28"/>
  <c r="AN167" i="28"/>
  <c r="AO167" i="28" s="1"/>
  <c r="DF166" i="28"/>
  <c r="AQ166" i="28"/>
  <c r="AC165" i="28"/>
  <c r="AD165" i="28" s="1"/>
  <c r="I166" i="28"/>
  <c r="I170" i="28" s="1"/>
  <c r="AD142" i="28"/>
  <c r="K166" i="28"/>
  <c r="K170" i="28" s="1"/>
  <c r="H169" i="28"/>
  <c r="H170" i="28" s="1"/>
  <c r="H195" i="28" s="1"/>
  <c r="H198" i="28" s="1"/>
  <c r="B1" i="28"/>
  <c r="E71" i="29"/>
  <c r="BJ8" i="11"/>
  <c r="G11" i="34"/>
  <c r="M166" i="28" l="1"/>
  <c r="M170" i="28" s="1"/>
  <c r="AC166" i="28"/>
  <c r="AE165" i="28"/>
  <c r="AF165" i="28" s="1"/>
  <c r="AD166" i="28"/>
  <c r="AE142" i="28"/>
  <c r="AZ9" i="7"/>
  <c r="F37" i="27"/>
  <c r="G37" i="27" s="1"/>
  <c r="H37" i="27" s="1"/>
  <c r="I37" i="27" s="1"/>
  <c r="AG165" i="28" l="1"/>
  <c r="AH165" i="28" s="1"/>
  <c r="AI165" i="28" s="1"/>
  <c r="AJ165" i="28" s="1"/>
  <c r="AE166" i="28"/>
  <c r="AF142" i="28"/>
  <c r="G16" i="21"/>
  <c r="H16" i="21" s="1"/>
  <c r="G11" i="21"/>
  <c r="G6" i="33"/>
  <c r="G5" i="33"/>
  <c r="G4" i="33"/>
  <c r="F4" i="33"/>
  <c r="O100" i="33"/>
  <c r="G6" i="32"/>
  <c r="G5" i="32"/>
  <c r="G4" i="32"/>
  <c r="N86" i="32"/>
  <c r="G5" i="34"/>
  <c r="H5" i="34" s="1"/>
  <c r="G4" i="34"/>
  <c r="H4" i="34" s="1"/>
  <c r="K86" i="34"/>
  <c r="AK165" i="28" l="1"/>
  <c r="AL165" i="28" s="1"/>
  <c r="AM165" i="28" s="1"/>
  <c r="AF166" i="28"/>
  <c r="AG142" i="28"/>
  <c r="AH142" i="28" s="1"/>
  <c r="AH166" i="28" s="1"/>
  <c r="E48" i="31"/>
  <c r="F47" i="31"/>
  <c r="AG46" i="31"/>
  <c r="AG48" i="31" s="1"/>
  <c r="AF46" i="31"/>
  <c r="AF48" i="31" s="1"/>
  <c r="AE46" i="31"/>
  <c r="AE48" i="31" s="1"/>
  <c r="AD46" i="31"/>
  <c r="AD48" i="31" s="1"/>
  <c r="AC46" i="31"/>
  <c r="AC48" i="31" s="1"/>
  <c r="V46" i="31"/>
  <c r="V48" i="31" s="1"/>
  <c r="U46" i="31"/>
  <c r="U48" i="31" s="1"/>
  <c r="T46" i="31"/>
  <c r="T48" i="31" s="1"/>
  <c r="S46" i="31"/>
  <c r="S48" i="31" s="1"/>
  <c r="R46" i="31"/>
  <c r="R48" i="31" s="1"/>
  <c r="Q46" i="31"/>
  <c r="Q48" i="31" s="1"/>
  <c r="P46" i="31"/>
  <c r="P48" i="31" s="1"/>
  <c r="O46" i="31"/>
  <c r="O48" i="31" s="1"/>
  <c r="N46" i="31"/>
  <c r="N48" i="31" s="1"/>
  <c r="M46" i="31"/>
  <c r="M48" i="31" s="1"/>
  <c r="L46" i="31"/>
  <c r="L48" i="31" s="1"/>
  <c r="K46" i="31"/>
  <c r="K48" i="31" s="1"/>
  <c r="J46" i="31"/>
  <c r="J48" i="31" s="1"/>
  <c r="I46" i="31"/>
  <c r="I48" i="31" s="1"/>
  <c r="F44" i="31"/>
  <c r="F43" i="31"/>
  <c r="F42" i="31"/>
  <c r="F41" i="31"/>
  <c r="F40" i="31"/>
  <c r="F39" i="31"/>
  <c r="F37" i="31"/>
  <c r="F35" i="31"/>
  <c r="F33" i="31"/>
  <c r="F32" i="31"/>
  <c r="F31" i="31"/>
  <c r="F30" i="31"/>
  <c r="F29" i="31"/>
  <c r="F28" i="31"/>
  <c r="F26" i="31"/>
  <c r="F24" i="31"/>
  <c r="F23" i="31"/>
  <c r="F21" i="31"/>
  <c r="F20" i="31"/>
  <c r="G20" i="31" s="1"/>
  <c r="G48" i="31" s="1"/>
  <c r="F19" i="31"/>
  <c r="F17" i="31"/>
  <c r="F16" i="31"/>
  <c r="F15" i="31"/>
  <c r="F13" i="31"/>
  <c r="F11" i="31"/>
  <c r="F9" i="31"/>
  <c r="F8" i="31"/>
  <c r="F6" i="31"/>
  <c r="F5" i="31"/>
  <c r="F46" i="31" l="1"/>
  <c r="F48" i="31" s="1"/>
  <c r="AG166" i="28"/>
  <c r="AI142" i="28"/>
  <c r="AI166" i="28" l="1"/>
  <c r="AJ142" i="28"/>
  <c r="AJ166" i="28" s="1"/>
  <c r="F38" i="27"/>
  <c r="G38" i="27"/>
  <c r="F43" i="20"/>
  <c r="I43" i="20" s="1"/>
  <c r="H11" i="33"/>
  <c r="G11" i="33"/>
  <c r="G12" i="33"/>
  <c r="G21" i="21"/>
  <c r="F22" i="20"/>
  <c r="I22" i="20" s="1"/>
  <c r="F34" i="20"/>
  <c r="I34" i="20" s="1"/>
  <c r="F24" i="20"/>
  <c r="I24" i="20" s="1"/>
  <c r="F21" i="20"/>
  <c r="I21" i="20" s="1"/>
  <c r="F17" i="20"/>
  <c r="I17" i="20" s="1"/>
  <c r="F25" i="20"/>
  <c r="I25" i="20" s="1"/>
  <c r="F30" i="20"/>
  <c r="I30" i="20" s="1"/>
  <c r="BB12" i="7"/>
  <c r="BG13" i="11"/>
  <c r="G72" i="34"/>
  <c r="H72" i="34" s="1"/>
  <c r="H48" i="27"/>
  <c r="E82" i="34" a="1"/>
  <c r="E82" i="34" s="1"/>
  <c r="AU57" i="11"/>
  <c r="G20" i="33"/>
  <c r="G21" i="33"/>
  <c r="G22" i="33"/>
  <c r="G23" i="33"/>
  <c r="G24" i="33"/>
  <c r="G26" i="33"/>
  <c r="G30" i="33"/>
  <c r="G32" i="33"/>
  <c r="G33" i="33"/>
  <c r="G36" i="33"/>
  <c r="G37" i="33"/>
  <c r="G40" i="33"/>
  <c r="G42" i="33"/>
  <c r="G43" i="33"/>
  <c r="G45" i="33"/>
  <c r="G46" i="33"/>
  <c r="G47" i="33"/>
  <c r="G49" i="33"/>
  <c r="G50" i="33"/>
  <c r="G51" i="33"/>
  <c r="G54" i="33"/>
  <c r="G11" i="32"/>
  <c r="G7" i="33"/>
  <c r="E47" i="32"/>
  <c r="H83" i="34"/>
  <c r="H84" i="34"/>
  <c r="H85" i="34"/>
  <c r="G12" i="34"/>
  <c r="H12" i="34" s="1"/>
  <c r="G13" i="34"/>
  <c r="H13" i="34" s="1"/>
  <c r="G14" i="34"/>
  <c r="H14" i="34" s="1"/>
  <c r="G15" i="34"/>
  <c r="H15" i="34" s="1"/>
  <c r="G17" i="34"/>
  <c r="H17" i="34" s="1"/>
  <c r="G18" i="34"/>
  <c r="H18" i="34" s="1"/>
  <c r="G19" i="34"/>
  <c r="H19" i="34" s="1"/>
  <c r="G20" i="34"/>
  <c r="H20" i="34" s="1"/>
  <c r="G21" i="34"/>
  <c r="H21" i="34" s="1"/>
  <c r="G22" i="34"/>
  <c r="H22" i="34" s="1"/>
  <c r="G23" i="34"/>
  <c r="H23" i="34" s="1"/>
  <c r="G24" i="34"/>
  <c r="H24" i="34" s="1"/>
  <c r="G25" i="34"/>
  <c r="H25" i="34" s="1"/>
  <c r="G26" i="34"/>
  <c r="H26" i="34" s="1"/>
  <c r="G27" i="34"/>
  <c r="H27" i="34" s="1"/>
  <c r="G28" i="34"/>
  <c r="H28" i="34" s="1"/>
  <c r="G29" i="34"/>
  <c r="H29" i="34" s="1"/>
  <c r="G30" i="34"/>
  <c r="H30" i="34" s="1"/>
  <c r="G31" i="34"/>
  <c r="H31" i="34" s="1"/>
  <c r="G32" i="34"/>
  <c r="H32" i="34" s="1"/>
  <c r="G33" i="34"/>
  <c r="H33" i="34" s="1"/>
  <c r="G34" i="34"/>
  <c r="H34" i="34" s="1"/>
  <c r="G35" i="34"/>
  <c r="H35" i="34" s="1"/>
  <c r="G36" i="34"/>
  <c r="H36" i="34" s="1"/>
  <c r="G37" i="34"/>
  <c r="H37" i="34" s="1"/>
  <c r="G38" i="34"/>
  <c r="H38" i="34" s="1"/>
  <c r="G39" i="34"/>
  <c r="H39" i="34" s="1"/>
  <c r="G40" i="34"/>
  <c r="H40" i="34" s="1"/>
  <c r="G41" i="34"/>
  <c r="H41" i="34" s="1"/>
  <c r="G42" i="34"/>
  <c r="H42" i="34" s="1"/>
  <c r="G43" i="34"/>
  <c r="H43" i="34" s="1"/>
  <c r="G44" i="34"/>
  <c r="H44" i="34" s="1"/>
  <c r="G45" i="34"/>
  <c r="H45" i="34" s="1"/>
  <c r="G46" i="34"/>
  <c r="H46" i="34" s="1"/>
  <c r="G47" i="34"/>
  <c r="H47" i="34" s="1"/>
  <c r="G48" i="34"/>
  <c r="H48" i="34" s="1"/>
  <c r="G49" i="34"/>
  <c r="H49" i="34" s="1"/>
  <c r="G50" i="34"/>
  <c r="H50" i="34" s="1"/>
  <c r="G51" i="34"/>
  <c r="H51" i="34" s="1"/>
  <c r="G52" i="34"/>
  <c r="H52" i="34" s="1"/>
  <c r="G53" i="34"/>
  <c r="H53" i="34" s="1"/>
  <c r="G54" i="34"/>
  <c r="H54" i="34" s="1"/>
  <c r="G55" i="34"/>
  <c r="H55" i="34" s="1"/>
  <c r="G56" i="34"/>
  <c r="H56" i="34" s="1"/>
  <c r="G57" i="34"/>
  <c r="H57" i="34" s="1"/>
  <c r="G58" i="34"/>
  <c r="H58" i="34" s="1"/>
  <c r="G59" i="34"/>
  <c r="H59" i="34" s="1"/>
  <c r="G60" i="34"/>
  <c r="H60" i="34" s="1"/>
  <c r="G61" i="34"/>
  <c r="H61" i="34" s="1"/>
  <c r="G62" i="34"/>
  <c r="H62" i="34" s="1"/>
  <c r="G63" i="34"/>
  <c r="H63" i="34" s="1"/>
  <c r="G64" i="34"/>
  <c r="H64" i="34" s="1"/>
  <c r="G65" i="34"/>
  <c r="H65" i="34" s="1"/>
  <c r="G66" i="34"/>
  <c r="H66" i="34" s="1"/>
  <c r="G67" i="34"/>
  <c r="H67" i="34" s="1"/>
  <c r="G68" i="34"/>
  <c r="H68" i="34" s="1"/>
  <c r="G69" i="34"/>
  <c r="H69" i="34" s="1"/>
  <c r="G70" i="34"/>
  <c r="H70" i="34" s="1"/>
  <c r="G71" i="34"/>
  <c r="H71" i="34" s="1"/>
  <c r="G73" i="34"/>
  <c r="H73" i="34" s="1"/>
  <c r="G74" i="34"/>
  <c r="H74" i="34" s="1"/>
  <c r="G75" i="34"/>
  <c r="H75" i="34" s="1"/>
  <c r="G76" i="34"/>
  <c r="H76" i="34" s="1"/>
  <c r="G77" i="34"/>
  <c r="H77" i="34" s="1"/>
  <c r="G78" i="34"/>
  <c r="H78" i="34" s="1"/>
  <c r="G79" i="34"/>
  <c r="H79" i="34" s="1"/>
  <c r="G80" i="34"/>
  <c r="H80" i="34" s="1"/>
  <c r="G81" i="34"/>
  <c r="H81" i="34" s="1"/>
  <c r="G7" i="34"/>
  <c r="G8" i="34"/>
  <c r="G9" i="34"/>
  <c r="G10" i="34"/>
  <c r="H10" i="34" s="1"/>
  <c r="H11" i="34"/>
  <c r="G83" i="34"/>
  <c r="G84" i="34"/>
  <c r="G85" i="34"/>
  <c r="I48" i="20"/>
  <c r="I47" i="20"/>
  <c r="I18" i="20"/>
  <c r="I19" i="20"/>
  <c r="I20" i="20"/>
  <c r="I23" i="20"/>
  <c r="I26" i="20"/>
  <c r="I27" i="20"/>
  <c r="I28" i="20"/>
  <c r="I31" i="20"/>
  <c r="I32" i="20"/>
  <c r="I35" i="20"/>
  <c r="I38" i="20"/>
  <c r="I39" i="20"/>
  <c r="I41" i="20"/>
  <c r="I42" i="20"/>
  <c r="I44" i="20"/>
  <c r="I15" i="20"/>
  <c r="I14" i="20"/>
  <c r="I10" i="20"/>
  <c r="I11" i="20"/>
  <c r="I12" i="20"/>
  <c r="I5" i="20"/>
  <c r="H41" i="20"/>
  <c r="H42" i="20"/>
  <c r="H44" i="20"/>
  <c r="I36" i="20"/>
  <c r="AK13" i="20"/>
  <c r="AL13" i="20"/>
  <c r="AM13" i="20"/>
  <c r="AN13" i="20"/>
  <c r="AO13" i="20"/>
  <c r="AJ13" i="20"/>
  <c r="AI13" i="20"/>
  <c r="N13" i="20"/>
  <c r="O13" i="20"/>
  <c r="P13" i="20"/>
  <c r="Q13" i="20"/>
  <c r="R13" i="20"/>
  <c r="S13" i="20"/>
  <c r="T13" i="20"/>
  <c r="U13" i="20"/>
  <c r="V13" i="20"/>
  <c r="W13" i="20"/>
  <c r="X13" i="20"/>
  <c r="Y13" i="20"/>
  <c r="Z13" i="20"/>
  <c r="AA13" i="20"/>
  <c r="AB13" i="20"/>
  <c r="AC13" i="20"/>
  <c r="AD13" i="20"/>
  <c r="AE13" i="20"/>
  <c r="AF13" i="20"/>
  <c r="AG13" i="20"/>
  <c r="AH13" i="20"/>
  <c r="M13" i="20"/>
  <c r="L13" i="20"/>
  <c r="D13" i="20"/>
  <c r="G12" i="20"/>
  <c r="D44" i="20"/>
  <c r="AH29" i="20"/>
  <c r="F29" i="20"/>
  <c r="I29" i="20" s="1"/>
  <c r="F37" i="20"/>
  <c r="I37" i="20" s="1"/>
  <c r="F7" i="20"/>
  <c r="L7" i="20"/>
  <c r="M7" i="20"/>
  <c r="N7" i="20"/>
  <c r="O7" i="20"/>
  <c r="P7" i="20"/>
  <c r="Q7" i="20"/>
  <c r="R7" i="20"/>
  <c r="S7" i="20"/>
  <c r="T7" i="20"/>
  <c r="U7" i="20"/>
  <c r="V7" i="20"/>
  <c r="W7" i="20"/>
  <c r="X7" i="20"/>
  <c r="Y7" i="20"/>
  <c r="Z7" i="20"/>
  <c r="AA7" i="20"/>
  <c r="AB7" i="20"/>
  <c r="AC7" i="20"/>
  <c r="AD7" i="20"/>
  <c r="AE7" i="20"/>
  <c r="AF7" i="20"/>
  <c r="AG7" i="20"/>
  <c r="AH7" i="20"/>
  <c r="AI7" i="20"/>
  <c r="AJ7" i="20"/>
  <c r="AK7" i="20"/>
  <c r="AL7" i="20"/>
  <c r="AM7" i="20"/>
  <c r="AN7" i="20"/>
  <c r="AO7" i="20"/>
  <c r="AK142" i="28" l="1"/>
  <c r="AL142" i="28" s="1"/>
  <c r="BF47" i="11"/>
  <c r="BH47" i="11"/>
  <c r="BK22" i="11"/>
  <c r="BI23" i="7"/>
  <c r="BC24" i="7"/>
  <c r="BC33" i="7"/>
  <c r="BC41" i="7"/>
  <c r="AK166" i="28" l="1"/>
  <c r="AL166" i="28"/>
  <c r="AM142" i="28"/>
  <c r="AM166" i="28" s="1"/>
  <c r="D47" i="32"/>
  <c r="BE31" i="27"/>
  <c r="O31" i="27" s="1"/>
  <c r="BE25" i="27"/>
  <c r="BE28" i="27"/>
  <c r="BE27" i="27"/>
  <c r="BC12" i="7"/>
  <c r="BE54" i="7"/>
  <c r="BC61" i="7" l="1"/>
  <c r="BH55" i="11"/>
  <c r="AN4" i="10"/>
  <c r="BN44" i="32"/>
  <c r="BN47" i="32" s="1"/>
  <c r="AS44" i="32"/>
  <c r="AS47" i="32" s="1"/>
  <c r="AT44" i="32"/>
  <c r="AT47" i="32" s="1"/>
  <c r="AU44" i="32"/>
  <c r="AU47" i="32" s="1"/>
  <c r="AV44" i="32"/>
  <c r="AV47" i="32" s="1"/>
  <c r="AW44" i="32"/>
  <c r="AW47" i="32" s="1"/>
  <c r="AX44" i="32"/>
  <c r="AX47" i="32" s="1"/>
  <c r="AY44" i="32"/>
  <c r="AY47" i="32" s="1"/>
  <c r="AZ44" i="32"/>
  <c r="AZ47" i="32" s="1"/>
  <c r="BA44" i="32"/>
  <c r="BA47" i="32" s="1"/>
  <c r="BB44" i="32"/>
  <c r="BB47" i="32" s="1"/>
  <c r="BC44" i="32"/>
  <c r="BC47" i="32" s="1"/>
  <c r="BD44" i="32"/>
  <c r="BD47" i="32" s="1"/>
  <c r="BE44" i="32"/>
  <c r="BE47" i="32" s="1"/>
  <c r="BF44" i="32"/>
  <c r="BF47" i="32" s="1"/>
  <c r="BG44" i="32"/>
  <c r="BG47" i="32" s="1"/>
  <c r="BH44" i="32"/>
  <c r="BH47" i="32" s="1"/>
  <c r="BI44" i="32"/>
  <c r="BI47" i="32" s="1"/>
  <c r="BJ44" i="32"/>
  <c r="BJ47" i="32" s="1"/>
  <c r="BK44" i="32"/>
  <c r="BK47" i="32" s="1"/>
  <c r="BL44" i="32"/>
  <c r="BL47" i="32" s="1"/>
  <c r="BM44" i="32"/>
  <c r="BM47" i="32" s="1"/>
  <c r="AR44" i="32"/>
  <c r="AR47" i="32" s="1"/>
  <c r="F47" i="32"/>
  <c r="F49" i="32" s="1"/>
  <c r="D45" i="20"/>
  <c r="D49" i="32"/>
  <c r="G42" i="32"/>
  <c r="G16" i="20"/>
  <c r="BG56" i="11"/>
  <c r="BC29" i="7"/>
  <c r="BC49" i="7"/>
  <c r="BC62" i="7"/>
  <c r="G30" i="18"/>
  <c r="BC50" i="7"/>
  <c r="BD50" i="7"/>
  <c r="BC56" i="11" l="1"/>
  <c r="H12" i="7"/>
  <c r="BC14" i="7"/>
  <c r="BC31" i="7"/>
  <c r="BA14" i="7"/>
  <c r="H40" i="27"/>
  <c r="BE12" i="27"/>
  <c r="BE29" i="27"/>
  <c r="BD25" i="27"/>
  <c r="BE21" i="27"/>
  <c r="H12" i="27"/>
  <c r="BD16" i="7"/>
  <c r="BB61" i="7"/>
  <c r="BI82" i="34"/>
  <c r="BU82" i="34"/>
  <c r="BU86" i="34" s="1"/>
  <c r="BV82" i="34"/>
  <c r="BV86" i="34" s="1"/>
  <c r="BN82" i="34"/>
  <c r="BB82" i="34"/>
  <c r="BD82" i="34"/>
  <c r="BD86" i="34" s="1"/>
  <c r="BE82" i="34"/>
  <c r="BE86" i="34" s="1"/>
  <c r="BG82" i="34"/>
  <c r="BG86" i="34" s="1"/>
  <c r="BH82" i="34"/>
  <c r="BH86" i="34" s="1"/>
  <c r="BJ82" i="34"/>
  <c r="BJ86" i="34" s="1"/>
  <c r="BK82" i="34"/>
  <c r="BK86" i="34" s="1"/>
  <c r="BL82" i="34"/>
  <c r="BL86" i="34" s="1"/>
  <c r="BM82" i="34"/>
  <c r="BM86" i="34" s="1"/>
  <c r="BO82" i="34"/>
  <c r="BO86" i="34" s="1"/>
  <c r="BP82" i="34"/>
  <c r="BP86" i="34" s="1"/>
  <c r="BQ82" i="34"/>
  <c r="BQ86" i="34" s="1"/>
  <c r="BR82" i="34"/>
  <c r="BR86" i="34" s="1"/>
  <c r="BS82" i="34"/>
  <c r="BS86" i="34" s="1"/>
  <c r="BT82" i="34"/>
  <c r="BT86" i="34" s="1"/>
  <c r="BW82" i="34"/>
  <c r="BW86" i="34" s="1"/>
  <c r="E84" i="34"/>
  <c r="E85" i="34"/>
  <c r="D86" i="34"/>
  <c r="D88" i="34" s="1"/>
  <c r="F86" i="34"/>
  <c r="F88" i="34" s="1"/>
  <c r="W86" i="34"/>
  <c r="G86" i="34" s="1"/>
  <c r="G88" i="34" s="1"/>
  <c r="D55" i="33" a="1"/>
  <c r="D55" i="33" s="1"/>
  <c r="D59" i="33" s="1"/>
  <c r="D61" i="33" s="1"/>
  <c r="G8" i="33"/>
  <c r="G10" i="33"/>
  <c r="AR55" i="33"/>
  <c r="AR59" i="33" s="1"/>
  <c r="AS55" i="33"/>
  <c r="AS59" i="33" s="1"/>
  <c r="AT55" i="33"/>
  <c r="AT59" i="33" s="1"/>
  <c r="AU55" i="33"/>
  <c r="AU59" i="33" s="1"/>
  <c r="AV55" i="33"/>
  <c r="AV59" i="33" s="1"/>
  <c r="AW55" i="33"/>
  <c r="AW59" i="33" s="1"/>
  <c r="AX55" i="33"/>
  <c r="AX59" i="33" s="1"/>
  <c r="AY55" i="33"/>
  <c r="AY59" i="33" s="1"/>
  <c r="AZ55" i="33"/>
  <c r="AZ59" i="33" s="1"/>
  <c r="BA55" i="33"/>
  <c r="BA59" i="33" s="1"/>
  <c r="BB55" i="33"/>
  <c r="BB59" i="33" s="1"/>
  <c r="BC55" i="33"/>
  <c r="BC59" i="33" s="1"/>
  <c r="BD55" i="33"/>
  <c r="BD59" i="33" s="1"/>
  <c r="BE55" i="33"/>
  <c r="BE59" i="33" s="1"/>
  <c r="BF55" i="33"/>
  <c r="BF59" i="33" s="1"/>
  <c r="BG55" i="33"/>
  <c r="BG59" i="33" s="1"/>
  <c r="BH55" i="33"/>
  <c r="BH59" i="33" s="1"/>
  <c r="BI55" i="33"/>
  <c r="BI59" i="33" s="1"/>
  <c r="BJ55" i="33"/>
  <c r="BJ59" i="33" s="1"/>
  <c r="BK55" i="33"/>
  <c r="BK59" i="33" s="1"/>
  <c r="BL55" i="33"/>
  <c r="BL59" i="33" s="1"/>
  <c r="BM55" i="33"/>
  <c r="BM59" i="33" s="1"/>
  <c r="BN55" i="33"/>
  <c r="BN59" i="33" s="1"/>
  <c r="BO55" i="33"/>
  <c r="BO59" i="33" s="1"/>
  <c r="E56" i="33"/>
  <c r="G56" i="33"/>
  <c r="E57" i="33"/>
  <c r="G57" i="33"/>
  <c r="E58" i="33"/>
  <c r="G58" i="33"/>
  <c r="F59" i="33"/>
  <c r="F61" i="33" s="1"/>
  <c r="P24" i="29"/>
  <c r="AZ49" i="27"/>
  <c r="BA49" i="27"/>
  <c r="BB49" i="27"/>
  <c r="BA48" i="27"/>
  <c r="AY27" i="27"/>
  <c r="AY40" i="27"/>
  <c r="AZ20" i="27"/>
  <c r="AY25" i="27"/>
  <c r="AY12" i="27"/>
  <c r="BD48" i="27"/>
  <c r="G31" i="27"/>
  <c r="H31" i="27" s="1"/>
  <c r="I31" i="27" s="1"/>
  <c r="J31" i="27"/>
  <c r="H21" i="27"/>
  <c r="I21" i="27" s="1"/>
  <c r="H25" i="27"/>
  <c r="BF13" i="11"/>
  <c r="G9" i="32"/>
  <c r="G8" i="32"/>
  <c r="G7" i="32"/>
  <c r="E49" i="32"/>
  <c r="F30" i="27"/>
  <c r="BC48" i="27"/>
  <c r="BB48" i="27"/>
  <c r="AV48" i="27"/>
  <c r="BF32" i="11"/>
  <c r="BF23" i="11"/>
  <c r="BB13" i="7"/>
  <c r="BF55" i="11"/>
  <c r="BD12" i="27"/>
  <c r="BD24" i="27"/>
  <c r="BB14" i="7"/>
  <c r="G36" i="21"/>
  <c r="BB20" i="7"/>
  <c r="BC20" i="7"/>
  <c r="BB40" i="7"/>
  <c r="BB39" i="7"/>
  <c r="BB62" i="7"/>
  <c r="BF56" i="11"/>
  <c r="H19" i="27"/>
  <c r="H6" i="27"/>
  <c r="H5" i="27"/>
  <c r="H4" i="27"/>
  <c r="G4" i="27"/>
  <c r="F4" i="27"/>
  <c r="D4" i="27"/>
  <c r="H27" i="27"/>
  <c r="H38" i="27"/>
  <c r="H24" i="27"/>
  <c r="I24" i="27" s="1"/>
  <c r="H35" i="27"/>
  <c r="I35" i="27" s="1"/>
  <c r="H36" i="27"/>
  <c r="I36" i="27" s="1"/>
  <c r="L36" i="27" s="1"/>
  <c r="H44" i="27"/>
  <c r="H43" i="27"/>
  <c r="I43" i="27" s="1"/>
  <c r="H28" i="27"/>
  <c r="BF19" i="11"/>
  <c r="BG19" i="11"/>
  <c r="G23" i="26"/>
  <c r="BB63" i="27"/>
  <c r="H11" i="21"/>
  <c r="BA54" i="7"/>
  <c r="E86" i="34" l="1"/>
  <c r="E88" i="34" s="1"/>
  <c r="BB86" i="34"/>
  <c r="G47" i="32"/>
  <c r="G49" i="32" s="1"/>
  <c r="BI86" i="34"/>
  <c r="BN86" i="34"/>
  <c r="BF82" i="34"/>
  <c r="BF86" i="34" s="1"/>
  <c r="BC82" i="34"/>
  <c r="G59" i="33"/>
  <c r="G61" i="33" s="1"/>
  <c r="BD29" i="27"/>
  <c r="BD28" i="27"/>
  <c r="BD27" i="27"/>
  <c r="BC25" i="27"/>
  <c r="BC24" i="27"/>
  <c r="BE28" i="11"/>
  <c r="BA50" i="7"/>
  <c r="BB37" i="7"/>
  <c r="BA37" i="7"/>
  <c r="BE55" i="11"/>
  <c r="BE26" i="11"/>
  <c r="BE27" i="11"/>
  <c r="BE16" i="11"/>
  <c r="BA61" i="7"/>
  <c r="AZ62" i="7"/>
  <c r="BA62" i="7"/>
  <c r="BA38" i="7"/>
  <c r="BD37" i="11"/>
  <c r="BA16" i="7"/>
  <c r="AO56" i="11"/>
  <c r="BD26" i="11"/>
  <c r="BE56" i="11"/>
  <c r="BA25" i="7"/>
  <c r="BE24" i="11"/>
  <c r="BB28" i="27"/>
  <c r="BB27" i="27" s="1"/>
  <c r="BA27" i="7"/>
  <c r="BE39" i="11"/>
  <c r="BC27" i="7"/>
  <c r="BB27" i="7"/>
  <c r="BD30" i="11"/>
  <c r="BA31" i="7"/>
  <c r="AZ14" i="7"/>
  <c r="AZ31" i="7"/>
  <c r="AZ16" i="7"/>
  <c r="BD11" i="11"/>
  <c r="BC37" i="7"/>
  <c r="BA40" i="7"/>
  <c r="BA39" i="7"/>
  <c r="BD38" i="11"/>
  <c r="BA28" i="27"/>
  <c r="BA27" i="27"/>
  <c r="E61" i="33" l="1"/>
  <c r="BC86" i="34"/>
  <c r="H86" i="34" s="1"/>
  <c r="H88" i="34" s="1"/>
  <c r="E84" i="29"/>
  <c r="BD14" i="11"/>
  <c r="AZ60" i="7" l="1"/>
  <c r="E75" i="22"/>
  <c r="E84" i="22"/>
  <c r="BA24" i="27" l="1"/>
  <c r="E74" i="29"/>
  <c r="E76" i="22" l="1"/>
  <c r="H73" i="22"/>
  <c r="AE71" i="22"/>
  <c r="H70" i="22"/>
  <c r="G70" i="22"/>
  <c r="E70" i="22"/>
  <c r="AZ57" i="7"/>
  <c r="BD53" i="11"/>
  <c r="E75" i="29"/>
  <c r="H73" i="29"/>
  <c r="AE74" i="29"/>
  <c r="H76" i="29"/>
  <c r="G55" i="7"/>
  <c r="G56" i="7"/>
  <c r="G57" i="7"/>
  <c r="G58" i="7"/>
  <c r="H55" i="7"/>
  <c r="H56" i="7"/>
  <c r="H58" i="7"/>
  <c r="H60" i="7"/>
  <c r="G60" i="7"/>
  <c r="K52" i="11"/>
  <c r="J54" i="11"/>
  <c r="J53" i="11"/>
  <c r="K12" i="11"/>
  <c r="J12" i="11"/>
  <c r="BD32" i="11"/>
  <c r="BD56" i="11"/>
  <c r="BI56" i="11"/>
  <c r="BB47" i="27"/>
  <c r="BB40" i="27"/>
  <c r="AF29" i="20"/>
  <c r="AZ61" i="7"/>
  <c r="BD55" i="11"/>
  <c r="BC40" i="11"/>
  <c r="G12" i="18"/>
  <c r="G13" i="18"/>
  <c r="G14" i="18"/>
  <c r="G16" i="18"/>
  <c r="G17" i="18"/>
  <c r="G18" i="18"/>
  <c r="G19" i="18"/>
  <c r="G22" i="18"/>
  <c r="G23" i="18"/>
  <c r="G24" i="18"/>
  <c r="G25" i="18"/>
  <c r="G26" i="18"/>
  <c r="G27" i="18"/>
  <c r="G28" i="18"/>
  <c r="G29" i="18"/>
  <c r="G34" i="18"/>
  <c r="AZ27" i="7"/>
  <c r="BD39" i="11"/>
  <c r="AZ39" i="7"/>
  <c r="AZ40" i="7"/>
  <c r="BC58" i="11"/>
  <c r="BD58" i="11"/>
  <c r="AZ64" i="7"/>
  <c r="BA64" i="7"/>
  <c r="AY61" i="7"/>
  <c r="BC55" i="11"/>
  <c r="BB29" i="27"/>
  <c r="BB35" i="27"/>
  <c r="D3" i="30"/>
  <c r="F3" i="30"/>
  <c r="D4" i="30"/>
  <c r="F4" i="30"/>
  <c r="D5" i="30"/>
  <c r="F5" i="30"/>
  <c r="D6" i="30"/>
  <c r="F6" i="30"/>
  <c r="D7" i="30"/>
  <c r="F7" i="30"/>
  <c r="D8" i="30"/>
  <c r="F8" i="30"/>
  <c r="D9" i="30"/>
  <c r="F9" i="30"/>
  <c r="D10" i="30"/>
  <c r="F10" i="30"/>
  <c r="D11" i="30"/>
  <c r="F11" i="30"/>
  <c r="D12" i="30"/>
  <c r="F12" i="30"/>
  <c r="D13" i="30"/>
  <c r="F13" i="30"/>
  <c r="D14" i="30"/>
  <c r="F14" i="30"/>
  <c r="D15" i="30"/>
  <c r="F15" i="30"/>
  <c r="D16" i="30"/>
  <c r="F16" i="30"/>
  <c r="D17" i="30"/>
  <c r="F17" i="30"/>
  <c r="D18" i="30"/>
  <c r="F18" i="30"/>
  <c r="D19" i="30"/>
  <c r="F19" i="30"/>
  <c r="D20" i="30"/>
  <c r="F20" i="30"/>
  <c r="D21" i="30"/>
  <c r="F21" i="30"/>
  <c r="D22" i="30"/>
  <c r="F22" i="30"/>
  <c r="D23" i="30"/>
  <c r="F23" i="30"/>
  <c r="D24" i="30"/>
  <c r="F24" i="30"/>
  <c r="D25" i="30"/>
  <c r="F25" i="30"/>
  <c r="D26" i="30"/>
  <c r="H26" i="30"/>
  <c r="H30" i="30" s="1"/>
  <c r="I26" i="30"/>
  <c r="I30" i="30" s="1"/>
  <c r="J26" i="30"/>
  <c r="J30" i="30" s="1"/>
  <c r="K26" i="30"/>
  <c r="K30" i="30" s="1"/>
  <c r="L26" i="30"/>
  <c r="L30" i="30" s="1"/>
  <c r="M26" i="30"/>
  <c r="M30" i="30" s="1"/>
  <c r="N26" i="30"/>
  <c r="N30" i="30" s="1"/>
  <c r="O26" i="30"/>
  <c r="O30" i="30" s="1"/>
  <c r="P26" i="30"/>
  <c r="P30" i="30" s="1"/>
  <c r="Q26" i="30"/>
  <c r="Q30" i="30" s="1"/>
  <c r="R26" i="30"/>
  <c r="R30" i="30" s="1"/>
  <c r="S26" i="30"/>
  <c r="S30" i="30" s="1"/>
  <c r="T26" i="30"/>
  <c r="T30" i="30" s="1"/>
  <c r="U26" i="30"/>
  <c r="U30" i="30" s="1"/>
  <c r="V26" i="30"/>
  <c r="V30" i="30" s="1"/>
  <c r="W26" i="30"/>
  <c r="W30" i="30" s="1"/>
  <c r="X26" i="30"/>
  <c r="X30" i="30" s="1"/>
  <c r="Y26" i="30"/>
  <c r="Y30" i="30" s="1"/>
  <c r="Z26" i="30"/>
  <c r="Z30" i="30" s="1"/>
  <c r="AA26" i="30"/>
  <c r="AA30" i="30" s="1"/>
  <c r="AB26" i="30"/>
  <c r="AB30" i="30" s="1"/>
  <c r="AC26" i="30"/>
  <c r="AC30" i="30" s="1"/>
  <c r="AD26" i="30"/>
  <c r="AD30" i="30" s="1"/>
  <c r="AE26" i="30"/>
  <c r="AE30" i="30" s="1"/>
  <c r="D27" i="30"/>
  <c r="F27" i="30"/>
  <c r="D28" i="30"/>
  <c r="F28" i="30"/>
  <c r="D29" i="30"/>
  <c r="F29" i="30"/>
  <c r="E30" i="30"/>
  <c r="E32" i="30" s="1"/>
  <c r="BC16" i="7"/>
  <c r="BB16" i="7"/>
  <c r="BB31" i="7"/>
  <c r="AY14" i="7"/>
  <c r="BE15" i="11"/>
  <c r="BD15" i="11"/>
  <c r="AZ15" i="11"/>
  <c r="AZ20" i="11"/>
  <c r="BE11" i="11"/>
  <c r="BB11" i="11"/>
  <c r="AF45" i="20" l="1"/>
  <c r="AF49" i="20" s="1"/>
  <c r="E80" i="22"/>
  <c r="E79" i="29"/>
  <c r="D30" i="30"/>
  <c r="D32" i="30" s="1"/>
  <c r="F30" i="30"/>
  <c r="F32" i="30" s="1"/>
  <c r="AY49" i="7"/>
  <c r="AY39" i="7"/>
  <c r="AY40" i="7"/>
  <c r="BC39" i="11"/>
  <c r="AK39" i="11"/>
  <c r="BC11" i="11"/>
  <c r="BC15" i="11"/>
  <c r="BB32" i="11"/>
  <c r="AY41" i="7"/>
  <c r="AY62" i="7"/>
  <c r="AY63" i="7"/>
  <c r="AY6" i="7"/>
  <c r="G38" i="20"/>
  <c r="BC47" i="11"/>
  <c r="BC54" i="11"/>
  <c r="K54" i="11" s="1"/>
  <c r="G26" i="20"/>
  <c r="H26" i="20" s="1"/>
  <c r="G27" i="20"/>
  <c r="D63" i="27"/>
  <c r="F63" i="27"/>
  <c r="G5" i="27"/>
  <c r="G6" i="27"/>
  <c r="F5" i="27"/>
  <c r="F6" i="27"/>
  <c r="H29" i="27"/>
  <c r="I29" i="27" s="1"/>
  <c r="G42" i="27"/>
  <c r="H42" i="27" s="1"/>
  <c r="I42" i="27" s="1"/>
  <c r="F33" i="20"/>
  <c r="G17" i="20"/>
  <c r="G18" i="20"/>
  <c r="G19" i="20"/>
  <c r="G20" i="20"/>
  <c r="G21" i="20"/>
  <c r="G22" i="20"/>
  <c r="G23" i="20"/>
  <c r="G24" i="20"/>
  <c r="G25" i="20"/>
  <c r="G28" i="20"/>
  <c r="G29" i="20"/>
  <c r="G30" i="20"/>
  <c r="G31" i="20"/>
  <c r="G32" i="20"/>
  <c r="G33" i="20"/>
  <c r="G34" i="20"/>
  <c r="G35" i="20"/>
  <c r="G36" i="20"/>
  <c r="G37" i="20"/>
  <c r="G39" i="20"/>
  <c r="G40" i="20"/>
  <c r="I33" i="20" l="1"/>
  <c r="H27" i="20"/>
  <c r="G53" i="20"/>
  <c r="H33" i="20"/>
  <c r="AY57" i="7" l="1"/>
  <c r="BC53" i="11"/>
  <c r="AY27" i="7"/>
  <c r="BC30" i="11"/>
  <c r="AY16" i="7"/>
  <c r="AY31" i="7"/>
  <c r="BC26" i="11"/>
  <c r="G9" i="20"/>
  <c r="BC36" i="11"/>
  <c r="BB36" i="11"/>
  <c r="AY37" i="7"/>
  <c r="H36" i="20"/>
  <c r="AX14" i="7"/>
  <c r="AZ23" i="11"/>
  <c r="G45" i="27"/>
  <c r="F40" i="20"/>
  <c r="N52" i="27"/>
  <c r="N71" i="27"/>
  <c r="O35" i="27"/>
  <c r="AX50" i="7"/>
  <c r="AX29" i="7"/>
  <c r="BB28" i="11"/>
  <c r="G53" i="21"/>
  <c r="G54" i="21"/>
  <c r="G56" i="21"/>
  <c r="G49" i="21"/>
  <c r="G48" i="21"/>
  <c r="G50" i="21"/>
  <c r="G51" i="21"/>
  <c r="AX61" i="7"/>
  <c r="AX67" i="7"/>
  <c r="BB55" i="11"/>
  <c r="BA32" i="11"/>
  <c r="BB61" i="11"/>
  <c r="BB47" i="11"/>
  <c r="AR7" i="9"/>
  <c r="F45" i="20" l="1"/>
  <c r="I40" i="20"/>
  <c r="H45" i="27"/>
  <c r="H40" i="20"/>
  <c r="AZ48" i="27"/>
  <c r="AZ40" i="27"/>
  <c r="AX12" i="27"/>
  <c r="O12" i="27" s="1"/>
  <c r="AZ27" i="27"/>
  <c r="O27" i="27" s="1"/>
  <c r="AZ28" i="27"/>
  <c r="AZ24" i="27"/>
  <c r="AZ32" i="27"/>
  <c r="AF30" i="14"/>
  <c r="AF26" i="14"/>
  <c r="AF13" i="14"/>
  <c r="AZ47" i="27"/>
  <c r="AR27" i="8"/>
  <c r="AX62" i="7"/>
  <c r="BB56" i="11"/>
  <c r="AX27" i="7"/>
  <c r="AX16" i="7"/>
  <c r="AX31" i="7"/>
  <c r="AX63" i="7"/>
  <c r="AX40" i="7"/>
  <c r="AX57" i="7"/>
  <c r="BA57" i="7"/>
  <c r="BB26" i="11"/>
  <c r="BB30" i="11"/>
  <c r="BB15" i="11"/>
  <c r="BB57" i="11"/>
  <c r="BB38" i="11"/>
  <c r="BB39" i="11"/>
  <c r="BB53" i="11"/>
  <c r="G20" i="27"/>
  <c r="AN36" i="18"/>
  <c r="X45" i="20"/>
  <c r="X49" i="20" s="1"/>
  <c r="Y45" i="20"/>
  <c r="Y49" i="20" s="1"/>
  <c r="Z45" i="20"/>
  <c r="Z49" i="20" s="1"/>
  <c r="AA45" i="20"/>
  <c r="AA49" i="20" s="1"/>
  <c r="AB45" i="20"/>
  <c r="AB49" i="20" s="1"/>
  <c r="AC45" i="20"/>
  <c r="AC49" i="20" s="1"/>
  <c r="AD45" i="20"/>
  <c r="AD49" i="20" s="1"/>
  <c r="G4" i="20"/>
  <c r="H30" i="20"/>
  <c r="H29" i="20"/>
  <c r="H28" i="20"/>
  <c r="H16" i="20"/>
  <c r="H19" i="20"/>
  <c r="H18" i="20"/>
  <c r="H17" i="20"/>
  <c r="G15" i="20"/>
  <c r="G38" i="21"/>
  <c r="F60" i="7"/>
  <c r="H59" i="7"/>
  <c r="AA59" i="7"/>
  <c r="G59" i="7" s="1"/>
  <c r="I54" i="11"/>
  <c r="H57" i="7" l="1"/>
  <c r="H15" i="20"/>
  <c r="H4" i="20"/>
  <c r="G73" i="27"/>
  <c r="H20" i="27"/>
  <c r="AW24" i="7"/>
  <c r="AW16" i="7"/>
  <c r="AW41" i="7"/>
  <c r="AW61" i="7"/>
  <c r="AW39" i="7"/>
  <c r="AW40" i="7"/>
  <c r="AW62" i="7"/>
  <c r="BA40" i="11"/>
  <c r="BA55" i="11"/>
  <c r="BA39" i="11"/>
  <c r="G10" i="20"/>
  <c r="G11" i="20"/>
  <c r="G14" i="20"/>
  <c r="G45" i="20" s="1"/>
  <c r="BA56" i="11"/>
  <c r="G31" i="14"/>
  <c r="G32" i="14"/>
  <c r="H20" i="20"/>
  <c r="H21" i="20"/>
  <c r="H22" i="20"/>
  <c r="H23" i="20"/>
  <c r="G12" i="11"/>
  <c r="H12" i="11"/>
  <c r="I12" i="11"/>
  <c r="AU20" i="7"/>
  <c r="F15" i="7"/>
  <c r="G15" i="7"/>
  <c r="H15" i="7"/>
  <c r="BA57" i="11"/>
  <c r="AW28" i="7"/>
  <c r="AW27" i="7"/>
  <c r="AW31" i="7"/>
  <c r="BA26" i="11"/>
  <c r="BA23" i="11"/>
  <c r="BA11" i="11"/>
  <c r="BA15" i="11"/>
  <c r="BA53" i="11"/>
  <c r="AQ29" i="9"/>
  <c r="F20" i="27"/>
  <c r="H30" i="21"/>
  <c r="H38" i="21"/>
  <c r="H47" i="21"/>
  <c r="G18" i="21"/>
  <c r="H18" i="21" s="1"/>
  <c r="F19" i="27"/>
  <c r="H74" i="27" l="1"/>
  <c r="J73" i="27" s="1"/>
  <c r="I20" i="27"/>
  <c r="H11" i="20"/>
  <c r="G13" i="20"/>
  <c r="H10" i="20"/>
  <c r="H14" i="20"/>
  <c r="L12" i="11"/>
  <c r="AZ30" i="11"/>
  <c r="AV24" i="7"/>
  <c r="AV33" i="7"/>
  <c r="AX14" i="11"/>
  <c r="AZ46" i="11"/>
  <c r="BB46" i="11"/>
  <c r="F35" i="27"/>
  <c r="E27" i="18"/>
  <c r="AV9" i="7"/>
  <c r="AL9" i="11"/>
  <c r="AN9" i="7"/>
  <c r="AX9" i="11"/>
  <c r="AV13" i="7"/>
  <c r="AV61" i="7"/>
  <c r="AZ11" i="11"/>
  <c r="AZ55" i="11"/>
  <c r="H25" i="20"/>
  <c r="G27" i="26"/>
  <c r="G15" i="26"/>
  <c r="G20" i="26"/>
  <c r="AZ26" i="11"/>
  <c r="AZ39" i="11"/>
  <c r="AV27" i="7"/>
  <c r="AT40" i="7"/>
  <c r="AT39" i="7"/>
  <c r="AV39" i="7"/>
  <c r="AV40" i="7"/>
  <c r="AZ27" i="11"/>
  <c r="AY53" i="11"/>
  <c r="K53" i="11" s="1"/>
  <c r="AZ56" i="11"/>
  <c r="AV62" i="7"/>
  <c r="AV14" i="7"/>
  <c r="AV31" i="7"/>
  <c r="AV16" i="7"/>
  <c r="AV29" i="7"/>
  <c r="AZ28" i="11"/>
  <c r="AV50" i="7"/>
  <c r="F65" i="21"/>
  <c r="AW25" i="27"/>
  <c r="AU63" i="7"/>
  <c r="G31" i="26" l="1"/>
  <c r="E31" i="26"/>
  <c r="AY13" i="11"/>
  <c r="AY22" i="11"/>
  <c r="AY23" i="11"/>
  <c r="G24" i="21"/>
  <c r="G25" i="21"/>
  <c r="H25" i="21" s="1"/>
  <c r="G14" i="21"/>
  <c r="H14" i="21" s="1"/>
  <c r="G17" i="21"/>
  <c r="H17" i="21" s="1"/>
  <c r="G19" i="21"/>
  <c r="H19" i="21" s="1"/>
  <c r="G20" i="21"/>
  <c r="H20" i="21" s="1"/>
  <c r="G22" i="21"/>
  <c r="G23" i="21"/>
  <c r="H23" i="21" s="1"/>
  <c r="G26" i="21"/>
  <c r="G27" i="21"/>
  <c r="G28" i="21"/>
  <c r="G29" i="21"/>
  <c r="G31" i="21"/>
  <c r="G32" i="21"/>
  <c r="G33" i="21"/>
  <c r="G34" i="21"/>
  <c r="G35" i="21"/>
  <c r="G9" i="21"/>
  <c r="G10" i="21"/>
  <c r="H10" i="21" s="1"/>
  <c r="AU62" i="7"/>
  <c r="AY55" i="11"/>
  <c r="AY56" i="11"/>
  <c r="AU61" i="7"/>
  <c r="AC13" i="14"/>
  <c r="AO7" i="9"/>
  <c r="AT38" i="7"/>
  <c r="AU27" i="7"/>
  <c r="AY26" i="11"/>
  <c r="H24" i="21" l="1"/>
  <c r="H28" i="21"/>
  <c r="H34" i="21"/>
  <c r="H27" i="21"/>
  <c r="H31" i="21"/>
  <c r="H29" i="21"/>
  <c r="H26" i="21"/>
  <c r="H35" i="21"/>
  <c r="H33" i="21"/>
  <c r="H22" i="21"/>
  <c r="H21" i="21"/>
  <c r="H32" i="21"/>
  <c r="AU16" i="7"/>
  <c r="AU14" i="7"/>
  <c r="AY15" i="11"/>
  <c r="AY30" i="11"/>
  <c r="AY11" i="11"/>
  <c r="AU39" i="7"/>
  <c r="AU40" i="7"/>
  <c r="AY39" i="11"/>
  <c r="AX39" i="11"/>
  <c r="AX38" i="11"/>
  <c r="AY38" i="11"/>
  <c r="AT53" i="7"/>
  <c r="AX49" i="11"/>
  <c r="H34" i="20"/>
  <c r="G24" i="15"/>
  <c r="G23" i="15"/>
  <c r="G25" i="15"/>
  <c r="G22" i="15"/>
  <c r="G26" i="15"/>
  <c r="G27" i="15"/>
  <c r="G21" i="15"/>
  <c r="AX47" i="11"/>
  <c r="AT50" i="7"/>
  <c r="AX55" i="11"/>
  <c r="AP14" i="7"/>
  <c r="AP13" i="11"/>
  <c r="AT11" i="11" l="1"/>
  <c r="AX57" i="11"/>
  <c r="AT62" i="7"/>
  <c r="AS62" i="7"/>
  <c r="AX27" i="11"/>
  <c r="AX26" i="11"/>
  <c r="AX6" i="11"/>
  <c r="AX40" i="11"/>
  <c r="AX56" i="11"/>
  <c r="AT28" i="7"/>
  <c r="AT27" i="7"/>
  <c r="AT37" i="7"/>
  <c r="AT6" i="7"/>
  <c r="AT61" i="7"/>
  <c r="D44" i="27"/>
  <c r="E44" i="27"/>
  <c r="F44" i="27"/>
  <c r="F73" i="27" s="1"/>
  <c r="AU25" i="27"/>
  <c r="AS38" i="7"/>
  <c r="AT14" i="7"/>
  <c r="AT31" i="7"/>
  <c r="AT16" i="7"/>
  <c r="AX11" i="11"/>
  <c r="AX30" i="11"/>
  <c r="AX15" i="11"/>
  <c r="AW15" i="11"/>
  <c r="AS6" i="7"/>
  <c r="AS61" i="7"/>
  <c r="AW6" i="11"/>
  <c r="AW57" i="11"/>
  <c r="F13" i="14"/>
  <c r="AW55" i="11"/>
  <c r="F57" i="7"/>
  <c r="AS28" i="7"/>
  <c r="AS25" i="7"/>
  <c r="AW27" i="11"/>
  <c r="AW30" i="11"/>
  <c r="AW24" i="11"/>
  <c r="AW56" i="11"/>
  <c r="AN7" i="10"/>
  <c r="I53" i="11" l="1"/>
  <c r="AB30" i="14"/>
  <c r="AW11" i="11"/>
  <c r="AV26" i="11"/>
  <c r="AW36" i="11"/>
  <c r="AV39" i="11"/>
  <c r="AS27" i="7"/>
  <c r="AQ13" i="7"/>
  <c r="AS37" i="7"/>
  <c r="AS40" i="7"/>
  <c r="AS14" i="7"/>
  <c r="AS16" i="7"/>
  <c r="AS31" i="7"/>
  <c r="AM7" i="10"/>
  <c r="AR38" i="7"/>
  <c r="AR37" i="7"/>
  <c r="H39" i="20"/>
  <c r="AR20" i="7"/>
  <c r="AV19" i="11"/>
  <c r="AV27" i="11"/>
  <c r="AR28" i="7"/>
  <c r="AV6" i="11"/>
  <c r="AR6" i="7"/>
  <c r="AR61" i="7"/>
  <c r="AV55" i="11"/>
  <c r="BE16" i="7"/>
  <c r="BF16" i="7"/>
  <c r="BG16" i="7"/>
  <c r="BH16" i="7"/>
  <c r="BH31" i="7"/>
  <c r="BG31" i="7"/>
  <c r="BF31" i="7"/>
  <c r="BE31" i="7"/>
  <c r="BD31" i="7"/>
  <c r="AU31" i="7"/>
  <c r="BF14" i="7"/>
  <c r="BG14" i="7"/>
  <c r="BH14" i="7"/>
  <c r="BH15" i="11"/>
  <c r="BI15" i="11"/>
  <c r="BJ15" i="11"/>
  <c r="BJ30" i="11"/>
  <c r="BI30" i="11"/>
  <c r="BH30" i="11"/>
  <c r="BA30" i="11"/>
  <c r="AV28" i="11"/>
  <c r="AR40" i="7"/>
  <c r="AR10" i="7"/>
  <c r="AB23" i="14"/>
  <c r="AV56" i="11"/>
  <c r="AR62" i="7"/>
  <c r="AV23" i="11"/>
  <c r="AU39" i="11"/>
  <c r="AV36" i="11"/>
  <c r="AV11" i="11"/>
  <c r="AV30" i="11"/>
  <c r="AR16" i="7"/>
  <c r="AV15" i="11"/>
  <c r="AR14" i="7"/>
  <c r="G45" i="21"/>
  <c r="G46" i="21"/>
  <c r="G52" i="21"/>
  <c r="G55" i="21"/>
  <c r="G57" i="21"/>
  <c r="G58" i="21"/>
  <c r="H58" i="21" s="1"/>
  <c r="G59" i="21"/>
  <c r="H59" i="21" s="1"/>
  <c r="G7" i="21"/>
  <c r="G42" i="21"/>
  <c r="G43" i="21"/>
  <c r="G44" i="21"/>
  <c r="G6" i="21"/>
  <c r="O13" i="27"/>
  <c r="O16" i="27"/>
  <c r="O17" i="27"/>
  <c r="O19" i="27"/>
  <c r="O20" i="27"/>
  <c r="O21" i="27"/>
  <c r="O22" i="27"/>
  <c r="O24" i="27"/>
  <c r="O25" i="27"/>
  <c r="O26" i="27"/>
  <c r="O29" i="27"/>
  <c r="O32" i="27"/>
  <c r="O36" i="27"/>
  <c r="O37" i="27"/>
  <c r="O38" i="27"/>
  <c r="O39" i="27"/>
  <c r="O40" i="27"/>
  <c r="O28" i="27"/>
  <c r="O42" i="27"/>
  <c r="O43" i="27"/>
  <c r="O44" i="27"/>
  <c r="O47" i="27"/>
  <c r="O48" i="27"/>
  <c r="O51" i="27"/>
  <c r="N51" i="27" s="1"/>
  <c r="O54" i="27"/>
  <c r="O55" i="27"/>
  <c r="N55" i="27" s="1"/>
  <c r="O56" i="27"/>
  <c r="N56" i="27" s="1"/>
  <c r="O57" i="27"/>
  <c r="N57" i="27" s="1"/>
  <c r="O58" i="27"/>
  <c r="N58" i="27" s="1"/>
  <c r="O59" i="27"/>
  <c r="N59" i="27" s="1"/>
  <c r="O60" i="27"/>
  <c r="N60" i="27" s="1"/>
  <c r="O61" i="27"/>
  <c r="N61" i="27" s="1"/>
  <c r="O62" i="27"/>
  <c r="N62" i="27" s="1"/>
  <c r="O63" i="27"/>
  <c r="O64" i="27"/>
  <c r="N64" i="27" s="1"/>
  <c r="O65" i="27"/>
  <c r="N65" i="27" s="1"/>
  <c r="O66" i="27"/>
  <c r="N66" i="27" s="1"/>
  <c r="O67" i="27"/>
  <c r="N67" i="27" s="1"/>
  <c r="O5" i="27"/>
  <c r="O6" i="27"/>
  <c r="O7" i="27"/>
  <c r="O8" i="27"/>
  <c r="O9" i="27"/>
  <c r="O11" i="27"/>
  <c r="O4" i="27"/>
  <c r="AR31" i="7"/>
  <c r="AV58" i="11"/>
  <c r="H24" i="20"/>
  <c r="H31" i="20"/>
  <c r="H32" i="20"/>
  <c r="H35" i="20"/>
  <c r="H37" i="20"/>
  <c r="H38" i="20"/>
  <c r="G12" i="15"/>
  <c r="G13" i="15"/>
  <c r="G14" i="15"/>
  <c r="G15" i="15"/>
  <c r="G16" i="15"/>
  <c r="G17" i="15"/>
  <c r="G18" i="15"/>
  <c r="G19" i="15"/>
  <c r="G20" i="15"/>
  <c r="D5" i="27"/>
  <c r="D6" i="27"/>
  <c r="E4" i="27"/>
  <c r="E5" i="27"/>
  <c r="E6" i="27"/>
  <c r="BY68" i="27"/>
  <c r="BY73" i="27" s="1"/>
  <c r="BZ68" i="27"/>
  <c r="BZ73" i="27" s="1"/>
  <c r="CA68" i="27"/>
  <c r="CA73" i="27" s="1"/>
  <c r="CB68" i="27"/>
  <c r="CB73" i="27" s="1"/>
  <c r="CC68" i="27"/>
  <c r="CC73" i="27" s="1"/>
  <c r="CK68" i="27"/>
  <c r="CK73" i="27" s="1"/>
  <c r="CL68" i="27"/>
  <c r="CL73" i="27" s="1"/>
  <c r="CM68" i="27"/>
  <c r="CM73" i="27" s="1"/>
  <c r="CN68" i="27"/>
  <c r="CN73" i="27" s="1"/>
  <c r="CO68" i="27"/>
  <c r="CO73" i="27" s="1"/>
  <c r="CW68" i="27"/>
  <c r="CW73" i="27" s="1"/>
  <c r="CX68" i="27"/>
  <c r="CX73" i="27" s="1"/>
  <c r="CY68" i="27"/>
  <c r="CY73" i="27" s="1"/>
  <c r="CZ68" i="27"/>
  <c r="CZ73" i="27" s="1"/>
  <c r="DA68" i="27"/>
  <c r="DA73" i="27" s="1"/>
  <c r="DI68" i="27"/>
  <c r="DI73" i="27" s="1"/>
  <c r="DJ68" i="27"/>
  <c r="DJ73" i="27" s="1"/>
  <c r="DK68" i="27"/>
  <c r="DK73" i="27" s="1"/>
  <c r="DL68" i="27"/>
  <c r="DL73" i="27" s="1"/>
  <c r="DM68" i="27"/>
  <c r="DM73" i="27" s="1"/>
  <c r="H45" i="20" l="1"/>
  <c r="H57" i="21"/>
  <c r="H56" i="21"/>
  <c r="H55" i="21"/>
  <c r="H54" i="21"/>
  <c r="H53" i="21"/>
  <c r="H52" i="21"/>
  <c r="H50" i="21"/>
  <c r="H49" i="21"/>
  <c r="H44" i="21"/>
  <c r="H43" i="21"/>
  <c r="H48" i="21"/>
  <c r="H42" i="21"/>
  <c r="H46" i="21"/>
  <c r="H45" i="21"/>
  <c r="D68" i="27"/>
  <c r="D73" i="27" s="1"/>
  <c r="AL27" i="10"/>
  <c r="AL7" i="10"/>
  <c r="Q68" i="27"/>
  <c r="Q73" i="27" s="1"/>
  <c r="R68" i="27"/>
  <c r="R73" i="27" s="1"/>
  <c r="S68" i="27"/>
  <c r="S73" i="27" s="1"/>
  <c r="T68" i="27"/>
  <c r="T73" i="27" s="1"/>
  <c r="U68" i="27"/>
  <c r="U73" i="27" s="1"/>
  <c r="V68" i="27"/>
  <c r="V73" i="27" s="1"/>
  <c r="W68" i="27"/>
  <c r="W73" i="27" s="1"/>
  <c r="X68" i="27"/>
  <c r="X73" i="27" s="1"/>
  <c r="Y68" i="27"/>
  <c r="Y73" i="27" s="1"/>
  <c r="Z68" i="27"/>
  <c r="Z73" i="27" s="1"/>
  <c r="AA68" i="27"/>
  <c r="AA73" i="27" s="1"/>
  <c r="AB68" i="27"/>
  <c r="AB73" i="27" s="1"/>
  <c r="AC68" i="27"/>
  <c r="AC73" i="27" s="1"/>
  <c r="AD68" i="27"/>
  <c r="AD73" i="27" s="1"/>
  <c r="AE68" i="27"/>
  <c r="AE73" i="27" s="1"/>
  <c r="AF68" i="27"/>
  <c r="AF73" i="27" s="1"/>
  <c r="AG68" i="27"/>
  <c r="AG73" i="27" s="1"/>
  <c r="AH68" i="27"/>
  <c r="AH73" i="27" s="1"/>
  <c r="AI68" i="27"/>
  <c r="AI73" i="27" s="1"/>
  <c r="AJ68" i="27"/>
  <c r="AJ73" i="27" s="1"/>
  <c r="AK68" i="27"/>
  <c r="AK73" i="27" s="1"/>
  <c r="AL68" i="27"/>
  <c r="AL73" i="27" s="1"/>
  <c r="AM68" i="27"/>
  <c r="AM73" i="27" s="1"/>
  <c r="AN68" i="27"/>
  <c r="AN73" i="27" s="1"/>
  <c r="AO68" i="27"/>
  <c r="AO73" i="27" s="1"/>
  <c r="AP68" i="27"/>
  <c r="AP73" i="27" s="1"/>
  <c r="AQ68" i="27"/>
  <c r="AQ73" i="27" s="1"/>
  <c r="AR68" i="27"/>
  <c r="AR73" i="27" s="1"/>
  <c r="AS68" i="27"/>
  <c r="AS73" i="27" s="1"/>
  <c r="AT68" i="27"/>
  <c r="AT73" i="27" s="1"/>
  <c r="AU68" i="27"/>
  <c r="AU73" i="27" s="1"/>
  <c r="AV68" i="27"/>
  <c r="AV73" i="27" s="1"/>
  <c r="AW68" i="27"/>
  <c r="AW73" i="27" s="1"/>
  <c r="AX68" i="27"/>
  <c r="AX73" i="27" s="1"/>
  <c r="AY68" i="27"/>
  <c r="AY73" i="27" s="1"/>
  <c r="AZ68" i="27"/>
  <c r="AZ73" i="27" s="1"/>
  <c r="BA68" i="27"/>
  <c r="BA73" i="27" s="1"/>
  <c r="BB68" i="27"/>
  <c r="BB73" i="27" s="1"/>
  <c r="BC68" i="27"/>
  <c r="BC73" i="27" s="1"/>
  <c r="BD68" i="27"/>
  <c r="BD73" i="27" s="1"/>
  <c r="BE68" i="27"/>
  <c r="BE73" i="27" s="1"/>
  <c r="BF68" i="27"/>
  <c r="BF73" i="27" s="1"/>
  <c r="BG68" i="27"/>
  <c r="BG73" i="27" s="1"/>
  <c r="BH68" i="27"/>
  <c r="BH73" i="27" s="1"/>
  <c r="BI68" i="27"/>
  <c r="BI73" i="27" s="1"/>
  <c r="BJ68" i="27"/>
  <c r="BJ73" i="27" s="1"/>
  <c r="BK68" i="27"/>
  <c r="BK73" i="27" s="1"/>
  <c r="BL68" i="27"/>
  <c r="BL73" i="27" s="1"/>
  <c r="BM68" i="27"/>
  <c r="BM73" i="27" s="1"/>
  <c r="BN68" i="27"/>
  <c r="BN73" i="27" s="1"/>
  <c r="BO68" i="27"/>
  <c r="BO73" i="27" s="1"/>
  <c r="BP68" i="27"/>
  <c r="BP73" i="27" s="1"/>
  <c r="BQ68" i="27"/>
  <c r="BQ73" i="27" s="1"/>
  <c r="E69" i="27"/>
  <c r="O69" i="27"/>
  <c r="N69" i="27" s="1"/>
  <c r="E70" i="27"/>
  <c r="O70" i="27"/>
  <c r="N70" i="27" s="1"/>
  <c r="E72" i="27"/>
  <c r="O72" i="27"/>
  <c r="N72" i="27" s="1"/>
  <c r="F75" i="27"/>
  <c r="D60" i="21"/>
  <c r="D65" i="21" s="1"/>
  <c r="D69" i="21" s="1"/>
  <c r="G59" i="11"/>
  <c r="N73" i="27" l="1"/>
  <c r="D75" i="27"/>
  <c r="O73" i="27"/>
  <c r="O75" i="27" s="1"/>
  <c r="N52" i="11"/>
  <c r="O52" i="11"/>
  <c r="P52" i="11"/>
  <c r="Q52" i="11"/>
  <c r="R52" i="11"/>
  <c r="S52" i="11"/>
  <c r="T52" i="11"/>
  <c r="U52" i="11"/>
  <c r="V52" i="11"/>
  <c r="M52" i="11" s="1"/>
  <c r="AU17" i="11"/>
  <c r="AU27" i="11"/>
  <c r="AU55" i="11"/>
  <c r="AQ28" i="7"/>
  <c r="AQ63" i="7"/>
  <c r="AQ61" i="7"/>
  <c r="AQ62" i="7"/>
  <c r="AP62" i="7"/>
  <c r="AL12" i="10"/>
  <c r="AL10" i="10"/>
  <c r="AU56" i="11"/>
  <c r="AT56" i="11"/>
  <c r="AQ14" i="7"/>
  <c r="AU11" i="11"/>
  <c r="AQ64" i="7"/>
  <c r="AQ38" i="7"/>
  <c r="AQ40" i="7"/>
  <c r="AQ16" i="7"/>
  <c r="AQ31" i="7"/>
  <c r="F55" i="7"/>
  <c r="AQ29" i="7"/>
  <c r="AU30" i="11"/>
  <c r="AU15" i="11"/>
  <c r="AU28" i="11"/>
  <c r="F8" i="15"/>
  <c r="D28" i="15" a="1"/>
  <c r="D28" i="15" s="1"/>
  <c r="AK7" i="10"/>
  <c r="AK23" i="10"/>
  <c r="V60" i="21"/>
  <c r="V65" i="21" s="1"/>
  <c r="U60" i="21"/>
  <c r="U65" i="21" s="1"/>
  <c r="T60" i="21"/>
  <c r="T65" i="21" s="1"/>
  <c r="S60" i="21"/>
  <c r="S65" i="21" s="1"/>
  <c r="R60" i="21"/>
  <c r="R65" i="21" s="1"/>
  <c r="Q60" i="21"/>
  <c r="Q65" i="21" s="1"/>
  <c r="P60" i="21"/>
  <c r="P65" i="21" s="1"/>
  <c r="O60" i="21"/>
  <c r="O65" i="21" s="1"/>
  <c r="N60" i="21"/>
  <c r="N65" i="21" s="1"/>
  <c r="M60" i="21"/>
  <c r="M65" i="21" s="1"/>
  <c r="L60" i="21"/>
  <c r="L65" i="21" s="1"/>
  <c r="K60" i="21"/>
  <c r="K65" i="21" s="1"/>
  <c r="AH60" i="21"/>
  <c r="AH65" i="21" s="1"/>
  <c r="AG60" i="21"/>
  <c r="AG65" i="21" s="1"/>
  <c r="AF60" i="21"/>
  <c r="AF65" i="21" s="1"/>
  <c r="AE60" i="21"/>
  <c r="AE65" i="21" s="1"/>
  <c r="AD60" i="21"/>
  <c r="AD65" i="21" s="1"/>
  <c r="AC60" i="21"/>
  <c r="AC65" i="21" s="1"/>
  <c r="AB60" i="21"/>
  <c r="AB65" i="21" s="1"/>
  <c r="AA60" i="21"/>
  <c r="AA65" i="21" s="1"/>
  <c r="Z60" i="21"/>
  <c r="Z65" i="21" s="1"/>
  <c r="Y60" i="21"/>
  <c r="Y65" i="21" s="1"/>
  <c r="X60" i="21"/>
  <c r="X65" i="21" s="1"/>
  <c r="W60" i="21"/>
  <c r="W65" i="21" s="1"/>
  <c r="AM60" i="21"/>
  <c r="AM65" i="21" s="1"/>
  <c r="AL60" i="21"/>
  <c r="AL65" i="21" s="1"/>
  <c r="AK60" i="21"/>
  <c r="AK65" i="21" s="1"/>
  <c r="AJ60" i="21"/>
  <c r="AJ65" i="21" s="1"/>
  <c r="AI60" i="21"/>
  <c r="AI65" i="21" s="1"/>
  <c r="J52" i="11" l="1"/>
  <c r="L52" i="11"/>
  <c r="AT36" i="11"/>
  <c r="AT55" i="11"/>
  <c r="D35" i="26" a="1"/>
  <c r="D35" i="26" s="1"/>
  <c r="D39" i="26" s="1"/>
  <c r="D41" i="26" s="1"/>
  <c r="F39" i="26"/>
  <c r="F41" i="26" s="1"/>
  <c r="G38" i="26"/>
  <c r="E38" i="26"/>
  <c r="G37" i="26"/>
  <c r="E37" i="26"/>
  <c r="G36" i="26"/>
  <c r="E36" i="26"/>
  <c r="AF35" i="26"/>
  <c r="AF39" i="26" s="1"/>
  <c r="AE35" i="26"/>
  <c r="AE39" i="26" s="1"/>
  <c r="AD35" i="26"/>
  <c r="AD39" i="26" s="1"/>
  <c r="AC35" i="26"/>
  <c r="AC39" i="26" s="1"/>
  <c r="AB35" i="26"/>
  <c r="AB39" i="26" s="1"/>
  <c r="AA35" i="26"/>
  <c r="AA39" i="26" s="1"/>
  <c r="Z35" i="26"/>
  <c r="Z39" i="26" s="1"/>
  <c r="Y35" i="26"/>
  <c r="Y39" i="26" s="1"/>
  <c r="X35" i="26"/>
  <c r="X39" i="26" s="1"/>
  <c r="W35" i="26"/>
  <c r="W39" i="26" s="1"/>
  <c r="V35" i="26"/>
  <c r="V39" i="26" s="1"/>
  <c r="U35" i="26"/>
  <c r="U39" i="26" s="1"/>
  <c r="T35" i="26"/>
  <c r="T39" i="26" s="1"/>
  <c r="S35" i="26"/>
  <c r="S39" i="26" s="1"/>
  <c r="R35" i="26"/>
  <c r="R39" i="26" s="1"/>
  <c r="Q35" i="26"/>
  <c r="Q39" i="26" s="1"/>
  <c r="P35" i="26"/>
  <c r="P39" i="26" s="1"/>
  <c r="O35" i="26"/>
  <c r="O39" i="26" s="1"/>
  <c r="N35" i="26"/>
  <c r="N39" i="26" s="1"/>
  <c r="M35" i="26"/>
  <c r="M39" i="26" s="1"/>
  <c r="L35" i="26"/>
  <c r="L39" i="26" s="1"/>
  <c r="K35" i="26"/>
  <c r="K39" i="26" s="1"/>
  <c r="J35" i="26"/>
  <c r="J39" i="26" s="1"/>
  <c r="I35" i="26"/>
  <c r="I39" i="26" s="1"/>
  <c r="G34" i="26"/>
  <c r="E34" i="26"/>
  <c r="G32" i="26"/>
  <c r="E32" i="26"/>
  <c r="G30" i="26"/>
  <c r="E30" i="26"/>
  <c r="G29" i="26"/>
  <c r="E29" i="26"/>
  <c r="G28" i="26"/>
  <c r="E28" i="26"/>
  <c r="G26" i="26"/>
  <c r="E26" i="26"/>
  <c r="G25" i="26"/>
  <c r="E25" i="26"/>
  <c r="G21" i="26"/>
  <c r="E21" i="26"/>
  <c r="G19" i="26"/>
  <c r="E19" i="26"/>
  <c r="G18" i="26"/>
  <c r="E18" i="26"/>
  <c r="G17" i="26"/>
  <c r="E17" i="26"/>
  <c r="G16" i="26"/>
  <c r="E16" i="26"/>
  <c r="G13" i="26"/>
  <c r="E13" i="26"/>
  <c r="G12" i="26"/>
  <c r="E12" i="26"/>
  <c r="G10" i="26"/>
  <c r="E10" i="26"/>
  <c r="G9" i="26"/>
  <c r="E9" i="26"/>
  <c r="G8" i="26"/>
  <c r="E8" i="26"/>
  <c r="G7" i="26"/>
  <c r="E7" i="26"/>
  <c r="E6" i="26"/>
  <c r="E5" i="26"/>
  <c r="E4" i="26"/>
  <c r="S45" i="20"/>
  <c r="S49" i="20" s="1"/>
  <c r="T45" i="20"/>
  <c r="T49" i="20" s="1"/>
  <c r="U45" i="20"/>
  <c r="U49" i="20" s="1"/>
  <c r="V45" i="20"/>
  <c r="V49" i="20" s="1"/>
  <c r="W45" i="20"/>
  <c r="W49" i="20" s="1"/>
  <c r="AE45" i="20"/>
  <c r="AE49" i="20" s="1"/>
  <c r="AG45" i="20"/>
  <c r="AG49" i="20" s="1"/>
  <c r="AH45" i="20"/>
  <c r="AH49" i="20" s="1"/>
  <c r="AI45" i="20"/>
  <c r="AI49" i="20" s="1"/>
  <c r="AJ45" i="20"/>
  <c r="AJ49" i="20" s="1"/>
  <c r="AK45" i="20"/>
  <c r="AK49" i="20" s="1"/>
  <c r="AL45" i="20"/>
  <c r="AL49" i="20" s="1"/>
  <c r="AM45" i="20"/>
  <c r="AM49" i="20" s="1"/>
  <c r="AN45" i="20"/>
  <c r="AN49" i="20" s="1"/>
  <c r="AO45" i="20"/>
  <c r="AO49" i="20" s="1"/>
  <c r="R45" i="20"/>
  <c r="R49" i="20" s="1"/>
  <c r="F9" i="20"/>
  <c r="AS7" i="11"/>
  <c r="F13" i="20" l="1"/>
  <c r="F46" i="20" s="1"/>
  <c r="H9" i="20"/>
  <c r="G39" i="26"/>
  <c r="G41" i="26" s="1"/>
  <c r="E35" i="26"/>
  <c r="E39" i="26" s="1"/>
  <c r="E41" i="26" s="1"/>
  <c r="I28" i="15"/>
  <c r="X28" i="15"/>
  <c r="X32" i="15" s="1"/>
  <c r="Y28" i="15"/>
  <c r="Z28" i="15"/>
  <c r="Z32" i="15" s="1"/>
  <c r="AC28" i="15"/>
  <c r="AC32" i="15" s="1"/>
  <c r="H13" i="20" l="1"/>
  <c r="D8" i="15"/>
  <c r="AK7" i="9"/>
  <c r="D67" i="21"/>
  <c r="F49" i="20" l="1"/>
  <c r="F51" i="20" s="1"/>
  <c r="F18" i="10"/>
  <c r="AP28" i="7"/>
  <c r="H28" i="7" s="1"/>
  <c r="AP6" i="7"/>
  <c r="AT6" i="11"/>
  <c r="E18" i="10" l="1"/>
  <c r="G18" i="10"/>
  <c r="AO33" i="11"/>
  <c r="AE30" i="7"/>
  <c r="AP28" i="15"/>
  <c r="AP32" i="15" s="1"/>
  <c r="AO28" i="15"/>
  <c r="AO32" i="15" s="1"/>
  <c r="AN28" i="15"/>
  <c r="AN32" i="15" s="1"/>
  <c r="AM28" i="15"/>
  <c r="AM32" i="15" s="1"/>
  <c r="AL28" i="15"/>
  <c r="AL32" i="15" s="1"/>
  <c r="AK28" i="15"/>
  <c r="AK32" i="15" s="1"/>
  <c r="AJ28" i="15"/>
  <c r="AJ32" i="15" s="1"/>
  <c r="AI28" i="15"/>
  <c r="AI32" i="15" s="1"/>
  <c r="AH28" i="15"/>
  <c r="AH32" i="15" s="1"/>
  <c r="AG28" i="15"/>
  <c r="AG32" i="15" s="1"/>
  <c r="AE28" i="15"/>
  <c r="AE32" i="15" s="1"/>
  <c r="AD28" i="15"/>
  <c r="AD32" i="15" s="1"/>
  <c r="S36" i="18"/>
  <c r="S28" i="15"/>
  <c r="S32" i="15" s="1"/>
  <c r="T28" i="15"/>
  <c r="T32" i="15" s="1"/>
  <c r="U28" i="15"/>
  <c r="U32" i="15" s="1"/>
  <c r="V28" i="15"/>
  <c r="V32" i="15" s="1"/>
  <c r="W28" i="15"/>
  <c r="W32" i="15" s="1"/>
  <c r="AA28" i="15"/>
  <c r="AA32" i="15" s="1"/>
  <c r="AT27" i="11"/>
  <c r="AO40" i="7"/>
  <c r="AP54" i="7"/>
  <c r="D35" i="10"/>
  <c r="D37" i="10" s="1"/>
  <c r="G24" i="14"/>
  <c r="E24" i="14"/>
  <c r="AR10" i="11"/>
  <c r="AT26" i="11" l="1"/>
  <c r="AP38" i="7"/>
  <c r="AT37" i="11"/>
  <c r="AS39" i="11"/>
  <c r="AJ7" i="9"/>
  <c r="AP31" i="7"/>
  <c r="AP16" i="7"/>
  <c r="AJ27" i="8"/>
  <c r="AP50" i="7"/>
  <c r="X27" i="14"/>
  <c r="AJ10" i="8"/>
  <c r="AT30" i="11"/>
  <c r="AT15" i="11"/>
  <c r="R5" i="11"/>
  <c r="AQ57" i="11"/>
  <c r="AF10" i="7"/>
  <c r="AR57" i="11"/>
  <c r="AN27" i="7"/>
  <c r="AO6" i="7"/>
  <c r="AN48" i="7"/>
  <c r="AN61" i="7"/>
  <c r="AN29" i="7"/>
  <c r="AS6" i="11"/>
  <c r="AS55" i="11"/>
  <c r="AR27" i="11"/>
  <c r="D5" i="20"/>
  <c r="G5" i="20"/>
  <c r="G6" i="20"/>
  <c r="H6" i="20" s="1"/>
  <c r="E6" i="20"/>
  <c r="E4" i="20"/>
  <c r="I4" i="20" s="1"/>
  <c r="Q45" i="20"/>
  <c r="Q49" i="20" s="1"/>
  <c r="P45" i="20"/>
  <c r="P49" i="20" s="1"/>
  <c r="O45" i="20"/>
  <c r="O49" i="20" s="1"/>
  <c r="N45" i="20"/>
  <c r="N49" i="20" s="1"/>
  <c r="M45" i="20"/>
  <c r="M49" i="20" s="1"/>
  <c r="L45" i="20"/>
  <c r="L49" i="20" s="1"/>
  <c r="AS56" i="11"/>
  <c r="AO62" i="7"/>
  <c r="D6" i="20" l="1"/>
  <c r="I6" i="20"/>
  <c r="I7" i="20" s="1"/>
  <c r="E7" i="20"/>
  <c r="H5" i="20"/>
  <c r="H7" i="20" s="1"/>
  <c r="G7" i="20"/>
  <c r="D4" i="20"/>
  <c r="AN25" i="7"/>
  <c r="D7" i="20" l="1"/>
  <c r="AN18" i="7"/>
  <c r="AM23" i="7"/>
  <c r="AN31" i="7"/>
  <c r="AN14" i="7"/>
  <c r="AN16" i="7"/>
  <c r="AS36" i="11"/>
  <c r="AS30" i="11"/>
  <c r="AS15" i="11"/>
  <c r="AS11" i="11"/>
  <c r="AR39" i="11"/>
  <c r="D30" i="13"/>
  <c r="AN33" i="7"/>
  <c r="AS37" i="11"/>
  <c r="AO38" i="7"/>
  <c r="AS57" i="11"/>
  <c r="AN20" i="7"/>
  <c r="G64" i="21"/>
  <c r="G62" i="21"/>
  <c r="G61" i="21"/>
  <c r="E61" i="21"/>
  <c r="BK60" i="21"/>
  <c r="BK65" i="21" s="1"/>
  <c r="BJ60" i="21"/>
  <c r="BJ65" i="21" s="1"/>
  <c r="BI60" i="21"/>
  <c r="BI65" i="21" s="1"/>
  <c r="BH60" i="21"/>
  <c r="BH65" i="21" s="1"/>
  <c r="BG60" i="21"/>
  <c r="BG65" i="21" s="1"/>
  <c r="BF60" i="21"/>
  <c r="BF65" i="21" s="1"/>
  <c r="BE60" i="21"/>
  <c r="BE65" i="21" s="1"/>
  <c r="BD60" i="21"/>
  <c r="BD65" i="21" s="1"/>
  <c r="BC60" i="21"/>
  <c r="BC65" i="21" s="1"/>
  <c r="BB60" i="21"/>
  <c r="BB65" i="21" s="1"/>
  <c r="BA60" i="21"/>
  <c r="BA65" i="21" s="1"/>
  <c r="AZ60" i="21"/>
  <c r="AZ65" i="21" s="1"/>
  <c r="AY60" i="21"/>
  <c r="AY65" i="21" s="1"/>
  <c r="AX60" i="21"/>
  <c r="AX65" i="21" s="1"/>
  <c r="AW60" i="21"/>
  <c r="AW65" i="21" s="1"/>
  <c r="AV60" i="21"/>
  <c r="AV65" i="21" s="1"/>
  <c r="AT60" i="21"/>
  <c r="AT65" i="21" s="1"/>
  <c r="AS60" i="21"/>
  <c r="AS65" i="21" s="1"/>
  <c r="AR60" i="21"/>
  <c r="AR65" i="21" s="1"/>
  <c r="AQ60" i="21"/>
  <c r="AQ65" i="21" s="1"/>
  <c r="AP60" i="21"/>
  <c r="AP65" i="21" s="1"/>
  <c r="AN60" i="21"/>
  <c r="AN65" i="21" s="1"/>
  <c r="E9" i="21"/>
  <c r="AN50" i="7"/>
  <c r="AN12" i="7"/>
  <c r="AN6" i="7"/>
  <c r="AR56" i="11"/>
  <c r="AR6" i="11"/>
  <c r="E16" i="20"/>
  <c r="E9" i="20"/>
  <c r="G8" i="20"/>
  <c r="E8" i="20"/>
  <c r="AR9" i="11"/>
  <c r="AR55" i="11"/>
  <c r="AG10" i="18"/>
  <c r="I8" i="20" l="1"/>
  <c r="E45" i="20"/>
  <c r="I16" i="20"/>
  <c r="I45" i="20" s="1"/>
  <c r="E13" i="20"/>
  <c r="I9" i="20"/>
  <c r="I13" i="20" s="1"/>
  <c r="D46" i="20"/>
  <c r="D49" i="20" s="1"/>
  <c r="D51" i="20" s="1"/>
  <c r="G46" i="20"/>
  <c r="H8" i="20"/>
  <c r="F67" i="21"/>
  <c r="E60" i="21"/>
  <c r="E65" i="21" s="1"/>
  <c r="AR14" i="11"/>
  <c r="AN38" i="7"/>
  <c r="AN62" i="7"/>
  <c r="AR11" i="11"/>
  <c r="AR30" i="11"/>
  <c r="AL22" i="11"/>
  <c r="Y5" i="15"/>
  <c r="F5" i="15" s="1"/>
  <c r="G63" i="7"/>
  <c r="G64" i="7"/>
  <c r="G7" i="7"/>
  <c r="G8" i="7"/>
  <c r="G9" i="7"/>
  <c r="G11" i="7"/>
  <c r="G18" i="7"/>
  <c r="G22" i="7"/>
  <c r="G25" i="7"/>
  <c r="G26" i="7"/>
  <c r="G28" i="7"/>
  <c r="G5" i="7"/>
  <c r="H14" i="7"/>
  <c r="H68" i="7"/>
  <c r="H65" i="7"/>
  <c r="H66" i="7"/>
  <c r="H67" i="7"/>
  <c r="H48" i="7"/>
  <c r="H49" i="7"/>
  <c r="H50" i="7"/>
  <c r="H51" i="7"/>
  <c r="H52" i="7"/>
  <c r="H53" i="7"/>
  <c r="H54" i="7"/>
  <c r="H32" i="7"/>
  <c r="H33" i="7"/>
  <c r="H34" i="7"/>
  <c r="H35" i="7"/>
  <c r="H36" i="7"/>
  <c r="H37" i="7"/>
  <c r="H38" i="7"/>
  <c r="H62" i="7"/>
  <c r="H63" i="7"/>
  <c r="H64" i="7"/>
  <c r="H41" i="7"/>
  <c r="H42" i="7"/>
  <c r="H43" i="7"/>
  <c r="H44" i="7"/>
  <c r="H45" i="7"/>
  <c r="H46" i="7"/>
  <c r="H47" i="7"/>
  <c r="H6" i="7"/>
  <c r="H7" i="7"/>
  <c r="H8" i="7"/>
  <c r="H9" i="7"/>
  <c r="H10" i="7"/>
  <c r="H11" i="7"/>
  <c r="H17" i="7"/>
  <c r="H18" i="7"/>
  <c r="H19" i="7"/>
  <c r="H20" i="7"/>
  <c r="H21" i="7"/>
  <c r="H22" i="7"/>
  <c r="H23" i="7"/>
  <c r="H24" i="7"/>
  <c r="H25" i="7"/>
  <c r="H26" i="7"/>
  <c r="H29" i="7"/>
  <c r="H30" i="7"/>
  <c r="H5" i="7"/>
  <c r="G68" i="7"/>
  <c r="G66" i="7"/>
  <c r="G42" i="7"/>
  <c r="G43" i="7"/>
  <c r="G44" i="7"/>
  <c r="G45" i="7"/>
  <c r="G46" i="7"/>
  <c r="G48" i="7"/>
  <c r="G52" i="7"/>
  <c r="G53" i="7"/>
  <c r="G54" i="7"/>
  <c r="G32" i="7"/>
  <c r="G35" i="7"/>
  <c r="G36" i="7"/>
  <c r="G39" i="7"/>
  <c r="F68" i="7"/>
  <c r="F66" i="7"/>
  <c r="F42" i="7"/>
  <c r="F43" i="7"/>
  <c r="F44" i="7"/>
  <c r="F45" i="7"/>
  <c r="F46" i="7"/>
  <c r="F48" i="7"/>
  <c r="F52" i="7"/>
  <c r="F53" i="7"/>
  <c r="F54" i="7"/>
  <c r="F56" i="7"/>
  <c r="F58" i="7"/>
  <c r="F22" i="7"/>
  <c r="F25" i="7"/>
  <c r="F26" i="7"/>
  <c r="F32" i="7"/>
  <c r="F35" i="7"/>
  <c r="F36" i="7"/>
  <c r="F63" i="7"/>
  <c r="F64" i="7"/>
  <c r="F7" i="7"/>
  <c r="F8" i="7"/>
  <c r="F9" i="7"/>
  <c r="F11" i="7"/>
  <c r="F18" i="7"/>
  <c r="F5" i="7"/>
  <c r="E46" i="20" l="1"/>
  <c r="E49" i="20" s="1"/>
  <c r="E51" i="20" s="1"/>
  <c r="I46" i="20"/>
  <c r="I49" i="20" s="1"/>
  <c r="H46" i="20"/>
  <c r="H49" i="20" s="1"/>
  <c r="G49" i="20"/>
  <c r="G51" i="20" s="1"/>
  <c r="E67" i="21"/>
  <c r="D5" i="15"/>
  <c r="Y32" i="15"/>
  <c r="G5" i="15"/>
  <c r="F28" i="7"/>
  <c r="H31" i="7"/>
  <c r="H16" i="7"/>
  <c r="H40" i="7"/>
  <c r="D32" i="15" l="1"/>
  <c r="D34" i="15" s="1"/>
  <c r="AM29" i="7"/>
  <c r="AM50" i="7" l="1"/>
  <c r="AP47" i="11"/>
  <c r="I47" i="11" s="1"/>
  <c r="K58" i="11"/>
  <c r="K59" i="11"/>
  <c r="K60" i="11"/>
  <c r="K61" i="11"/>
  <c r="K62" i="11"/>
  <c r="K63" i="11"/>
  <c r="K31" i="11"/>
  <c r="K32" i="11"/>
  <c r="K33" i="11"/>
  <c r="K34" i="11"/>
  <c r="K35" i="11"/>
  <c r="K36" i="11"/>
  <c r="K37" i="11"/>
  <c r="K38" i="11"/>
  <c r="K40" i="11"/>
  <c r="K41" i="11"/>
  <c r="K42" i="11"/>
  <c r="K43" i="11"/>
  <c r="K44" i="11"/>
  <c r="K45" i="11"/>
  <c r="K46" i="11"/>
  <c r="K47" i="11"/>
  <c r="K48" i="11"/>
  <c r="K49" i="11"/>
  <c r="K50" i="11"/>
  <c r="K51" i="11"/>
  <c r="K10" i="11"/>
  <c r="K16" i="11"/>
  <c r="K17" i="11"/>
  <c r="K18" i="11"/>
  <c r="K19" i="11"/>
  <c r="K20" i="11"/>
  <c r="K21" i="11"/>
  <c r="K22" i="11"/>
  <c r="K23" i="11"/>
  <c r="K24" i="11"/>
  <c r="K25" i="11"/>
  <c r="K27" i="11"/>
  <c r="K28" i="11"/>
  <c r="K29" i="11"/>
  <c r="J63" i="11"/>
  <c r="J62" i="11"/>
  <c r="J61" i="11"/>
  <c r="J45" i="11"/>
  <c r="J46" i="11"/>
  <c r="J48" i="11"/>
  <c r="J49" i="11"/>
  <c r="J50" i="11"/>
  <c r="J51" i="11"/>
  <c r="J56" i="11"/>
  <c r="J57" i="11"/>
  <c r="J58" i="11"/>
  <c r="J31" i="11"/>
  <c r="J35" i="11"/>
  <c r="J38" i="11"/>
  <c r="J41" i="11"/>
  <c r="J42" i="11"/>
  <c r="J43" i="11"/>
  <c r="J44" i="11"/>
  <c r="J10" i="11"/>
  <c r="J14" i="11"/>
  <c r="J25" i="11"/>
  <c r="K6" i="11"/>
  <c r="K7" i="11"/>
  <c r="K8" i="11"/>
  <c r="K9" i="11"/>
  <c r="K5" i="11"/>
  <c r="J5" i="11"/>
  <c r="I10" i="11"/>
  <c r="I25" i="11"/>
  <c r="I31" i="11"/>
  <c r="I35" i="11"/>
  <c r="I41" i="11"/>
  <c r="I42" i="11"/>
  <c r="I43" i="11"/>
  <c r="I44" i="11"/>
  <c r="I45" i="11"/>
  <c r="I46" i="11"/>
  <c r="I48" i="11"/>
  <c r="I49" i="11"/>
  <c r="I50" i="11"/>
  <c r="I51" i="11"/>
  <c r="I52" i="11"/>
  <c r="I58" i="11"/>
  <c r="I59" i="11"/>
  <c r="I61" i="11"/>
  <c r="I62" i="11"/>
  <c r="I63" i="11"/>
  <c r="K15" i="11"/>
  <c r="AQ11" i="11"/>
  <c r="AP11" i="11"/>
  <c r="AP15" i="11"/>
  <c r="AP26" i="11"/>
  <c r="AP30" i="11"/>
  <c r="AP27" i="11"/>
  <c r="AP32" i="11"/>
  <c r="J47" i="11" l="1"/>
  <c r="K11" i="11"/>
  <c r="K30" i="11"/>
  <c r="G50" i="7"/>
  <c r="F50" i="7"/>
  <c r="AH21" i="18"/>
  <c r="AL12" i="7"/>
  <c r="F12" i="7" s="1"/>
  <c r="AM61" i="7"/>
  <c r="H61" i="7"/>
  <c r="AM62" i="7"/>
  <c r="AM67" i="7"/>
  <c r="AQ55" i="11"/>
  <c r="K55" i="11" s="1"/>
  <c r="K14" i="11"/>
  <c r="AM20" i="11"/>
  <c r="AQ56" i="11"/>
  <c r="K56" i="11" s="1"/>
  <c r="AM34" i="14"/>
  <c r="AN34" i="14"/>
  <c r="AO34" i="14"/>
  <c r="AP34" i="14"/>
  <c r="AQ34" i="14"/>
  <c r="H27" i="7"/>
  <c r="K26" i="11"/>
  <c r="AN8" i="8"/>
  <c r="G39" i="18"/>
  <c r="G37" i="18"/>
  <c r="G10" i="18"/>
  <c r="G8" i="18"/>
  <c r="G5" i="18"/>
  <c r="G6" i="18"/>
  <c r="G4" i="18"/>
  <c r="E4" i="18"/>
  <c r="L58" i="11"/>
  <c r="K57" i="11"/>
  <c r="AP55" i="11"/>
  <c r="AN55" i="11"/>
  <c r="AM55" i="11"/>
  <c r="AL55" i="11"/>
  <c r="AF55" i="11"/>
  <c r="AC55" i="11"/>
  <c r="R55" i="11"/>
  <c r="M55" i="11"/>
  <c r="Q55" i="11" s="1"/>
  <c r="K39" i="11" l="1"/>
  <c r="K13" i="11"/>
  <c r="G67" i="7"/>
  <c r="F67" i="7"/>
  <c r="G12" i="7"/>
  <c r="I13" i="11"/>
  <c r="J13" i="11"/>
  <c r="J55" i="11"/>
  <c r="I55" i="11"/>
  <c r="L55" i="11" s="1"/>
  <c r="I57" i="11"/>
  <c r="L57" i="11" s="1"/>
  <c r="I38" i="11"/>
  <c r="I56" i="11"/>
  <c r="L56" i="11" s="1"/>
  <c r="I14" i="11"/>
  <c r="K64" i="11" l="1"/>
  <c r="I5" i="11"/>
  <c r="AM27" i="7"/>
  <c r="AK62" i="7"/>
  <c r="AM38" i="7"/>
  <c r="AM14" i="7"/>
  <c r="AM16" i="7"/>
  <c r="AM31" i="7"/>
  <c r="AM30" i="7"/>
  <c r="AM34" i="7"/>
  <c r="AG7" i="8"/>
  <c r="G7" i="8" s="1"/>
  <c r="AP24" i="11"/>
  <c r="AN13" i="7"/>
  <c r="H13" i="7" s="1"/>
  <c r="AP17" i="11"/>
  <c r="AL40" i="7"/>
  <c r="AK40" i="7"/>
  <c r="AP39" i="11"/>
  <c r="AO39" i="11"/>
  <c r="S7" i="18"/>
  <c r="AG7" i="10"/>
  <c r="U30" i="14"/>
  <c r="AG28" i="9"/>
  <c r="G28" i="9" s="1"/>
  <c r="AL62" i="7"/>
  <c r="AL37" i="7"/>
  <c r="AP37" i="11"/>
  <c r="AM37" i="11"/>
  <c r="AP6" i="11"/>
  <c r="AP19" i="11"/>
  <c r="AL6" i="7"/>
  <c r="AM6" i="11"/>
  <c r="F30" i="14"/>
  <c r="AF9" i="18"/>
  <c r="E31" i="9"/>
  <c r="E30" i="9"/>
  <c r="E39" i="18"/>
  <c r="E37" i="18"/>
  <c r="E5" i="18"/>
  <c r="E6" i="18"/>
  <c r="E8" i="18"/>
  <c r="E10" i="18"/>
  <c r="E12" i="18"/>
  <c r="E13" i="18"/>
  <c r="E14" i="18"/>
  <c r="E16" i="18"/>
  <c r="E17" i="18"/>
  <c r="E18" i="18"/>
  <c r="E19" i="18"/>
  <c r="E22" i="18"/>
  <c r="E23" i="18"/>
  <c r="E24" i="18"/>
  <c r="E25" i="18"/>
  <c r="E26" i="18"/>
  <c r="E28" i="18"/>
  <c r="E6" i="9"/>
  <c r="E10" i="9"/>
  <c r="E12" i="9"/>
  <c r="E13" i="9"/>
  <c r="E14" i="9"/>
  <c r="E15" i="9"/>
  <c r="E16" i="9"/>
  <c r="E17" i="9"/>
  <c r="E18" i="9"/>
  <c r="E21" i="9"/>
  <c r="E22" i="9"/>
  <c r="E23" i="9"/>
  <c r="E24" i="9"/>
  <c r="E25" i="9"/>
  <c r="E26" i="9"/>
  <c r="E27" i="9"/>
  <c r="E32" i="9"/>
  <c r="E33" i="9"/>
  <c r="E4" i="9"/>
  <c r="G33" i="9"/>
  <c r="G31" i="9"/>
  <c r="G32" i="9"/>
  <c r="G6" i="9"/>
  <c r="G10" i="9"/>
  <c r="G12" i="9"/>
  <c r="G13" i="9"/>
  <c r="G14" i="9"/>
  <c r="G15" i="9"/>
  <c r="G16" i="9"/>
  <c r="G17" i="9"/>
  <c r="G18" i="9"/>
  <c r="G21" i="9"/>
  <c r="G22" i="9"/>
  <c r="G23" i="9"/>
  <c r="G24" i="9"/>
  <c r="G25" i="9"/>
  <c r="G26" i="9"/>
  <c r="G27" i="9"/>
  <c r="G4" i="9"/>
  <c r="AF27" i="8"/>
  <c r="G29" i="8"/>
  <c r="G30" i="8"/>
  <c r="G31" i="8"/>
  <c r="G5" i="8"/>
  <c r="G6" i="8"/>
  <c r="G9" i="8"/>
  <c r="G10" i="8"/>
  <c r="G11" i="8"/>
  <c r="G12" i="8"/>
  <c r="G13" i="8"/>
  <c r="G14" i="8"/>
  <c r="G15" i="8"/>
  <c r="G16" i="8"/>
  <c r="G17" i="8"/>
  <c r="G18" i="8"/>
  <c r="G21" i="8"/>
  <c r="G22" i="8"/>
  <c r="G23" i="8"/>
  <c r="G24" i="8"/>
  <c r="G25" i="8"/>
  <c r="G26" i="8"/>
  <c r="G4" i="8"/>
  <c r="AH28" i="8"/>
  <c r="AH32" i="8" s="1"/>
  <c r="AI28" i="8"/>
  <c r="AI32" i="8" s="1"/>
  <c r="AJ28" i="8"/>
  <c r="AJ32" i="8" s="1"/>
  <c r="AK28" i="8"/>
  <c r="AK32" i="8" s="1"/>
  <c r="AM28" i="8"/>
  <c r="AM32" i="8" s="1"/>
  <c r="AN28" i="8"/>
  <c r="AN32" i="8" s="1"/>
  <c r="AO28" i="8"/>
  <c r="AO32" i="8" s="1"/>
  <c r="AP28" i="8"/>
  <c r="AP32" i="8" s="1"/>
  <c r="AQ28" i="8"/>
  <c r="AQ32" i="8" s="1"/>
  <c r="AR28" i="8"/>
  <c r="AR32" i="8" s="1"/>
  <c r="AL61" i="7"/>
  <c r="AL23" i="7"/>
  <c r="AL14" i="7"/>
  <c r="AP22" i="11"/>
  <c r="AL10" i="7"/>
  <c r="AP28" i="11"/>
  <c r="AL51" i="7"/>
  <c r="AL47" i="7"/>
  <c r="AL16" i="7"/>
  <c r="AL30" i="7"/>
  <c r="AL31" i="7"/>
  <c r="AP36" i="11"/>
  <c r="AP29" i="11"/>
  <c r="T6" i="14"/>
  <c r="AF11" i="10"/>
  <c r="AF20" i="18"/>
  <c r="G20" i="18" s="1"/>
  <c r="AO37" i="11"/>
  <c r="AK21" i="7"/>
  <c r="AK31" i="7"/>
  <c r="AK16" i="7"/>
  <c r="AK29" i="7"/>
  <c r="AO21" i="11"/>
  <c r="AO15" i="11"/>
  <c r="AO30" i="11"/>
  <c r="AO29" i="11"/>
  <c r="AO22" i="11"/>
  <c r="AO28" i="11"/>
  <c r="AJ62" i="7"/>
  <c r="AF5" i="9"/>
  <c r="AJ23" i="7"/>
  <c r="AJ61" i="7"/>
  <c r="AJ40" i="7"/>
  <c r="AI40" i="7"/>
  <c r="AM39" i="11"/>
  <c r="E28" i="9" l="1"/>
  <c r="AL27" i="8"/>
  <c r="E5" i="9"/>
  <c r="G5" i="9"/>
  <c r="AE30" i="14"/>
  <c r="G30" i="14" s="1"/>
  <c r="U34" i="14"/>
  <c r="E20" i="18"/>
  <c r="F47" i="7"/>
  <c r="G47" i="7"/>
  <c r="F13" i="7"/>
  <c r="G13" i="7"/>
  <c r="G38" i="7"/>
  <c r="F38" i="7"/>
  <c r="F34" i="7"/>
  <c r="G34" i="7"/>
  <c r="G51" i="7"/>
  <c r="F51" i="7"/>
  <c r="F10" i="7"/>
  <c r="G10" i="7"/>
  <c r="F39" i="7"/>
  <c r="H39" i="7"/>
  <c r="H69" i="7" s="1"/>
  <c r="I17" i="11"/>
  <c r="J17" i="11"/>
  <c r="I9" i="11"/>
  <c r="J9" i="11"/>
  <c r="J24" i="11"/>
  <c r="I24" i="11"/>
  <c r="L5" i="11"/>
  <c r="AG28" i="8"/>
  <c r="AG32" i="8" s="1"/>
  <c r="E28" i="8"/>
  <c r="AD23" i="10"/>
  <c r="AD9" i="9"/>
  <c r="AL28" i="8" l="1"/>
  <c r="AL32" i="8" s="1"/>
  <c r="G27" i="8"/>
  <c r="AJ14" i="7"/>
  <c r="AJ16" i="7"/>
  <c r="AJ31" i="7"/>
  <c r="AM27" i="11"/>
  <c r="AM30" i="11"/>
  <c r="AN37" i="11"/>
  <c r="AN22" i="11"/>
  <c r="AN11" i="11"/>
  <c r="AN15" i="11"/>
  <c r="AN33" i="11"/>
  <c r="AN30" i="11"/>
  <c r="AM36" i="11"/>
  <c r="F14" i="14"/>
  <c r="AC7" i="9"/>
  <c r="AI23" i="7"/>
  <c r="J27" i="11" l="1"/>
  <c r="I27" i="11"/>
  <c r="I37" i="11"/>
  <c r="J37" i="11"/>
  <c r="E7" i="14"/>
  <c r="AK11" i="10"/>
  <c r="F23" i="14" l="1"/>
  <c r="G7" i="14"/>
  <c r="E35" i="14" l="1"/>
  <c r="J34" i="14"/>
  <c r="K34" i="14"/>
  <c r="L34" i="14"/>
  <c r="M34" i="14"/>
  <c r="N34" i="14"/>
  <c r="O34" i="14"/>
  <c r="P34" i="14"/>
  <c r="Q34" i="14"/>
  <c r="R34" i="14"/>
  <c r="S34" i="14"/>
  <c r="T34" i="14"/>
  <c r="V34" i="14"/>
  <c r="W34" i="14"/>
  <c r="X34" i="14"/>
  <c r="Y34" i="14"/>
  <c r="Z34" i="14"/>
  <c r="AA34" i="14"/>
  <c r="AB34" i="14"/>
  <c r="AC34" i="14"/>
  <c r="AD34" i="14"/>
  <c r="AE34" i="14"/>
  <c r="AF34" i="14"/>
  <c r="AG34" i="14"/>
  <c r="AH34" i="14"/>
  <c r="AI34" i="14"/>
  <c r="AJ34" i="14"/>
  <c r="AK34" i="14"/>
  <c r="AL34" i="14"/>
  <c r="AR34" i="14"/>
  <c r="E34" i="14" l="1"/>
  <c r="AI62" i="7"/>
  <c r="G62" i="7" s="1"/>
  <c r="AI31" i="7"/>
  <c r="AI30" i="7"/>
  <c r="AI14" i="7"/>
  <c r="AI16" i="7"/>
  <c r="AI20" i="7"/>
  <c r="AM33" i="11"/>
  <c r="AM11" i="11"/>
  <c r="AM15" i="11"/>
  <c r="AM21" i="11"/>
  <c r="AM22" i="11"/>
  <c r="AH27" i="7"/>
  <c r="AL26" i="11"/>
  <c r="AC10" i="10"/>
  <c r="AC24" i="10"/>
  <c r="F62" i="7" l="1"/>
  <c r="J33" i="11"/>
  <c r="I33" i="11"/>
  <c r="J21" i="11"/>
  <c r="I21" i="11"/>
  <c r="AH40" i="7"/>
  <c r="L9" i="11"/>
  <c r="AE28" i="8"/>
  <c r="AF28" i="8"/>
  <c r="AF32" i="8" s="1"/>
  <c r="K28" i="8"/>
  <c r="L28" i="8"/>
  <c r="N28" i="8"/>
  <c r="P28" i="8"/>
  <c r="Q28" i="8"/>
  <c r="S28" i="8"/>
  <c r="T28" i="8"/>
  <c r="U28" i="8"/>
  <c r="V28" i="8"/>
  <c r="X28" i="8"/>
  <c r="Y28" i="8"/>
  <c r="AA28" i="8"/>
  <c r="AC28" i="8"/>
  <c r="AD28" i="8"/>
  <c r="I13" i="14"/>
  <c r="G13" i="14" s="1"/>
  <c r="AE20" i="9"/>
  <c r="AH20" i="7"/>
  <c r="AL15" i="11"/>
  <c r="AH16" i="7"/>
  <c r="AB8" i="8"/>
  <c r="AB28" i="8" s="1"/>
  <c r="AB9" i="9"/>
  <c r="AG36" i="18"/>
  <c r="AH36" i="18"/>
  <c r="AH40" i="18" s="1"/>
  <c r="AI36" i="18"/>
  <c r="AI40" i="18" s="1"/>
  <c r="AJ36" i="18"/>
  <c r="AJ40" i="18" s="1"/>
  <c r="AK36" i="18"/>
  <c r="AK40" i="18" s="1"/>
  <c r="AL36" i="18"/>
  <c r="AL40" i="18" s="1"/>
  <c r="AM36" i="18"/>
  <c r="AM40" i="18" s="1"/>
  <c r="AN40" i="18"/>
  <c r="AO36" i="18"/>
  <c r="AO40" i="18" s="1"/>
  <c r="AP36" i="18"/>
  <c r="AP40" i="18" s="1"/>
  <c r="AQ36" i="18"/>
  <c r="AQ40" i="18" s="1"/>
  <c r="AR36" i="18"/>
  <c r="AR40" i="18" s="1"/>
  <c r="AB7" i="10"/>
  <c r="G7" i="10" s="1"/>
  <c r="AH23" i="7"/>
  <c r="AH14" i="7"/>
  <c r="AH31" i="7"/>
  <c r="AG21" i="7"/>
  <c r="AL11" i="11"/>
  <c r="AL30" i="11"/>
  <c r="AL29" i="11"/>
  <c r="AB21" i="18"/>
  <c r="G21" i="18" s="1"/>
  <c r="D40" i="18"/>
  <c r="D42" i="18" s="1"/>
  <c r="AC30" i="9"/>
  <c r="AG40" i="7"/>
  <c r="AG29" i="7"/>
  <c r="AL8" i="11"/>
  <c r="AK28" i="11"/>
  <c r="R11" i="15"/>
  <c r="G11" i="15" s="1"/>
  <c r="AK15" i="11"/>
  <c r="AK22" i="11"/>
  <c r="AK30" i="11"/>
  <c r="AK19" i="11"/>
  <c r="AG23" i="7"/>
  <c r="AG16" i="7"/>
  <c r="AG31" i="7"/>
  <c r="AI39" i="11"/>
  <c r="AF49" i="7"/>
  <c r="AD7" i="9"/>
  <c r="AJ11" i="11"/>
  <c r="AJ20" i="11"/>
  <c r="AJ30" i="11"/>
  <c r="AJ15" i="11"/>
  <c r="AJ28" i="11"/>
  <c r="AF29" i="7"/>
  <c r="AF31" i="7"/>
  <c r="AF14" i="7"/>
  <c r="AF16" i="7"/>
  <c r="AE29" i="7"/>
  <c r="AA11" i="18"/>
  <c r="G11" i="18" s="1"/>
  <c r="AA15" i="18"/>
  <c r="G15" i="18" s="1"/>
  <c r="AE27" i="7"/>
  <c r="AI26" i="11"/>
  <c r="AE31" i="7"/>
  <c r="AB25" i="10"/>
  <c r="E9" i="10"/>
  <c r="AB11" i="10"/>
  <c r="G16" i="10"/>
  <c r="G12" i="10"/>
  <c r="AG31" i="10"/>
  <c r="AG35" i="10" s="1"/>
  <c r="AH31" i="10"/>
  <c r="AH35" i="10" s="1"/>
  <c r="AI31" i="10"/>
  <c r="AI35" i="10" s="1"/>
  <c r="AJ31" i="10"/>
  <c r="AJ35" i="10" s="1"/>
  <c r="AK31" i="10"/>
  <c r="AK35" i="10" s="1"/>
  <c r="AL31" i="10"/>
  <c r="AL35" i="10" s="1"/>
  <c r="AM31" i="10"/>
  <c r="AM35" i="10" s="1"/>
  <c r="AN31" i="10"/>
  <c r="AN35" i="10" s="1"/>
  <c r="AO31" i="10"/>
  <c r="AO35" i="10" s="1"/>
  <c r="AP31" i="10"/>
  <c r="AP35" i="10" s="1"/>
  <c r="AQ31" i="10"/>
  <c r="AQ35" i="10" s="1"/>
  <c r="AR31" i="10"/>
  <c r="AR35" i="10" s="1"/>
  <c r="AF31" i="10"/>
  <c r="AF35" i="10" s="1"/>
  <c r="E32" i="10"/>
  <c r="E5" i="10"/>
  <c r="E7" i="10"/>
  <c r="E12" i="10"/>
  <c r="E13" i="10"/>
  <c r="E14" i="10"/>
  <c r="E15" i="10"/>
  <c r="E16" i="10"/>
  <c r="E19" i="10"/>
  <c r="E20" i="10"/>
  <c r="E22" i="10"/>
  <c r="E26" i="10"/>
  <c r="E27" i="10"/>
  <c r="E28" i="10"/>
  <c r="E29" i="10"/>
  <c r="E30" i="10"/>
  <c r="E4" i="10"/>
  <c r="G5" i="10"/>
  <c r="G6" i="10"/>
  <c r="G9" i="10"/>
  <c r="G13" i="10"/>
  <c r="G14" i="10"/>
  <c r="G15" i="10"/>
  <c r="G19" i="10"/>
  <c r="G20" i="10"/>
  <c r="G22" i="10"/>
  <c r="G26" i="10"/>
  <c r="G27" i="10"/>
  <c r="G28" i="10"/>
  <c r="G29" i="10"/>
  <c r="G30" i="10"/>
  <c r="G32" i="10"/>
  <c r="G33" i="10"/>
  <c r="G34" i="10"/>
  <c r="G4" i="10"/>
  <c r="I44" i="10"/>
  <c r="Z8" i="8"/>
  <c r="Z28" i="8" s="1"/>
  <c r="AI28" i="11"/>
  <c r="AH16" i="11"/>
  <c r="AD17" i="7"/>
  <c r="Y9" i="18"/>
  <c r="O9" i="18"/>
  <c r="O7" i="18"/>
  <c r="E15" i="18" l="1"/>
  <c r="G7" i="18"/>
  <c r="G40" i="18" s="1"/>
  <c r="E7" i="18"/>
  <c r="E11" i="18"/>
  <c r="R28" i="15"/>
  <c r="R32" i="15" s="1"/>
  <c r="G30" i="7"/>
  <c r="F30" i="7"/>
  <c r="I30" i="7" s="1"/>
  <c r="G20" i="7"/>
  <c r="F20" i="7"/>
  <c r="I20" i="7" s="1"/>
  <c r="G17" i="7"/>
  <c r="F17" i="7"/>
  <c r="I17" i="7" s="1"/>
  <c r="G23" i="7"/>
  <c r="F23" i="7"/>
  <c r="I23" i="7" s="1"/>
  <c r="G16" i="7"/>
  <c r="F16" i="7"/>
  <c r="I16" i="7" s="1"/>
  <c r="G21" i="7"/>
  <c r="F21" i="7"/>
  <c r="J22" i="11"/>
  <c r="I22" i="11"/>
  <c r="L22" i="11" s="1"/>
  <c r="J39" i="11"/>
  <c r="I39" i="11"/>
  <c r="L39" i="11" s="1"/>
  <c r="J29" i="11"/>
  <c r="I29" i="11"/>
  <c r="L29" i="11" s="1"/>
  <c r="J15" i="11"/>
  <c r="I15" i="11"/>
  <c r="L15" i="11" s="1"/>
  <c r="I8" i="11"/>
  <c r="L8" i="11" s="1"/>
  <c r="J8" i="11"/>
  <c r="J16" i="11"/>
  <c r="I16" i="11"/>
  <c r="L16" i="11" s="1"/>
  <c r="I19" i="11"/>
  <c r="L19" i="11" s="1"/>
  <c r="J19" i="11"/>
  <c r="AG40" i="18"/>
  <c r="E36" i="18"/>
  <c r="E34" i="10"/>
  <c r="E33" i="10"/>
  <c r="F40" i="18"/>
  <c r="F42" i="18" s="1"/>
  <c r="AF36" i="18"/>
  <c r="AF40" i="18" s="1"/>
  <c r="AE36" i="18"/>
  <c r="AE40" i="18" s="1"/>
  <c r="AD36" i="18"/>
  <c r="AD40" i="18" s="1"/>
  <c r="AC36" i="18"/>
  <c r="AC40" i="18" s="1"/>
  <c r="AB36" i="18"/>
  <c r="AB40" i="18" s="1"/>
  <c r="AA36" i="18"/>
  <c r="AA40" i="18" s="1"/>
  <c r="Z36" i="18"/>
  <c r="Z40" i="18" s="1"/>
  <c r="Y36" i="18"/>
  <c r="Y40" i="18" s="1"/>
  <c r="X36" i="18"/>
  <c r="X40" i="18" s="1"/>
  <c r="W36" i="18"/>
  <c r="W40" i="18" s="1"/>
  <c r="V36" i="18"/>
  <c r="V40" i="18" s="1"/>
  <c r="U36" i="18"/>
  <c r="U40" i="18" s="1"/>
  <c r="T36" i="18"/>
  <c r="T40" i="18" s="1"/>
  <c r="S40" i="18"/>
  <c r="R36" i="18"/>
  <c r="R40" i="18" s="1"/>
  <c r="Q36" i="18"/>
  <c r="Q40" i="18" s="1"/>
  <c r="P36" i="18"/>
  <c r="P40" i="18" s="1"/>
  <c r="O36" i="18"/>
  <c r="O40" i="18" s="1"/>
  <c r="N36" i="18"/>
  <c r="N40" i="18" s="1"/>
  <c r="M36" i="18"/>
  <c r="M40" i="18" s="1"/>
  <c r="L36" i="18"/>
  <c r="L40" i="18" s="1"/>
  <c r="K36" i="18"/>
  <c r="K40" i="18" s="1"/>
  <c r="J36" i="18"/>
  <c r="J40" i="18" s="1"/>
  <c r="I36" i="18"/>
  <c r="I40" i="18" s="1"/>
  <c r="AI30" i="11"/>
  <c r="AI11" i="11"/>
  <c r="M21" i="7"/>
  <c r="AD31" i="7"/>
  <c r="AE14" i="7"/>
  <c r="I8" i="7"/>
  <c r="AD24" i="7"/>
  <c r="AD33" i="7"/>
  <c r="AH23" i="11"/>
  <c r="AH32" i="11"/>
  <c r="AD37" i="7"/>
  <c r="AH7" i="11"/>
  <c r="J28" i="15"/>
  <c r="J32" i="15" s="1"/>
  <c r="K28" i="15"/>
  <c r="K32" i="15" s="1"/>
  <c r="L28" i="15"/>
  <c r="L32" i="15" s="1"/>
  <c r="M28" i="15"/>
  <c r="M32" i="15" s="1"/>
  <c r="N28" i="15"/>
  <c r="N32" i="15" s="1"/>
  <c r="O28" i="15"/>
  <c r="O32" i="15" s="1"/>
  <c r="P28" i="15"/>
  <c r="P32" i="15" s="1"/>
  <c r="Q28" i="15"/>
  <c r="Q32" i="15" s="1"/>
  <c r="AB28" i="15"/>
  <c r="AB32" i="15" s="1"/>
  <c r="AF28" i="15"/>
  <c r="AF32" i="15" s="1"/>
  <c r="L46" i="11"/>
  <c r="AD49" i="7"/>
  <c r="F79" i="7"/>
  <c r="D77" i="7"/>
  <c r="D71" i="7"/>
  <c r="D68" i="7"/>
  <c r="D67" i="7"/>
  <c r="D66" i="7"/>
  <c r="AX69" i="7"/>
  <c r="X65" i="7"/>
  <c r="X69" i="7" s="1"/>
  <c r="W65" i="7"/>
  <c r="W69" i="7" s="1"/>
  <c r="V65" i="7"/>
  <c r="V69" i="7" s="1"/>
  <c r="U65" i="7"/>
  <c r="U69" i="7" s="1"/>
  <c r="T65" i="7"/>
  <c r="T69" i="7" s="1"/>
  <c r="S65" i="7"/>
  <c r="S69" i="7" s="1"/>
  <c r="R65" i="7"/>
  <c r="R69" i="7" s="1"/>
  <c r="Q65" i="7"/>
  <c r="Q69" i="7" s="1"/>
  <c r="P65" i="7"/>
  <c r="I48" i="7"/>
  <c r="I47" i="7"/>
  <c r="N46" i="7"/>
  <c r="I46" i="7"/>
  <c r="J45" i="7"/>
  <c r="N45" i="7" s="1"/>
  <c r="I45" i="7"/>
  <c r="K44" i="7"/>
  <c r="I44" i="7"/>
  <c r="N43" i="7"/>
  <c r="I43" i="7"/>
  <c r="J42" i="7"/>
  <c r="N42" i="7" s="1"/>
  <c r="I42" i="7"/>
  <c r="O41" i="7"/>
  <c r="N41" i="7"/>
  <c r="AD40" i="7"/>
  <c r="J40" i="7"/>
  <c r="N40" i="7" s="1"/>
  <c r="I64" i="7"/>
  <c r="I63" i="7"/>
  <c r="I62" i="7"/>
  <c r="AB61" i="7"/>
  <c r="Y61" i="7"/>
  <c r="O61" i="7"/>
  <c r="J61" i="7"/>
  <c r="N61" i="7" s="1"/>
  <c r="AS69" i="7"/>
  <c r="AK69" i="7"/>
  <c r="N38" i="7"/>
  <c r="O37" i="7"/>
  <c r="N37" i="7"/>
  <c r="I36" i="7"/>
  <c r="I35" i="7"/>
  <c r="I34" i="7"/>
  <c r="J33" i="7"/>
  <c r="N33" i="7" s="1"/>
  <c r="I32" i="7"/>
  <c r="N31" i="7"/>
  <c r="N30" i="7"/>
  <c r="AD29" i="7"/>
  <c r="AC29" i="7"/>
  <c r="AB29" i="7"/>
  <c r="Z29" i="7"/>
  <c r="O29" i="7"/>
  <c r="N29" i="7"/>
  <c r="J28" i="7"/>
  <c r="AA27" i="7"/>
  <c r="L27" i="7"/>
  <c r="N27" i="7" s="1"/>
  <c r="N26" i="7"/>
  <c r="I26" i="7"/>
  <c r="N25" i="7"/>
  <c r="I25" i="7"/>
  <c r="J24" i="7"/>
  <c r="N24" i="7" s="1"/>
  <c r="K21" i="7"/>
  <c r="N20" i="7"/>
  <c r="O19" i="7"/>
  <c r="M19" i="7"/>
  <c r="L19" i="7"/>
  <c r="J19" i="7"/>
  <c r="N19" i="7" s="1"/>
  <c r="N17" i="7"/>
  <c r="N16" i="7"/>
  <c r="AD14" i="7"/>
  <c r="AC14" i="7"/>
  <c r="I13" i="7"/>
  <c r="I12" i="7"/>
  <c r="I10" i="7"/>
  <c r="E8" i="7"/>
  <c r="I7" i="7"/>
  <c r="O6" i="7"/>
  <c r="N6" i="7"/>
  <c r="I5" i="7"/>
  <c r="F89" i="11"/>
  <c r="I83" i="11"/>
  <c r="I77" i="11"/>
  <c r="L63" i="11"/>
  <c r="L62" i="11"/>
  <c r="L61" i="11"/>
  <c r="L60" i="11"/>
  <c r="BB64" i="11"/>
  <c r="AE64" i="11"/>
  <c r="AB59" i="11"/>
  <c r="AB64" i="11" s="1"/>
  <c r="AA59" i="11"/>
  <c r="AA64" i="11" s="1"/>
  <c r="Z59" i="11"/>
  <c r="Z64" i="11" s="1"/>
  <c r="Y59" i="11"/>
  <c r="Y64" i="11" s="1"/>
  <c r="X59" i="11"/>
  <c r="X64" i="11" s="1"/>
  <c r="U59" i="11"/>
  <c r="U64" i="11" s="1"/>
  <c r="T59" i="11"/>
  <c r="T64" i="11" s="1"/>
  <c r="S59" i="11"/>
  <c r="S64" i="11" s="1"/>
  <c r="G64" i="11"/>
  <c r="L45" i="11"/>
  <c r="M44" i="11"/>
  <c r="Q44" i="11" s="1"/>
  <c r="L44" i="11"/>
  <c r="M43" i="11"/>
  <c r="Q43" i="11" s="1"/>
  <c r="L43" i="11"/>
  <c r="N42" i="11"/>
  <c r="M42" i="11"/>
  <c r="L42" i="11"/>
  <c r="M41" i="11"/>
  <c r="Q41" i="11" s="1"/>
  <c r="L41" i="11"/>
  <c r="R40" i="11"/>
  <c r="Q40" i="11"/>
  <c r="M39" i="11"/>
  <c r="Q39" i="11" s="1"/>
  <c r="AV64" i="11"/>
  <c r="AG36" i="11"/>
  <c r="R36" i="11"/>
  <c r="M36" i="11"/>
  <c r="Q36" i="11" s="1"/>
  <c r="L35" i="11"/>
  <c r="L33" i="11"/>
  <c r="R32" i="11"/>
  <c r="M32" i="11"/>
  <c r="Q32" i="11" s="1"/>
  <c r="Q31" i="11"/>
  <c r="AH30" i="11"/>
  <c r="Q30" i="11"/>
  <c r="Q29" i="11"/>
  <c r="AH28" i="11"/>
  <c r="AF28" i="11"/>
  <c r="AD28" i="11"/>
  <c r="R28" i="11"/>
  <c r="Q28" i="11"/>
  <c r="M27" i="11"/>
  <c r="AF26" i="11"/>
  <c r="O26" i="11"/>
  <c r="Q26" i="11" s="1"/>
  <c r="N26" i="11"/>
  <c r="Q25" i="11"/>
  <c r="Q24" i="11"/>
  <c r="L24" i="11"/>
  <c r="M23" i="11"/>
  <c r="R20" i="11"/>
  <c r="Q20" i="11"/>
  <c r="Q19" i="11"/>
  <c r="R18" i="11"/>
  <c r="P18" i="11"/>
  <c r="O18" i="11"/>
  <c r="M18" i="11"/>
  <c r="Q18" i="11" s="1"/>
  <c r="Q16" i="11"/>
  <c r="Q15" i="11"/>
  <c r="L14" i="11"/>
  <c r="L13" i="11"/>
  <c r="AH11" i="11"/>
  <c r="AG11" i="11"/>
  <c r="L10" i="11"/>
  <c r="H8" i="11"/>
  <c r="H64" i="11" s="1"/>
  <c r="H66" i="11" s="1"/>
  <c r="R6" i="11"/>
  <c r="Q6" i="11"/>
  <c r="Y20" i="9"/>
  <c r="E72" i="10"/>
  <c r="E75" i="10" s="1"/>
  <c r="O21" i="13"/>
  <c r="E69" i="7" l="1"/>
  <c r="E71" i="7" s="1"/>
  <c r="E84" i="7"/>
  <c r="P69" i="7"/>
  <c r="F65" i="7"/>
  <c r="E20" i="9"/>
  <c r="G20" i="9"/>
  <c r="E28" i="15"/>
  <c r="G29" i="7"/>
  <c r="F29" i="7"/>
  <c r="I29" i="7" s="1"/>
  <c r="F59" i="7"/>
  <c r="I59" i="7" s="1"/>
  <c r="G14" i="7"/>
  <c r="F14" i="7"/>
  <c r="I14" i="7" s="1"/>
  <c r="G19" i="7"/>
  <c r="F19" i="7"/>
  <c r="I19" i="7" s="1"/>
  <c r="G40" i="7"/>
  <c r="F40" i="7"/>
  <c r="F49" i="7"/>
  <c r="G49" i="7"/>
  <c r="F33" i="7"/>
  <c r="I33" i="7" s="1"/>
  <c r="G33" i="7"/>
  <c r="F61" i="7"/>
  <c r="I61" i="7" s="1"/>
  <c r="G61" i="7"/>
  <c r="F41" i="7"/>
  <c r="I41" i="7" s="1"/>
  <c r="G41" i="7"/>
  <c r="G27" i="7"/>
  <c r="F27" i="7"/>
  <c r="I27" i="7" s="1"/>
  <c r="G6" i="7"/>
  <c r="F6" i="7"/>
  <c r="I6" i="7" s="1"/>
  <c r="G24" i="7"/>
  <c r="F24" i="7"/>
  <c r="I24" i="7" s="1"/>
  <c r="G37" i="7"/>
  <c r="F37" i="7"/>
  <c r="I37" i="7" s="1"/>
  <c r="F31" i="7"/>
  <c r="I31" i="7" s="1"/>
  <c r="G31" i="7"/>
  <c r="J23" i="11"/>
  <c r="I23" i="11"/>
  <c r="Q23" i="11" s="1"/>
  <c r="J34" i="11"/>
  <c r="I34" i="11"/>
  <c r="L34" i="11" s="1"/>
  <c r="I20" i="11"/>
  <c r="L20" i="11" s="1"/>
  <c r="J20" i="11"/>
  <c r="J26" i="11"/>
  <c r="I26" i="11"/>
  <c r="L26" i="11" s="1"/>
  <c r="I11" i="11"/>
  <c r="J11" i="11"/>
  <c r="J40" i="11"/>
  <c r="I40" i="11"/>
  <c r="L40" i="11" s="1"/>
  <c r="I30" i="11"/>
  <c r="L30" i="11" s="1"/>
  <c r="J30" i="11"/>
  <c r="J6" i="11"/>
  <c r="I6" i="11"/>
  <c r="J36" i="11"/>
  <c r="I36" i="11"/>
  <c r="L36" i="11" s="1"/>
  <c r="J7" i="11"/>
  <c r="I7" i="11"/>
  <c r="L7" i="11" s="1"/>
  <c r="J28" i="11"/>
  <c r="I28" i="11"/>
  <c r="L28" i="11" s="1"/>
  <c r="I18" i="11"/>
  <c r="L18" i="11" s="1"/>
  <c r="J18" i="11"/>
  <c r="I32" i="11"/>
  <c r="L32" i="11" s="1"/>
  <c r="J32" i="11"/>
  <c r="K49" i="7"/>
  <c r="N49" i="7"/>
  <c r="I28" i="7"/>
  <c r="I67" i="7"/>
  <c r="AN64" i="11"/>
  <c r="AM69" i="7"/>
  <c r="AU69" i="7"/>
  <c r="I66" i="7"/>
  <c r="AF69" i="7"/>
  <c r="AC69" i="7"/>
  <c r="L38" i="11"/>
  <c r="L37" i="11"/>
  <c r="AF64" i="11"/>
  <c r="E40" i="18"/>
  <c r="AJ64" i="11"/>
  <c r="AE69" i="7"/>
  <c r="L21" i="7"/>
  <c r="AD69" i="7"/>
  <c r="AL69" i="7"/>
  <c r="AT69" i="7"/>
  <c r="AB69" i="7"/>
  <c r="AJ69" i="7"/>
  <c r="AR69" i="7"/>
  <c r="N21" i="7"/>
  <c r="I39" i="7"/>
  <c r="AN69" i="7"/>
  <c r="AV69" i="7"/>
  <c r="Y69" i="7"/>
  <c r="AG69" i="7"/>
  <c r="AO69" i="7"/>
  <c r="AW69" i="7"/>
  <c r="Z69" i="7"/>
  <c r="AH69" i="7"/>
  <c r="AP69" i="7"/>
  <c r="D76" i="7"/>
  <c r="D81" i="7" s="1"/>
  <c r="I21" i="7"/>
  <c r="I38" i="7"/>
  <c r="AA69" i="7"/>
  <c r="AI69" i="7"/>
  <c r="AQ69" i="7"/>
  <c r="J21" i="7"/>
  <c r="G66" i="11"/>
  <c r="V64" i="11"/>
  <c r="AM64" i="11"/>
  <c r="AU64" i="11"/>
  <c r="L25" i="11"/>
  <c r="AG64" i="11"/>
  <c r="AO64" i="11"/>
  <c r="AW64" i="11"/>
  <c r="AH64" i="11"/>
  <c r="AP64" i="11"/>
  <c r="AX64" i="11"/>
  <c r="AI64" i="11"/>
  <c r="AQ64" i="11"/>
  <c r="AY64" i="11"/>
  <c r="AR64" i="11"/>
  <c r="AZ64" i="11"/>
  <c r="L31" i="11"/>
  <c r="AC64" i="11"/>
  <c r="AK64" i="11"/>
  <c r="AS64" i="11"/>
  <c r="BA64" i="11"/>
  <c r="AD64" i="11"/>
  <c r="AL64" i="11"/>
  <c r="AT64" i="11"/>
  <c r="W19" i="8"/>
  <c r="W28" i="8" s="1"/>
  <c r="G31" i="13"/>
  <c r="E31" i="13"/>
  <c r="G35" i="14"/>
  <c r="G29" i="15"/>
  <c r="G30" i="15"/>
  <c r="E29" i="15"/>
  <c r="E36" i="14"/>
  <c r="G36" i="14"/>
  <c r="J64" i="11" l="1"/>
  <c r="I40" i="7"/>
  <c r="F69" i="7"/>
  <c r="H75" i="7" s="1"/>
  <c r="H79" i="7" s="1"/>
  <c r="Q11" i="11"/>
  <c r="I64" i="11"/>
  <c r="I66" i="11" s="1"/>
  <c r="L23" i="11"/>
  <c r="G69" i="7"/>
  <c r="L6" i="11"/>
  <c r="N65" i="7"/>
  <c r="N69" i="7" s="1"/>
  <c r="G42" i="18"/>
  <c r="E42" i="18"/>
  <c r="L59" i="11"/>
  <c r="L11" i="11"/>
  <c r="Q37" i="11"/>
  <c r="Q59" i="11" s="1"/>
  <c r="AG67" i="11"/>
  <c r="I65" i="7"/>
  <c r="O69" i="7"/>
  <c r="AC72" i="7" s="1"/>
  <c r="R64" i="11"/>
  <c r="R66" i="11" s="1"/>
  <c r="AC31" i="10"/>
  <c r="AC35" i="10" s="1"/>
  <c r="V25" i="10"/>
  <c r="V24" i="10"/>
  <c r="V10" i="10"/>
  <c r="F34" i="9"/>
  <c r="F36" i="9" s="1"/>
  <c r="AA30" i="9"/>
  <c r="AA34" i="9" s="1"/>
  <c r="AB30" i="9"/>
  <c r="AC34" i="9"/>
  <c r="AD30" i="9"/>
  <c r="AD34" i="9" s="1"/>
  <c r="AE30" i="9"/>
  <c r="AE34" i="9" s="1"/>
  <c r="AF30" i="9"/>
  <c r="AF34" i="9" s="1"/>
  <c r="Z30" i="9"/>
  <c r="Z34" i="9" s="1"/>
  <c r="J7" i="9"/>
  <c r="R9" i="9"/>
  <c r="R19" i="9"/>
  <c r="M9" i="9"/>
  <c r="J9" i="9"/>
  <c r="J19" i="9"/>
  <c r="J11" i="9"/>
  <c r="I8" i="9"/>
  <c r="I19" i="9"/>
  <c r="F34" i="14"/>
  <c r="D34" i="8"/>
  <c r="D36" i="13"/>
  <c r="I30" i="13"/>
  <c r="G29" i="13"/>
  <c r="F30" i="13"/>
  <c r="F34" i="13" s="1"/>
  <c r="F36" i="13" s="1"/>
  <c r="E6" i="13"/>
  <c r="E7" i="13"/>
  <c r="E8" i="13"/>
  <c r="E9" i="13"/>
  <c r="E10" i="13"/>
  <c r="E11" i="13"/>
  <c r="E12" i="13"/>
  <c r="E13" i="13"/>
  <c r="E14" i="13"/>
  <c r="E15" i="13"/>
  <c r="E16" i="13"/>
  <c r="E17" i="13"/>
  <c r="E18" i="13"/>
  <c r="E19" i="13"/>
  <c r="E20" i="13"/>
  <c r="E21" i="13"/>
  <c r="E22" i="13"/>
  <c r="E23" i="13"/>
  <c r="E24" i="13"/>
  <c r="E25" i="13"/>
  <c r="E26" i="13"/>
  <c r="E27" i="13"/>
  <c r="E28" i="13"/>
  <c r="E29" i="13"/>
  <c r="E32" i="13"/>
  <c r="E33" i="13"/>
  <c r="E5" i="13"/>
  <c r="G6" i="13"/>
  <c r="G7" i="13"/>
  <c r="G8" i="13"/>
  <c r="G9" i="13"/>
  <c r="G10" i="13"/>
  <c r="G11" i="13"/>
  <c r="G12" i="13"/>
  <c r="G13" i="13"/>
  <c r="G14" i="13"/>
  <c r="G15" i="13"/>
  <c r="G16" i="13"/>
  <c r="G17" i="13"/>
  <c r="G18" i="13"/>
  <c r="G19" i="13"/>
  <c r="G20" i="13"/>
  <c r="G21" i="13"/>
  <c r="G22" i="13"/>
  <c r="G23" i="13"/>
  <c r="G24" i="13"/>
  <c r="G25" i="13"/>
  <c r="G26" i="13"/>
  <c r="G27" i="13"/>
  <c r="G28" i="13"/>
  <c r="G32" i="13"/>
  <c r="G33" i="13"/>
  <c r="G5" i="13"/>
  <c r="I34" i="13"/>
  <c r="AE30" i="13"/>
  <c r="AE34" i="13" s="1"/>
  <c r="AF30" i="13"/>
  <c r="AF34" i="13" s="1"/>
  <c r="AG30" i="13"/>
  <c r="AG34" i="13" s="1"/>
  <c r="AH30" i="13"/>
  <c r="AH34" i="13" s="1"/>
  <c r="AI30" i="13"/>
  <c r="AI34" i="13" s="1"/>
  <c r="AJ30" i="13"/>
  <c r="AJ34" i="13" s="1"/>
  <c r="AD30" i="13"/>
  <c r="AD34" i="13" s="1"/>
  <c r="J30" i="13"/>
  <c r="J34" i="13" s="1"/>
  <c r="K30" i="13"/>
  <c r="K34" i="13" s="1"/>
  <c r="L30" i="13"/>
  <c r="L34" i="13" s="1"/>
  <c r="M30" i="13"/>
  <c r="M34" i="13" s="1"/>
  <c r="N30" i="13"/>
  <c r="N34" i="13" s="1"/>
  <c r="O30" i="13"/>
  <c r="O34" i="13" s="1"/>
  <c r="P30" i="13"/>
  <c r="P34" i="13" s="1"/>
  <c r="Q30" i="13"/>
  <c r="Q34" i="13" s="1"/>
  <c r="R30" i="13"/>
  <c r="R34" i="13" s="1"/>
  <c r="S30" i="13"/>
  <c r="S34" i="13" s="1"/>
  <c r="T30" i="13"/>
  <c r="T34" i="13" s="1"/>
  <c r="U30" i="13"/>
  <c r="U34" i="13" s="1"/>
  <c r="V30" i="13"/>
  <c r="V34" i="13" s="1"/>
  <c r="W30" i="13"/>
  <c r="W34" i="13" s="1"/>
  <c r="X30" i="13"/>
  <c r="X34" i="13" s="1"/>
  <c r="Y30" i="13"/>
  <c r="Y34" i="13" s="1"/>
  <c r="Z30" i="13"/>
  <c r="Z34" i="13" s="1"/>
  <c r="AA30" i="13"/>
  <c r="AA34" i="13" s="1"/>
  <c r="AB30" i="13"/>
  <c r="AB34" i="13" s="1"/>
  <c r="AC30" i="13"/>
  <c r="AC34" i="13" s="1"/>
  <c r="E5" i="15"/>
  <c r="E8" i="15"/>
  <c r="E16" i="15"/>
  <c r="E19" i="15"/>
  <c r="E30" i="15"/>
  <c r="E31" i="15"/>
  <c r="G6" i="15"/>
  <c r="G7" i="15"/>
  <c r="G8" i="15"/>
  <c r="G10" i="15"/>
  <c r="G31" i="15"/>
  <c r="I4" i="15"/>
  <c r="F4" i="15" s="1"/>
  <c r="AF38" i="14"/>
  <c r="AG38" i="14"/>
  <c r="AH38" i="14"/>
  <c r="AI38" i="14"/>
  <c r="AJ38" i="14"/>
  <c r="AK38" i="14"/>
  <c r="AL38" i="14"/>
  <c r="AM38" i="14"/>
  <c r="AN38" i="14"/>
  <c r="AO38" i="14"/>
  <c r="AP38" i="14"/>
  <c r="AQ38" i="14"/>
  <c r="AR38" i="14"/>
  <c r="E6" i="14"/>
  <c r="E8" i="14"/>
  <c r="E10" i="14"/>
  <c r="E11" i="14"/>
  <c r="E12" i="14"/>
  <c r="E13" i="14"/>
  <c r="E14" i="14"/>
  <c r="E15" i="14"/>
  <c r="E16" i="14"/>
  <c r="E17" i="14"/>
  <c r="E19" i="14"/>
  <c r="E20" i="14"/>
  <c r="E21" i="14"/>
  <c r="E22" i="14"/>
  <c r="E25" i="14"/>
  <c r="E26" i="14"/>
  <c r="E27" i="14"/>
  <c r="E28" i="14"/>
  <c r="E29" i="14"/>
  <c r="E33" i="14"/>
  <c r="E37" i="14"/>
  <c r="E5" i="14"/>
  <c r="G6" i="14"/>
  <c r="G8" i="14"/>
  <c r="G10" i="14"/>
  <c r="G11" i="14"/>
  <c r="G12" i="14"/>
  <c r="G14" i="14"/>
  <c r="G15" i="14"/>
  <c r="G16" i="14"/>
  <c r="G17" i="14"/>
  <c r="G18" i="14"/>
  <c r="G19" i="14"/>
  <c r="G20" i="14"/>
  <c r="G21" i="14"/>
  <c r="G22" i="14"/>
  <c r="G25" i="14"/>
  <c r="G26" i="14"/>
  <c r="G27" i="14"/>
  <c r="G28" i="14"/>
  <c r="G29" i="14"/>
  <c r="G33" i="14"/>
  <c r="G37" i="14"/>
  <c r="G5" i="14"/>
  <c r="Y31" i="10"/>
  <c r="Y35" i="10" s="1"/>
  <c r="Z31" i="10"/>
  <c r="Z35" i="10" s="1"/>
  <c r="AA31" i="10"/>
  <c r="AA35" i="10" s="1"/>
  <c r="AB31" i="10"/>
  <c r="AD31" i="10"/>
  <c r="AD35" i="10" s="1"/>
  <c r="AE31" i="10"/>
  <c r="AE35" i="10" s="1"/>
  <c r="X31" i="10"/>
  <c r="I23" i="14"/>
  <c r="G23" i="14" s="1"/>
  <c r="R10" i="10"/>
  <c r="Q10" i="10"/>
  <c r="N24" i="10"/>
  <c r="N10" i="10"/>
  <c r="K10" i="10"/>
  <c r="K24" i="10"/>
  <c r="E10" i="10" l="1"/>
  <c r="Q64" i="11"/>
  <c r="E19" i="9"/>
  <c r="G19" i="9"/>
  <c r="E8" i="9"/>
  <c r="G8" i="9"/>
  <c r="E11" i="9"/>
  <c r="G11" i="9"/>
  <c r="E9" i="9"/>
  <c r="G9" i="9"/>
  <c r="E7" i="9"/>
  <c r="G7" i="9"/>
  <c r="E4" i="15"/>
  <c r="E32" i="15" s="1"/>
  <c r="I32" i="15"/>
  <c r="E23" i="14"/>
  <c r="I34" i="14"/>
  <c r="AB35" i="10"/>
  <c r="E31" i="10"/>
  <c r="AB34" i="9"/>
  <c r="J30" i="9"/>
  <c r="I30" i="9"/>
  <c r="E25" i="10"/>
  <c r="G25" i="10"/>
  <c r="E24" i="10"/>
  <c r="G24" i="10"/>
  <c r="G10" i="10"/>
  <c r="F74" i="7"/>
  <c r="G4" i="15"/>
  <c r="E30" i="13"/>
  <c r="E34" i="13" s="1"/>
  <c r="E36" i="13" s="1"/>
  <c r="G34" i="13"/>
  <c r="G36" i="13" s="1"/>
  <c r="E34" i="9" l="1"/>
  <c r="E36" i="9" s="1"/>
  <c r="G34" i="9"/>
  <c r="G32" i="15"/>
  <c r="G34" i="15" s="1"/>
  <c r="L64" i="11"/>
  <c r="F71" i="7"/>
  <c r="U23" i="10"/>
  <c r="N23" i="10"/>
  <c r="N11" i="10"/>
  <c r="M21" i="10"/>
  <c r="I8" i="10"/>
  <c r="F22" i="10"/>
  <c r="N17" i="10"/>
  <c r="F23" i="10"/>
  <c r="F27" i="10"/>
  <c r="F26" i="10"/>
  <c r="K11" i="10"/>
  <c r="F10" i="10"/>
  <c r="F24" i="10"/>
  <c r="F12" i="10"/>
  <c r="E25" i="8"/>
  <c r="E6" i="8"/>
  <c r="AA32" i="8"/>
  <c r="AB32" i="8"/>
  <c r="AD32" i="8"/>
  <c r="AE32" i="8"/>
  <c r="Z32" i="8"/>
  <c r="E14" i="8"/>
  <c r="E5" i="8"/>
  <c r="E7" i="8"/>
  <c r="E9" i="8"/>
  <c r="E10" i="8"/>
  <c r="E11" i="8"/>
  <c r="E12" i="8"/>
  <c r="E13" i="8"/>
  <c r="E15" i="8"/>
  <c r="E16" i="8"/>
  <c r="E17" i="8"/>
  <c r="E18" i="8"/>
  <c r="E21" i="8"/>
  <c r="E22" i="8"/>
  <c r="E23" i="8"/>
  <c r="E24" i="8"/>
  <c r="E4" i="8"/>
  <c r="E17" i="10" l="1"/>
  <c r="G17" i="10"/>
  <c r="E34" i="15"/>
  <c r="G36" i="9"/>
  <c r="AC32" i="8"/>
  <c r="E23" i="10"/>
  <c r="G23" i="10"/>
  <c r="E21" i="10"/>
  <c r="G21" i="10"/>
  <c r="G11" i="10"/>
  <c r="E11" i="10"/>
  <c r="E8" i="10"/>
  <c r="G8" i="10"/>
  <c r="F35" i="10"/>
  <c r="F37" i="10" s="1"/>
  <c r="I35" i="10"/>
  <c r="E35" i="10" l="1"/>
  <c r="R8" i="8"/>
  <c r="R28" i="8" s="1"/>
  <c r="O19" i="8"/>
  <c r="O28" i="8" s="1"/>
  <c r="M8" i="8"/>
  <c r="M19" i="8"/>
  <c r="G19" i="8" s="1"/>
  <c r="M20" i="8"/>
  <c r="G20" i="8" s="1"/>
  <c r="J8" i="8"/>
  <c r="J28" i="8" s="1"/>
  <c r="I8" i="8"/>
  <c r="F25" i="8"/>
  <c r="F10" i="8"/>
  <c r="F8" i="8"/>
  <c r="F24" i="8"/>
  <c r="G8" i="8" l="1"/>
  <c r="G32" i="8" s="1"/>
  <c r="I28" i="8"/>
  <c r="M28" i="8"/>
  <c r="E20" i="8"/>
  <c r="F32" i="8"/>
  <c r="F34" i="8" s="1"/>
  <c r="E19" i="8"/>
  <c r="E8" i="8"/>
  <c r="G34" i="8" l="1"/>
  <c r="G38" i="14"/>
  <c r="L38" i="14"/>
  <c r="M38" i="14"/>
  <c r="N38" i="14"/>
  <c r="O38" i="14"/>
  <c r="P38" i="14"/>
  <c r="Q38" i="14"/>
  <c r="S38" i="14"/>
  <c r="T38" i="14"/>
  <c r="U38" i="14"/>
  <c r="V38" i="14"/>
  <c r="W38" i="14"/>
  <c r="X38" i="14"/>
  <c r="Y38" i="14"/>
  <c r="Z38" i="14"/>
  <c r="AA38" i="14"/>
  <c r="AB38" i="14"/>
  <c r="AC38" i="14"/>
  <c r="AD38" i="14"/>
  <c r="AE38" i="14"/>
  <c r="I38" i="14"/>
  <c r="F38" i="14"/>
  <c r="H32" i="12"/>
  <c r="R38" i="14" l="1"/>
  <c r="E38" i="14"/>
  <c r="E40" i="14" s="1"/>
  <c r="K38" i="14"/>
  <c r="J38" i="14"/>
  <c r="F28" i="15" l="1"/>
  <c r="F32" i="15" s="1"/>
  <c r="F34" i="15" s="1"/>
  <c r="E13" i="12" l="1"/>
  <c r="E32" i="12" s="1"/>
  <c r="E36" i="12" s="1"/>
  <c r="E39" i="12" s="1"/>
  <c r="D15" i="12"/>
  <c r="G39" i="12"/>
  <c r="D35" i="12"/>
  <c r="D34" i="12"/>
  <c r="D33" i="12"/>
  <c r="V32" i="12"/>
  <c r="V36" i="12" s="1"/>
  <c r="U32" i="12"/>
  <c r="U36" i="12" s="1"/>
  <c r="T32" i="12"/>
  <c r="T36" i="12" s="1"/>
  <c r="S32" i="12"/>
  <c r="S36" i="12" s="1"/>
  <c r="R32" i="12"/>
  <c r="R36" i="12" s="1"/>
  <c r="Q32" i="12"/>
  <c r="Q36" i="12" s="1"/>
  <c r="P32" i="12"/>
  <c r="P36" i="12" s="1"/>
  <c r="O32" i="12"/>
  <c r="O36" i="12" s="1"/>
  <c r="N32" i="12"/>
  <c r="N36" i="12" s="1"/>
  <c r="M32" i="12"/>
  <c r="M36" i="12" s="1"/>
  <c r="L32" i="12"/>
  <c r="L36" i="12" s="1"/>
  <c r="K32" i="12"/>
  <c r="J32" i="12"/>
  <c r="J36" i="12" s="1"/>
  <c r="I32" i="12"/>
  <c r="I36" i="12" s="1"/>
  <c r="H36" i="12"/>
  <c r="G32" i="12"/>
  <c r="G36" i="12" s="1"/>
  <c r="F32" i="12"/>
  <c r="F36" i="12" s="1"/>
  <c r="D31" i="12"/>
  <c r="D30" i="12"/>
  <c r="D29" i="12"/>
  <c r="D28" i="12"/>
  <c r="D27" i="12"/>
  <c r="D26" i="12"/>
  <c r="D24" i="12"/>
  <c r="D23" i="12"/>
  <c r="D20" i="12"/>
  <c r="D18" i="12"/>
  <c r="D17" i="12"/>
  <c r="X35" i="10"/>
  <c r="W31" i="10"/>
  <c r="W35" i="10" s="1"/>
  <c r="V31" i="10"/>
  <c r="U31" i="10"/>
  <c r="U35" i="10" s="1"/>
  <c r="T31" i="10"/>
  <c r="T35" i="10" s="1"/>
  <c r="S31" i="10"/>
  <c r="S35" i="10" s="1"/>
  <c r="R31" i="10"/>
  <c r="R35" i="10" s="1"/>
  <c r="Q31" i="10"/>
  <c r="Q35" i="10" s="1"/>
  <c r="P31" i="10"/>
  <c r="P35" i="10" s="1"/>
  <c r="O31" i="10"/>
  <c r="O35" i="10" s="1"/>
  <c r="N31" i="10"/>
  <c r="N35" i="10" s="1"/>
  <c r="M31" i="10"/>
  <c r="M35" i="10" s="1"/>
  <c r="L31" i="10"/>
  <c r="L35" i="10" s="1"/>
  <c r="K31" i="10"/>
  <c r="K35" i="10" s="1"/>
  <c r="J31" i="10"/>
  <c r="V35" i="10" l="1"/>
  <c r="E37" i="10"/>
  <c r="J35" i="10"/>
  <c r="G35" i="10" s="1"/>
  <c r="D32" i="12"/>
  <c r="D36" i="12" s="1"/>
  <c r="D38" i="12" s="1"/>
  <c r="K36" i="12"/>
  <c r="G37" i="10" l="1"/>
  <c r="D31" i="6"/>
  <c r="D33" i="6" s="1"/>
  <c r="H5" i="9" l="1"/>
  <c r="Y30" i="9" l="1"/>
  <c r="Y34" i="9" s="1"/>
  <c r="X30" i="9"/>
  <c r="X34" i="9" s="1"/>
  <c r="W30" i="9"/>
  <c r="V30" i="9"/>
  <c r="V34" i="9" s="1"/>
  <c r="U30" i="9"/>
  <c r="U34" i="9" s="1"/>
  <c r="T30" i="9"/>
  <c r="T34" i="9" s="1"/>
  <c r="S30" i="9"/>
  <c r="S34" i="9" s="1"/>
  <c r="R30" i="9"/>
  <c r="R34" i="9" s="1"/>
  <c r="Q30" i="9"/>
  <c r="Q34" i="9" s="1"/>
  <c r="P30" i="9"/>
  <c r="P34" i="9" s="1"/>
  <c r="O30" i="9"/>
  <c r="O34" i="9" s="1"/>
  <c r="N30" i="9"/>
  <c r="N34" i="9" s="1"/>
  <c r="M30" i="9"/>
  <c r="M34" i="9" s="1"/>
  <c r="L30" i="9"/>
  <c r="L34" i="9" s="1"/>
  <c r="K30" i="9"/>
  <c r="K34" i="9" s="1"/>
  <c r="J34" i="9"/>
  <c r="I34" i="9"/>
  <c r="H4" i="9"/>
  <c r="E31" i="8"/>
  <c r="E30" i="8"/>
  <c r="E29" i="8"/>
  <c r="X32" i="8"/>
  <c r="V32" i="8"/>
  <c r="U32" i="8"/>
  <c r="T32" i="8"/>
  <c r="S32" i="8"/>
  <c r="R32" i="8"/>
  <c r="Q32" i="8"/>
  <c r="P32" i="8"/>
  <c r="O32" i="8"/>
  <c r="N32" i="8"/>
  <c r="M32" i="8"/>
  <c r="L32" i="8"/>
  <c r="K32" i="8"/>
  <c r="J32" i="8"/>
  <c r="W34" i="9" l="1"/>
  <c r="Y32" i="8"/>
  <c r="W32" i="8"/>
  <c r="E30" i="6"/>
  <c r="E29" i="6"/>
  <c r="E28" i="6"/>
  <c r="W27" i="6"/>
  <c r="W31" i="6" s="1"/>
  <c r="V27" i="6"/>
  <c r="V31" i="6" s="1"/>
  <c r="U27" i="6"/>
  <c r="U31" i="6" s="1"/>
  <c r="T27" i="6"/>
  <c r="T31" i="6" s="1"/>
  <c r="S27" i="6"/>
  <c r="S31" i="6" s="1"/>
  <c r="R27" i="6"/>
  <c r="R31" i="6" s="1"/>
  <c r="Q27" i="6"/>
  <c r="Q31" i="6" s="1"/>
  <c r="P27" i="6"/>
  <c r="P31" i="6" s="1"/>
  <c r="O27" i="6"/>
  <c r="O31" i="6" s="1"/>
  <c r="N27" i="6"/>
  <c r="N31" i="6" s="1"/>
  <c r="M27" i="6"/>
  <c r="M31" i="6" s="1"/>
  <c r="L27" i="6"/>
  <c r="L31" i="6" s="1"/>
  <c r="K27" i="6"/>
  <c r="J27" i="6"/>
  <c r="J31" i="6" s="1"/>
  <c r="I27" i="6"/>
  <c r="I31" i="6" s="1"/>
  <c r="H27" i="6"/>
  <c r="H31" i="6" s="1"/>
  <c r="G27" i="6"/>
  <c r="G31" i="6" s="1"/>
  <c r="F27" i="6"/>
  <c r="F31" i="6" s="1"/>
  <c r="E25" i="6"/>
  <c r="E24" i="6"/>
  <c r="E23" i="6"/>
  <c r="E22" i="6"/>
  <c r="E21" i="6"/>
  <c r="E20" i="6"/>
  <c r="E19" i="6"/>
  <c r="E18" i="6"/>
  <c r="E17" i="6"/>
  <c r="E15" i="6"/>
  <c r="E14" i="6"/>
  <c r="E13" i="6"/>
  <c r="E12" i="6"/>
  <c r="E11" i="6"/>
  <c r="E10" i="6"/>
  <c r="E9" i="6"/>
  <c r="E8" i="6"/>
  <c r="E7" i="6"/>
  <c r="E6" i="6"/>
  <c r="E27" i="6" l="1"/>
  <c r="E31" i="6" s="1"/>
  <c r="E33" i="6" s="1"/>
  <c r="K31" i="6"/>
  <c r="E26" i="8"/>
  <c r="I32" i="8"/>
  <c r="E32" i="8" l="1"/>
  <c r="E34" i="8" l="1"/>
  <c r="AU60" i="21"/>
  <c r="AU65" i="21" s="1"/>
  <c r="H36" i="21" l="1"/>
  <c r="G40" i="21" l="1"/>
  <c r="G41" i="21"/>
  <c r="AO60" i="21"/>
  <c r="AO65" i="21" s="1"/>
  <c r="H40" i="21" l="1"/>
  <c r="G65" i="21"/>
  <c r="G67" i="21" s="1"/>
  <c r="H41" i="21"/>
  <c r="E73" i="27"/>
  <c r="E75" i="27" s="1"/>
  <c r="BT6" i="28" l="1"/>
  <c r="L6" i="28" s="1"/>
  <c r="L21" i="28" s="1"/>
  <c r="L166" i="28" s="1"/>
  <c r="BT21" i="28"/>
  <c r="BT166" i="28" s="1"/>
  <c r="BT4" i="28" s="1"/>
  <c r="J21" i="28"/>
  <c r="J166" i="28" s="1"/>
  <c r="J170" i="28" s="1"/>
  <c r="BH21" i="28"/>
  <c r="BH166" i="28"/>
  <c r="J6" i="28"/>
  <c r="B2" i="28" l="1"/>
  <c r="L170" i="28"/>
  <c r="AP6" i="28"/>
  <c r="AP21" i="28" s="1"/>
  <c r="AP166" i="28" s="1"/>
  <c r="AP167" i="28" s="1"/>
  <c r="AQ167" i="28" s="1"/>
  <c r="AR167" i="28" s="1"/>
  <c r="AS167" i="28" s="1"/>
  <c r="AT167"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Eve Browning</author>
    <author>David Elvin</author>
    <author>tc={163B7C80-A6EE-476C-9867-383E4795FD83}</author>
  </authors>
  <commentList>
    <comment ref="J6" authorId="0" shapeId="0" xr:uid="{36D86A87-D314-4B1A-8807-C0EFEFB47282}">
      <text>
        <r>
          <rPr>
            <b/>
            <sz val="9"/>
            <color indexed="81"/>
            <rFont val="Tahoma"/>
            <family val="2"/>
          </rPr>
          <t>Eve Browning:</t>
        </r>
        <r>
          <rPr>
            <sz val="9"/>
            <color indexed="81"/>
            <rFont val="Tahoma"/>
            <family val="2"/>
          </rPr>
          <t xml:space="preserve">
Omnia quote for stages 1-3, half for each project</t>
        </r>
      </text>
    </comment>
    <comment ref="AA6" authorId="0" shapeId="0" xr:uid="{5F60EFB0-6266-4464-B77B-DBF76DCC0BF1}">
      <text>
        <r>
          <rPr>
            <b/>
            <sz val="9"/>
            <color indexed="81"/>
            <rFont val="Tahoma"/>
            <family val="2"/>
          </rPr>
          <t>Eve Browning:</t>
        </r>
        <r>
          <rPr>
            <sz val="9"/>
            <color indexed="81"/>
            <rFont val="Tahoma"/>
            <family val="2"/>
          </rPr>
          <t xml:space="preserve">
INV-6631</t>
        </r>
      </text>
    </comment>
    <comment ref="AB6" authorId="0" shapeId="0" xr:uid="{3FF5A2AD-BEA5-4920-B14B-7B5A1065C31B}">
      <text>
        <r>
          <rPr>
            <b/>
            <sz val="9"/>
            <color indexed="81"/>
            <rFont val="Tahoma"/>
            <family val="2"/>
          </rPr>
          <t>Eve Browning:</t>
        </r>
        <r>
          <rPr>
            <sz val="9"/>
            <color indexed="81"/>
            <rFont val="Tahoma"/>
            <family val="2"/>
          </rPr>
          <t xml:space="preserve">
INV-6789</t>
        </r>
      </text>
    </comment>
    <comment ref="AC6" authorId="0" shapeId="0" xr:uid="{52F89FE1-8BEF-4D36-9AFF-A3FBCFDBB477}">
      <text>
        <r>
          <rPr>
            <b/>
            <sz val="9"/>
            <color indexed="81"/>
            <rFont val="Tahoma"/>
            <family val="2"/>
          </rPr>
          <t>Eve Browning:</t>
        </r>
        <r>
          <rPr>
            <sz val="9"/>
            <color indexed="81"/>
            <rFont val="Tahoma"/>
            <family val="2"/>
          </rPr>
          <t xml:space="preserve">
Invoice INV-6937</t>
        </r>
      </text>
    </comment>
    <comment ref="AD6" authorId="0" shapeId="0" xr:uid="{C724B9EA-79AC-4BC3-BE7D-31D7B3539D23}">
      <text>
        <r>
          <rPr>
            <b/>
            <sz val="9"/>
            <color indexed="81"/>
            <rFont val="Tahoma"/>
            <family val="2"/>
          </rPr>
          <t>Eve Browning:</t>
        </r>
        <r>
          <rPr>
            <sz val="9"/>
            <color indexed="81"/>
            <rFont val="Tahoma"/>
            <family val="2"/>
          </rPr>
          <t xml:space="preserve">
Invoice INV-7102</t>
        </r>
      </text>
    </comment>
    <comment ref="AE6" authorId="0" shapeId="0" xr:uid="{676683F5-8BFF-4C1E-84B9-E16C6ABB15D1}">
      <text>
        <r>
          <rPr>
            <b/>
            <sz val="9"/>
            <color indexed="81"/>
            <rFont val="Tahoma"/>
            <family val="2"/>
          </rPr>
          <t>Eve Browning:</t>
        </r>
        <r>
          <rPr>
            <sz val="9"/>
            <color indexed="81"/>
            <rFont val="Tahoma"/>
            <family val="2"/>
          </rPr>
          <t xml:space="preserve">
Invoice INV-7290</t>
        </r>
      </text>
    </comment>
    <comment ref="AF6" authorId="0" shapeId="0" xr:uid="{01175D26-6148-4397-95BE-7A30C9DFAC9B}">
      <text>
        <r>
          <rPr>
            <b/>
            <sz val="9"/>
            <color indexed="81"/>
            <rFont val="Tahoma"/>
            <family val="2"/>
          </rPr>
          <t>Eve Browning:</t>
        </r>
        <r>
          <rPr>
            <sz val="9"/>
            <color indexed="81"/>
            <rFont val="Tahoma"/>
            <family val="2"/>
          </rPr>
          <t xml:space="preserve">
Invoice INV-7432</t>
        </r>
      </text>
    </comment>
    <comment ref="AG6" authorId="0" shapeId="0" xr:uid="{DF45D81F-1F0C-4E13-B102-6479C1B9174B}">
      <text>
        <r>
          <rPr>
            <b/>
            <sz val="9"/>
            <color indexed="81"/>
            <rFont val="Tahoma"/>
            <family val="2"/>
          </rPr>
          <t>Eve Browning:</t>
        </r>
        <r>
          <rPr>
            <sz val="9"/>
            <color indexed="81"/>
            <rFont val="Tahoma"/>
            <family val="2"/>
          </rPr>
          <t xml:space="preserve">
Invoice INV-7610</t>
        </r>
      </text>
    </comment>
    <comment ref="AH6" authorId="0" shapeId="0" xr:uid="{79E1A9BD-343C-445E-9103-C5DAA76B7782}">
      <text>
        <r>
          <rPr>
            <b/>
            <sz val="9"/>
            <color indexed="81"/>
            <rFont val="Tahoma"/>
            <family val="2"/>
          </rPr>
          <t>Eve Browning:</t>
        </r>
        <r>
          <rPr>
            <sz val="9"/>
            <color indexed="81"/>
            <rFont val="Tahoma"/>
            <family val="2"/>
          </rPr>
          <t xml:space="preserve">
Invoice INV-7843</t>
        </r>
      </text>
    </comment>
    <comment ref="AI6" authorId="0" shapeId="0" xr:uid="{CB357D1D-0589-43EB-AD4B-DE922AED2821}">
      <text>
        <r>
          <rPr>
            <b/>
            <sz val="9"/>
            <color indexed="81"/>
            <rFont val="Tahoma"/>
            <family val="2"/>
          </rPr>
          <t>Eve Browning:</t>
        </r>
        <r>
          <rPr>
            <sz val="9"/>
            <color indexed="81"/>
            <rFont val="Tahoma"/>
            <family val="2"/>
          </rPr>
          <t xml:space="preserve">
Invoice INV-8241</t>
        </r>
      </text>
    </comment>
    <comment ref="AJ6" authorId="0" shapeId="0" xr:uid="{D768D83B-2EED-459C-B504-DB96F566C7A3}">
      <text>
        <r>
          <rPr>
            <b/>
            <sz val="9"/>
            <color indexed="81"/>
            <rFont val="Tahoma"/>
            <family val="2"/>
          </rPr>
          <t>Eve Browning:</t>
        </r>
        <r>
          <rPr>
            <sz val="9"/>
            <color indexed="81"/>
            <rFont val="Tahoma"/>
            <family val="2"/>
          </rPr>
          <t xml:space="preserve">
Invoice INV-8285</t>
        </r>
      </text>
    </comment>
    <comment ref="AL6" authorId="0" shapeId="0" xr:uid="{CCD98341-3CA9-4E84-91F7-CCF0269E9E0D}">
      <text>
        <r>
          <rPr>
            <b/>
            <sz val="9"/>
            <color indexed="81"/>
            <rFont val="Tahoma"/>
            <family val="2"/>
          </rPr>
          <t>Eve Browning:</t>
        </r>
        <r>
          <rPr>
            <sz val="9"/>
            <color indexed="81"/>
            <rFont val="Tahoma"/>
            <family val="2"/>
          </rPr>
          <t xml:space="preserve">
Invoice INV-2212-132
Building colours and spec - £163.13</t>
        </r>
      </text>
    </comment>
    <comment ref="AN6" authorId="0" shapeId="0" xr:uid="{68FEAB9F-1276-426D-9D16-6659BA7F311B}">
      <text>
        <r>
          <rPr>
            <b/>
            <sz val="9"/>
            <color indexed="81"/>
            <rFont val="Tahoma"/>
            <family val="2"/>
          </rPr>
          <t>Eve Browning:</t>
        </r>
        <r>
          <rPr>
            <sz val="9"/>
            <color indexed="81"/>
            <rFont val="Tahoma"/>
            <family val="2"/>
          </rPr>
          <t xml:space="preserve">
Invoice INV-2302-051
Updates to SLDs - £947.01</t>
        </r>
      </text>
    </comment>
    <comment ref="AO6" authorId="0" shapeId="0" xr:uid="{7754D4BB-FD30-4175-8EB7-4AB7260088AB}">
      <text>
        <r>
          <rPr>
            <b/>
            <sz val="9"/>
            <color indexed="81"/>
            <rFont val="Tahoma"/>
            <family val="2"/>
          </rPr>
          <t>Eve Browning:</t>
        </r>
        <r>
          <rPr>
            <sz val="9"/>
            <color indexed="81"/>
            <rFont val="Tahoma"/>
            <family val="2"/>
          </rPr>
          <t xml:space="preserve">
Invoice INV-2303-053
Lessons learned telcon - £113.25</t>
        </r>
      </text>
    </comment>
    <comment ref="AP6" authorId="0" shapeId="0" xr:uid="{7745698D-F372-4915-9F67-3E12FC71C288}">
      <text>
        <r>
          <rPr>
            <b/>
            <sz val="9"/>
            <color indexed="81"/>
            <rFont val="Tahoma"/>
            <family val="2"/>
          </rPr>
          <t>Eve Browning:</t>
        </r>
        <r>
          <rPr>
            <sz val="9"/>
            <color indexed="81"/>
            <rFont val="Tahoma"/>
            <family val="2"/>
          </rPr>
          <t xml:space="preserve">
Invoice INV-2304-109
Grid connection cost advice - £56.63</t>
        </r>
      </text>
    </comment>
    <comment ref="AR6" authorId="0" shapeId="0" xr:uid="{DD8B0FC3-A530-4CAF-AEFE-E6DAAE3020C4}">
      <text>
        <r>
          <rPr>
            <b/>
            <sz val="9"/>
            <color indexed="81"/>
            <rFont val="Tahoma"/>
            <family val="2"/>
          </rPr>
          <t>Eve Browning:</t>
        </r>
        <r>
          <rPr>
            <sz val="9"/>
            <color indexed="81"/>
            <rFont val="Tahoma"/>
            <family val="2"/>
          </rPr>
          <t xml:space="preserve">
Invoice INV-2306-102
West Burton Power Station site visit - £459.30</t>
        </r>
      </text>
    </comment>
    <comment ref="AS6" authorId="0" shapeId="0" xr:uid="{3DAB4BC8-679F-479E-8186-1FDD886A3DFB}">
      <text>
        <r>
          <rPr>
            <b/>
            <sz val="9"/>
            <color indexed="81"/>
            <rFont val="Tahoma"/>
            <family val="2"/>
          </rPr>
          <t>Eve Browning:</t>
        </r>
        <r>
          <rPr>
            <sz val="9"/>
            <color indexed="81"/>
            <rFont val="Tahoma"/>
            <family val="2"/>
          </rPr>
          <t xml:space="preserve">
Invoice INV-2307-105
Grid connection advice - £113.25</t>
        </r>
      </text>
    </comment>
    <comment ref="AT6" authorId="0" shapeId="0" xr:uid="{03087110-4CF6-4384-BA1F-7AC11108CAA4}">
      <text>
        <r>
          <rPr>
            <b/>
            <sz val="9"/>
            <color indexed="81"/>
            <rFont val="Tahoma"/>
            <family val="2"/>
          </rPr>
          <t>Eve Browning:</t>
        </r>
        <r>
          <rPr>
            <sz val="9"/>
            <color indexed="81"/>
            <rFont val="Tahoma"/>
            <family val="2"/>
          </rPr>
          <t xml:space="preserve">
Invoice INV-2308-129
Front end engineering design advice - £56.63</t>
        </r>
      </text>
    </comment>
    <comment ref="AY6" authorId="0" shapeId="0" xr:uid="{373EF29B-3415-4B86-9577-5A6BC0B8442C}">
      <text>
        <r>
          <rPr>
            <b/>
            <sz val="9"/>
            <color indexed="81"/>
            <rFont val="Tahoma"/>
            <family val="2"/>
          </rPr>
          <t>Eve Browning:</t>
        </r>
        <r>
          <rPr>
            <sz val="9"/>
            <color indexed="81"/>
            <rFont val="Tahoma"/>
            <family val="2"/>
          </rPr>
          <t xml:space="preserve">
Invoice INV-2401-135
Project advice - £116.19</t>
        </r>
      </text>
    </comment>
    <comment ref="AG8" authorId="0" shapeId="0" xr:uid="{B485D343-A3CA-4A8A-B359-647608841D1B}">
      <text>
        <r>
          <rPr>
            <b/>
            <sz val="9"/>
            <color indexed="81"/>
            <rFont val="Tahoma"/>
            <family val="2"/>
          </rPr>
          <t>Eve Browning:</t>
        </r>
        <r>
          <rPr>
            <sz val="9"/>
            <color indexed="81"/>
            <rFont val="Tahoma"/>
            <family val="2"/>
          </rPr>
          <t xml:space="preserve">
Invoice 40089169
WB 3 aux connection</t>
        </r>
      </text>
    </comment>
    <comment ref="AH9" authorId="0" shapeId="0" xr:uid="{702E5B49-5DAF-4085-AD32-8F2FCFC0ADA1}">
      <text>
        <r>
          <rPr>
            <b/>
            <sz val="9"/>
            <color indexed="81"/>
            <rFont val="Tahoma"/>
            <family val="2"/>
          </rPr>
          <t>Eve Browning:</t>
        </r>
        <r>
          <rPr>
            <sz val="9"/>
            <color indexed="81"/>
            <rFont val="Tahoma"/>
            <family val="2"/>
          </rPr>
          <t xml:space="preserve">
Exceptional payment - Cowdale Lane North Clearance Costs - £1500 + VAT = £1800
Payment reference: WB70590 North</t>
        </r>
      </text>
    </comment>
    <comment ref="AN9" authorId="0" shapeId="0" xr:uid="{0CDF433A-91B5-45AB-8E8F-7B6B1ED04302}">
      <text>
        <r>
          <rPr>
            <b/>
            <sz val="9"/>
            <color indexed="81"/>
            <rFont val="Tahoma"/>
            <family val="2"/>
          </rPr>
          <t>Eve Browning:</t>
        </r>
        <r>
          <rPr>
            <sz val="9"/>
            <color indexed="81"/>
            <rFont val="Tahoma"/>
            <family val="2"/>
          </rPr>
          <t xml:space="preserve">
Exceptional payment Cowdale Lane - £26352 + VAT = £31623.42</t>
        </r>
      </text>
    </comment>
    <comment ref="AV9" authorId="0" shapeId="0" xr:uid="{920BB963-4C85-4E44-BA59-0C15D581E54E}">
      <text>
        <r>
          <rPr>
            <b/>
            <sz val="9"/>
            <color indexed="81"/>
            <rFont val="Tahoma"/>
            <family val="2"/>
          </rPr>
          <t>Eve Browning:</t>
        </r>
        <r>
          <rPr>
            <sz val="9"/>
            <color indexed="81"/>
            <rFont val="Tahoma"/>
            <family val="2"/>
          </rPr>
          <t xml:space="preserve">
Invoice ref: 6561234/TEL/1225931
WB3 clearance fee for widening of red line - £1500 + VAT = £1800</t>
        </r>
      </text>
    </comment>
    <comment ref="AY9" authorId="0" shapeId="0" xr:uid="{93BF2FAF-BF80-45AE-8C8C-40433E51BC5B}">
      <text>
        <r>
          <rPr>
            <b/>
            <sz val="9"/>
            <color indexed="81"/>
            <rFont val="Tahoma"/>
            <family val="2"/>
          </rPr>
          <t>Eve Browning:</t>
        </r>
        <r>
          <rPr>
            <sz val="9"/>
            <color indexed="81"/>
            <rFont val="Tahoma"/>
            <family val="2"/>
          </rPr>
          <t xml:space="preserve">
Network Rail legal costs
EB estimate</t>
        </r>
      </text>
    </comment>
    <comment ref="AZ9" authorId="0" shapeId="0" xr:uid="{27A27657-48BE-4528-B784-128F1D3A542E}">
      <text>
        <r>
          <rPr>
            <b/>
            <sz val="9"/>
            <color indexed="81"/>
            <rFont val="Tahoma"/>
            <family val="2"/>
          </rPr>
          <t>Eve Browning:</t>
        </r>
        <r>
          <rPr>
            <sz val="9"/>
            <color indexed="81"/>
            <rFont val="Tahoma"/>
            <family val="2"/>
          </rPr>
          <t xml:space="preserve">
Based upon 10% of NR easement fee being payable upon option signing - £630/MW across whole project</t>
        </r>
      </text>
    </comment>
    <comment ref="AF10" authorId="0" shapeId="0" xr:uid="{FFDD9FF6-B759-4F95-BE47-7B34E63FBC69}">
      <text>
        <r>
          <rPr>
            <b/>
            <sz val="9"/>
            <color indexed="81"/>
            <rFont val="Tahoma"/>
            <family val="2"/>
          </rPr>
          <t>Eve Browning:</t>
        </r>
        <r>
          <rPr>
            <sz val="9"/>
            <color indexed="81"/>
            <rFont val="Tahoma"/>
            <family val="2"/>
          </rPr>
          <t xml:space="preserve">
</t>
        </r>
        <r>
          <rPr>
            <b/>
            <sz val="9"/>
            <color indexed="81"/>
            <rFont val="Tahoma"/>
            <family val="2"/>
          </rPr>
          <t>EPR - Roythornes</t>
        </r>
        <r>
          <rPr>
            <sz val="9"/>
            <color indexed="81"/>
            <rFont val="Tahoma"/>
            <family val="2"/>
          </rPr>
          <t xml:space="preserve">
Undertaking for WB Substation option agreement - £10,000
Undertaking for WB4 deed of surrender - £2500</t>
        </r>
      </text>
    </comment>
    <comment ref="AL10" authorId="0" shapeId="0" xr:uid="{295DE7B7-77D8-46D4-A44F-8B32427C4759}">
      <text>
        <r>
          <rPr>
            <b/>
            <sz val="9"/>
            <color indexed="81"/>
            <rFont val="Tahoma"/>
            <family val="2"/>
          </rPr>
          <t>Eve Browning:</t>
        </r>
        <r>
          <rPr>
            <sz val="9"/>
            <color indexed="81"/>
            <rFont val="Tahoma"/>
            <family val="2"/>
          </rPr>
          <t xml:space="preserve">
Invoice INV-12075
Perkins George Mawer &amp; Co Limited
Heads of Terms and Option discussions for Sarah Reeve (landowner at West Burton substation site) - £2630</t>
        </r>
      </text>
    </comment>
    <comment ref="AR10" authorId="0" shapeId="0" xr:uid="{50C1BD1C-9F95-4509-B8DF-CC698D0BB982}">
      <text>
        <r>
          <rPr>
            <b/>
            <sz val="9"/>
            <color indexed="81"/>
            <rFont val="Tahoma"/>
            <family val="2"/>
          </rPr>
          <t>Eve Browning:</t>
        </r>
        <r>
          <rPr>
            <sz val="9"/>
            <color indexed="81"/>
            <rFont val="Tahoma"/>
            <family val="2"/>
          </rPr>
          <t xml:space="preserve">
</t>
        </r>
        <r>
          <rPr>
            <b/>
            <sz val="9"/>
            <color indexed="81"/>
            <rFont val="Tahoma"/>
            <family val="2"/>
          </rPr>
          <t>Invoice 1749024 - Gowling WLG</t>
        </r>
        <r>
          <rPr>
            <sz val="9"/>
            <color indexed="81"/>
            <rFont val="Tahoma"/>
            <family val="2"/>
          </rPr>
          <t xml:space="preserve">
Surrender impact advice - Beck Lane Farm and part Highfield Farm, Clayworth - £6750
</t>
        </r>
        <r>
          <rPr>
            <b/>
            <sz val="9"/>
            <color indexed="81"/>
            <rFont val="Tahoma"/>
            <family val="2"/>
          </rPr>
          <t>Invoice 51166 Brown &amp; Co</t>
        </r>
        <r>
          <rPr>
            <sz val="9"/>
            <color indexed="81"/>
            <rFont val="Tahoma"/>
            <family val="2"/>
          </rPr>
          <t xml:space="preserve">
Land agent costs - WB Sub - £2232</t>
        </r>
      </text>
    </comment>
    <comment ref="E12" authorId="0" shapeId="0" xr:uid="{565C598A-DFFF-412A-9413-EC59BD9C1F56}">
      <text>
        <r>
          <rPr>
            <b/>
            <sz val="9"/>
            <color indexed="81"/>
            <rFont val="Tahoma"/>
            <family val="2"/>
          </rPr>
          <t>Eve Browning:</t>
        </r>
        <r>
          <rPr>
            <sz val="9"/>
            <color indexed="81"/>
            <rFont val="Tahoma"/>
            <family val="2"/>
          </rPr>
          <t xml:space="preserve">
£10k Notts + £12200 Lincs up to end stat consultation period</t>
        </r>
      </text>
    </comment>
    <comment ref="AD12" authorId="0" shapeId="0" xr:uid="{30A81BF3-C887-47C5-AC0A-B8E1157C8146}">
      <text>
        <r>
          <rPr>
            <b/>
            <sz val="9"/>
            <color indexed="81"/>
            <rFont val="Tahoma"/>
            <family val="2"/>
          </rPr>
          <t>Eve Browning:</t>
        </r>
        <r>
          <rPr>
            <sz val="9"/>
            <color indexed="81"/>
            <rFont val="Tahoma"/>
            <family val="2"/>
          </rPr>
          <t xml:space="preserve">
LCC Invoice 10143929</t>
        </r>
      </text>
    </comment>
    <comment ref="AH12" authorId="0" shapeId="0" xr:uid="{59DFE5CB-47E4-4CFA-9718-B85F0B633A4F}">
      <text>
        <r>
          <rPr>
            <b/>
            <sz val="9"/>
            <color indexed="81"/>
            <rFont val="Tahoma"/>
            <family val="2"/>
          </rPr>
          <t>Eve Browning:</t>
        </r>
        <r>
          <rPr>
            <sz val="9"/>
            <color indexed="81"/>
            <rFont val="Tahoma"/>
            <family val="2"/>
          </rPr>
          <t xml:space="preserve">
Lincs CC invoice 10150108
Landscape and council officer fees</t>
        </r>
      </text>
    </comment>
    <comment ref="AL12" authorId="0" shapeId="0" xr:uid="{314B930A-F815-4FEC-A1F8-06C47E23F13C}">
      <text>
        <r>
          <rPr>
            <b/>
            <sz val="9"/>
            <color indexed="81"/>
            <rFont val="Tahoma"/>
            <family val="2"/>
          </rPr>
          <t>Eve Browning:</t>
        </r>
        <r>
          <rPr>
            <sz val="9"/>
            <color indexed="81"/>
            <rFont val="Tahoma"/>
            <family val="2"/>
          </rPr>
          <t xml:space="preserve">
Nottinghamshire County Council invoice 92816609
Planning advice - £6579</t>
        </r>
      </text>
    </comment>
    <comment ref="AN12" authorId="0" shapeId="0" xr:uid="{76444DD5-90B4-43B1-80EF-D78CAF248520}">
      <text>
        <r>
          <rPr>
            <b/>
            <sz val="9"/>
            <color indexed="81"/>
            <rFont val="Tahoma"/>
            <family val="2"/>
          </rPr>
          <t>Eve Browning:</t>
        </r>
        <r>
          <rPr>
            <sz val="9"/>
            <color indexed="81"/>
            <rFont val="Tahoma"/>
            <family val="2"/>
          </rPr>
          <t xml:space="preserve">
Invoice 10160542 Lincs County Council
August 2022 - January 2023 costs - £17289</t>
        </r>
      </text>
    </comment>
    <comment ref="BA12" authorId="0" shapeId="0" xr:uid="{B7A5D542-8A52-4A39-9FD2-D8B945A355C3}">
      <text>
        <r>
          <rPr>
            <b/>
            <sz val="9"/>
            <color indexed="81"/>
            <rFont val="Tahoma"/>
            <family val="2"/>
          </rPr>
          <t>Eve Browning:</t>
        </r>
        <r>
          <rPr>
            <sz val="9"/>
            <color indexed="81"/>
            <rFont val="Tahoma"/>
            <family val="2"/>
          </rPr>
          <t xml:space="preserve">
LCC estimate
- Legal Costs
     - pre-examination: £10,000
     - examination period: £5000
- Landscape consultant costs 
    - up to start of examination: £10000 
    - examination period: £10000
- Council costs 
     - pre-examination: 
               - Ongoing dialogue with lead and technical officers: £2700
               - SoCG: £2700
               - Archaeology: £4140
     - examination: 
               - Ongoing dialogue with lead and technical officers: £24570
               - SoCG: £10620
               - Archaeology: £4590
NCC Estimate
- Council costs 
     - pre-examination: 
               - Ongoing dialogue with lead and technical officers: £708
               - SoCG: £354
     - examination: 
               - Ongoing dialogue with lead and technical officers: £708
               - SoCG: £354
               - Attendance and response to hearing sessions: £1416</t>
        </r>
      </text>
    </comment>
    <comment ref="BB12" authorId="0" shapeId="0" xr:uid="{032A83A1-D117-455B-8F7D-3C89CDDE0C7C}">
      <text>
        <r>
          <rPr>
            <b/>
            <sz val="9"/>
            <color indexed="81"/>
            <rFont val="Tahoma"/>
            <family val="2"/>
          </rPr>
          <t>Eve Browning:</t>
        </r>
        <r>
          <rPr>
            <sz val="9"/>
            <color indexed="81"/>
            <rFont val="Tahoma"/>
            <family val="2"/>
          </rPr>
          <t xml:space="preserve">
West Lindsey examination costs?</t>
        </r>
      </text>
    </comment>
    <comment ref="BC12" authorId="0" shapeId="0" xr:uid="{287158A4-47C4-4EFA-8FB4-3CBAA94881DA}">
      <text>
        <r>
          <rPr>
            <b/>
            <sz val="9"/>
            <color indexed="81"/>
            <rFont val="Tahoma"/>
            <family val="2"/>
          </rPr>
          <t>Eve Browning:</t>
        </r>
        <r>
          <rPr>
            <sz val="9"/>
            <color indexed="81"/>
            <rFont val="Tahoma"/>
            <family val="2"/>
          </rPr>
          <t xml:space="preserve">
LCC invoice 2004384186
PPA costs Feb 3023 to May 2024 - £60003.00</t>
        </r>
      </text>
    </comment>
    <comment ref="AQ13" authorId="0" shapeId="0" xr:uid="{D32BA7FC-1059-49EC-BC45-2C4A103E6962}">
      <text>
        <r>
          <rPr>
            <b/>
            <sz val="9"/>
            <color indexed="81"/>
            <rFont val="Tahoma"/>
            <family val="2"/>
          </rPr>
          <t>Eve Browning:</t>
        </r>
        <r>
          <rPr>
            <sz val="9"/>
            <color indexed="81"/>
            <rFont val="Tahoma"/>
            <family val="2"/>
          </rPr>
          <t xml:space="preserve">
Invoice 1800004491
Pre-examination fee - £39464</t>
        </r>
      </text>
    </comment>
    <comment ref="AV13" authorId="0" shapeId="0" xr:uid="{69625126-1724-4C37-8E3A-3ECC78B1B667}">
      <text>
        <r>
          <rPr>
            <b/>
            <sz val="9"/>
            <color indexed="81"/>
            <rFont val="Tahoma"/>
            <family val="2"/>
          </rPr>
          <t>Eve Browning:</t>
        </r>
        <r>
          <rPr>
            <sz val="9"/>
            <color indexed="81"/>
            <rFont val="Tahoma"/>
            <family val="2"/>
          </rPr>
          <t xml:space="preserve">
Invoice 1800004611
West Burton Solar Project initial examination fee -£224,375</t>
        </r>
      </text>
    </comment>
    <comment ref="BB13" authorId="0" shapeId="0" xr:uid="{E20EE106-D03E-4529-B81D-024A3693FB8F}">
      <text>
        <r>
          <rPr>
            <b/>
            <sz val="9"/>
            <color indexed="81"/>
            <rFont val="Tahoma"/>
            <family val="2"/>
          </rPr>
          <t>Eve Browning:</t>
        </r>
        <r>
          <rPr>
            <sz val="9"/>
            <color indexed="81"/>
            <rFont val="Tahoma"/>
            <family val="2"/>
          </rPr>
          <t xml:space="preserve">
Invoice 1800004937
West Burton Solar Project final examination fee £230,641.00 </t>
        </r>
      </text>
    </comment>
    <comment ref="AA14" authorId="0" shapeId="0" xr:uid="{A1143832-E20D-4A43-B629-59BAD1FA886A}">
      <text>
        <r>
          <rPr>
            <b/>
            <sz val="9"/>
            <color indexed="81"/>
            <rFont val="Tahoma"/>
            <family val="2"/>
          </rPr>
          <t>Eve Browning:</t>
        </r>
        <r>
          <rPr>
            <sz val="9"/>
            <color indexed="81"/>
            <rFont val="Tahoma"/>
            <family val="2"/>
          </rPr>
          <t xml:space="preserve">
Invoice number 005233</t>
        </r>
      </text>
    </comment>
    <comment ref="AC14" authorId="0" shapeId="0" xr:uid="{489CF494-CF00-41E4-8725-6DC6BC4EF6A3}">
      <text>
        <r>
          <rPr>
            <b/>
            <sz val="9"/>
            <color indexed="81"/>
            <rFont val="Tahoma"/>
            <family val="2"/>
          </rPr>
          <t xml:space="preserve">Eve Browning:
</t>
        </r>
        <r>
          <rPr>
            <sz val="9"/>
            <color indexed="81"/>
            <rFont val="Tahoma"/>
            <family val="2"/>
          </rPr>
          <t>Invoice 005469 for £17685, invoice 005514 for £1730.19 expenses</t>
        </r>
      </text>
    </comment>
    <comment ref="AD14" authorId="0" shapeId="0" xr:uid="{5250C3B4-B6C7-4872-BE89-0DB3A49BA16C}">
      <text>
        <r>
          <rPr>
            <b/>
            <sz val="9"/>
            <color indexed="81"/>
            <rFont val="Tahoma"/>
            <family val="2"/>
          </rPr>
          <t>Eve Browning:</t>
        </r>
        <r>
          <rPr>
            <sz val="9"/>
            <color indexed="81"/>
            <rFont val="Tahoma"/>
            <family val="2"/>
          </rPr>
          <t xml:space="preserve">
Invoice 005643, includes monthly expenses invoiced separately</t>
        </r>
      </text>
    </comment>
    <comment ref="AE14" authorId="0" shapeId="0" xr:uid="{389D6FDC-F007-4521-BE40-7CA3238D0A13}">
      <text>
        <r>
          <rPr>
            <b/>
            <sz val="9"/>
            <color indexed="81"/>
            <rFont val="Tahoma"/>
            <family val="2"/>
          </rPr>
          <t>Eve Browning:</t>
        </r>
        <r>
          <rPr>
            <sz val="9"/>
            <color indexed="81"/>
            <rFont val="Tahoma"/>
            <family val="2"/>
          </rPr>
          <t xml:space="preserve">
Invoice 005820
Invoice 005822
- CEMP
-Decommissioning statement
- PEIR Socioeconomic chapter
- PEIR Waste chapter
- PEIR Other environmental matters chapter 
- £12.5k fee discounted by £2.2k budget saving carried forward
Total = £10,300
</t>
        </r>
      </text>
    </comment>
    <comment ref="AF14" authorId="0" shapeId="0" xr:uid="{EB670FE0-4068-40FC-B38C-82A88BEF73F0}">
      <text>
        <r>
          <rPr>
            <b/>
            <sz val="9"/>
            <color indexed="81"/>
            <rFont val="Tahoma"/>
            <family val="2"/>
          </rPr>
          <t>Eve Browning:</t>
        </r>
        <r>
          <rPr>
            <sz val="9"/>
            <color indexed="81"/>
            <rFont val="Tahoma"/>
            <family val="2"/>
          </rPr>
          <t xml:space="preserve">
</t>
        </r>
        <r>
          <rPr>
            <b/>
            <sz val="9"/>
            <color indexed="81"/>
            <rFont val="Tahoma"/>
            <family val="2"/>
          </rPr>
          <t xml:space="preserve">Invoice 006089
</t>
        </r>
        <r>
          <rPr>
            <sz val="9"/>
            <color indexed="81"/>
            <rFont val="Tahoma"/>
            <family val="2"/>
          </rPr>
          <t>- Planning consultancy services, travel expenses, consultation event attendance</t>
        </r>
      </text>
    </comment>
    <comment ref="AG14" authorId="0" shapeId="0" xr:uid="{2B7E72A3-6046-4A50-A91D-37D7C258EC27}">
      <text>
        <r>
          <rPr>
            <b/>
            <sz val="9"/>
            <color indexed="81"/>
            <rFont val="Tahoma"/>
            <family val="2"/>
          </rPr>
          <t>Eve Browning:</t>
        </r>
        <r>
          <rPr>
            <sz val="9"/>
            <color indexed="81"/>
            <rFont val="Tahoma"/>
            <family val="2"/>
          </rPr>
          <t xml:space="preserve">
Invoice 006197</t>
        </r>
      </text>
    </comment>
    <comment ref="AH14" authorId="0" shapeId="0" xr:uid="{7AB3C42B-1A82-4931-9866-38F0E11953AE}">
      <text>
        <r>
          <rPr>
            <b/>
            <sz val="9"/>
            <color indexed="81"/>
            <rFont val="Tahoma"/>
            <family val="2"/>
          </rPr>
          <t>Eve Browning:</t>
        </r>
        <r>
          <rPr>
            <sz val="9"/>
            <color indexed="81"/>
            <rFont val="Tahoma"/>
            <family val="2"/>
          </rPr>
          <t xml:space="preserve">
Invoice 006303 - expenses
Invoice 006300 - consultancy</t>
        </r>
      </text>
    </comment>
    <comment ref="AI14" authorId="0" shapeId="0" xr:uid="{EB8519BF-1B24-4E98-8CC5-C2F96170B9ED}">
      <text>
        <r>
          <rPr>
            <b/>
            <sz val="9"/>
            <color indexed="81"/>
            <rFont val="Tahoma"/>
            <family val="2"/>
          </rPr>
          <t>Eve Browning:</t>
        </r>
        <r>
          <rPr>
            <sz val="9"/>
            <color indexed="81"/>
            <rFont val="Tahoma"/>
            <family val="2"/>
          </rPr>
          <t xml:space="preserve">
</t>
        </r>
        <r>
          <rPr>
            <b/>
            <sz val="9"/>
            <color indexed="81"/>
            <rFont val="Tahoma"/>
            <family val="2"/>
          </rPr>
          <t>Invoice 006646</t>
        </r>
        <r>
          <rPr>
            <sz val="9"/>
            <color indexed="81"/>
            <rFont val="Tahoma"/>
            <family val="2"/>
          </rPr>
          <t xml:space="preserve">
Planning consultancy services - £19500
</t>
        </r>
        <r>
          <rPr>
            <b/>
            <sz val="9"/>
            <color indexed="81"/>
            <rFont val="Tahoma"/>
            <family val="2"/>
          </rPr>
          <t>Invoice 006651</t>
        </r>
        <r>
          <rPr>
            <sz val="9"/>
            <color indexed="81"/>
            <rFont val="Tahoma"/>
            <family val="2"/>
          </rPr>
          <t xml:space="preserve">
Expenses - £438.75</t>
        </r>
      </text>
    </comment>
    <comment ref="AJ14" authorId="0" shapeId="0" xr:uid="{DC5BA159-F895-428D-B527-D624CA09FCFF}">
      <text>
        <r>
          <rPr>
            <b/>
            <sz val="9"/>
            <color indexed="81"/>
            <rFont val="Tahoma"/>
            <family val="2"/>
          </rPr>
          <t>Eve Browning:</t>
        </r>
        <r>
          <rPr>
            <sz val="9"/>
            <color indexed="81"/>
            <rFont val="Tahoma"/>
            <family val="2"/>
          </rPr>
          <t xml:space="preserve">
Invoice 006830</t>
        </r>
      </text>
    </comment>
    <comment ref="AK14" authorId="0" shapeId="0" xr:uid="{31090712-73C9-465D-A34C-956C13B920E0}">
      <text>
        <r>
          <rPr>
            <b/>
            <sz val="9"/>
            <color indexed="81"/>
            <rFont val="Tahoma"/>
            <family val="2"/>
          </rPr>
          <t>Eve Browning:</t>
        </r>
        <r>
          <rPr>
            <sz val="9"/>
            <color indexed="81"/>
            <rFont val="Tahoma"/>
            <family val="2"/>
          </rPr>
          <t xml:space="preserve">
Invoice 007026
Planning consultancy</t>
        </r>
      </text>
    </comment>
    <comment ref="AL14" authorId="0" shapeId="0" xr:uid="{59214D86-1CB5-4253-9945-640F5A3C63DF}">
      <text>
        <r>
          <rPr>
            <b/>
            <sz val="9"/>
            <color indexed="81"/>
            <rFont val="Tahoma"/>
            <family val="2"/>
          </rPr>
          <t>Eve Browning:</t>
        </r>
        <r>
          <rPr>
            <sz val="9"/>
            <color indexed="81"/>
            <rFont val="Tahoma"/>
            <family val="2"/>
          </rPr>
          <t xml:space="preserve">
</t>
        </r>
        <r>
          <rPr>
            <b/>
            <sz val="9"/>
            <color indexed="81"/>
            <rFont val="Tahoma"/>
            <family val="2"/>
          </rPr>
          <t xml:space="preserve">Invoice 007069
</t>
        </r>
        <r>
          <rPr>
            <sz val="9"/>
            <color indexed="81"/>
            <rFont val="Tahoma"/>
            <family val="2"/>
          </rPr>
          <t xml:space="preserve">£17520.75
</t>
        </r>
        <r>
          <rPr>
            <b/>
            <sz val="9"/>
            <color indexed="81"/>
            <rFont val="Tahoma"/>
            <family val="2"/>
          </rPr>
          <t xml:space="preserve">
Invoice 29 (Low Carbon UK Solar Investment Company Limited)
</t>
        </r>
        <r>
          <rPr>
            <sz val="9"/>
            <color indexed="81"/>
            <rFont val="Tahoma"/>
            <family val="2"/>
          </rPr>
          <t>Aerial LIDAR data on the cable route for Gate Burton, West Burton and Cottam - £880.94</t>
        </r>
      </text>
    </comment>
    <comment ref="AM14" authorId="0" shapeId="0" xr:uid="{039BDA6A-4E4A-47B1-A904-583C8B5CD193}">
      <text>
        <r>
          <rPr>
            <b/>
            <sz val="9"/>
            <color indexed="81"/>
            <rFont val="Tahoma"/>
            <family val="2"/>
          </rPr>
          <t>Eve Browning:</t>
        </r>
        <r>
          <rPr>
            <sz val="9"/>
            <color indexed="81"/>
            <rFont val="Tahoma"/>
            <family val="2"/>
          </rPr>
          <t xml:space="preserve">
</t>
        </r>
        <r>
          <rPr>
            <b/>
            <sz val="9"/>
            <color indexed="81"/>
            <rFont val="Tahoma"/>
            <family val="2"/>
          </rPr>
          <t>Invoice 007392</t>
        </r>
        <r>
          <rPr>
            <sz val="9"/>
            <color indexed="81"/>
            <rFont val="Tahoma"/>
            <family val="2"/>
          </rPr>
          <t xml:space="preserve">
Planning consultancy - £19500
</t>
        </r>
        <r>
          <rPr>
            <b/>
            <sz val="9"/>
            <color indexed="81"/>
            <rFont val="Tahoma"/>
            <family val="2"/>
          </rPr>
          <t xml:space="preserve">Invoice 007395
</t>
        </r>
        <r>
          <rPr>
            <sz val="9"/>
            <color indexed="81"/>
            <rFont val="Tahoma"/>
            <family val="2"/>
          </rPr>
          <t>Expenses - £605.33</t>
        </r>
      </text>
    </comment>
    <comment ref="AN14" authorId="0" shapeId="0" xr:uid="{0F504475-D759-4F1F-AF11-4A84E73915DB}">
      <text>
        <r>
          <rPr>
            <b/>
            <sz val="9"/>
            <color indexed="81"/>
            <rFont val="Tahoma"/>
            <family val="2"/>
          </rPr>
          <t>Eve Browning:</t>
        </r>
        <r>
          <rPr>
            <sz val="9"/>
            <color indexed="81"/>
            <rFont val="Tahoma"/>
            <family val="2"/>
          </rPr>
          <t xml:space="preserve">
</t>
        </r>
        <r>
          <rPr>
            <b/>
            <sz val="9"/>
            <color indexed="81"/>
            <rFont val="Tahoma"/>
            <family val="2"/>
          </rPr>
          <t>Invoice 007621</t>
        </r>
        <r>
          <rPr>
            <sz val="9"/>
            <color indexed="81"/>
            <rFont val="Tahoma"/>
            <family val="2"/>
          </rPr>
          <t xml:space="preserve">
Planning consultancy services - £62381.50
</t>
        </r>
        <r>
          <rPr>
            <b/>
            <sz val="9"/>
            <color indexed="81"/>
            <rFont val="Tahoma"/>
            <family val="2"/>
          </rPr>
          <t xml:space="preserve">Invoice 007689
</t>
        </r>
        <r>
          <rPr>
            <sz val="9"/>
            <color indexed="81"/>
            <rFont val="Tahoma"/>
            <family val="2"/>
          </rPr>
          <t>Planning consultancy services - £64418.75</t>
        </r>
      </text>
    </comment>
    <comment ref="AP14" authorId="0" shapeId="0" xr:uid="{C589D06B-4C21-4673-93DD-E55F24A55125}">
      <text>
        <r>
          <rPr>
            <b/>
            <sz val="9"/>
            <color indexed="81"/>
            <rFont val="Tahoma"/>
            <family val="2"/>
          </rPr>
          <t>Eve Browning:</t>
        </r>
        <r>
          <rPr>
            <sz val="9"/>
            <color indexed="81"/>
            <rFont val="Tahoma"/>
            <family val="2"/>
          </rPr>
          <t xml:space="preserve">
</t>
        </r>
        <r>
          <rPr>
            <b/>
            <sz val="9"/>
            <color indexed="81"/>
            <rFont val="Tahoma"/>
            <family val="2"/>
          </rPr>
          <t>Invoice 8018</t>
        </r>
        <r>
          <rPr>
            <sz val="9"/>
            <color indexed="81"/>
            <rFont val="Tahoma"/>
            <family val="2"/>
          </rPr>
          <t xml:space="preserve">
Planning consultancy - £16250
</t>
        </r>
        <r>
          <rPr>
            <b/>
            <sz val="9"/>
            <color indexed="81"/>
            <rFont val="Tahoma"/>
            <family val="2"/>
          </rPr>
          <t>Lanpro invoice 8020</t>
        </r>
        <r>
          <rPr>
            <sz val="9"/>
            <color indexed="81"/>
            <rFont val="Tahoma"/>
            <family val="2"/>
          </rPr>
          <t xml:space="preserve">
Printing of submission documents for PINS - £1380.57</t>
        </r>
      </text>
    </comment>
    <comment ref="AQ14" authorId="0" shapeId="0" xr:uid="{85ED18AB-22A0-4396-A82E-1834F92DD3C4}">
      <text>
        <r>
          <rPr>
            <b/>
            <sz val="9"/>
            <color indexed="81"/>
            <rFont val="Tahoma"/>
            <family val="2"/>
          </rPr>
          <t>Eve Browning:</t>
        </r>
        <r>
          <rPr>
            <sz val="9"/>
            <color indexed="81"/>
            <rFont val="Tahoma"/>
            <family val="2"/>
          </rPr>
          <t xml:space="preserve">
Invoice 008270
Planning consultancy services - £28,835</t>
        </r>
      </text>
    </comment>
    <comment ref="AR14" authorId="0" shapeId="0" xr:uid="{897DF677-6B3A-4C98-A143-49272FBE7A8E}">
      <text>
        <r>
          <rPr>
            <b/>
            <sz val="9"/>
            <color indexed="81"/>
            <rFont val="Tahoma"/>
            <family val="2"/>
          </rPr>
          <t>Eve Browning:</t>
        </r>
        <r>
          <rPr>
            <sz val="9"/>
            <color indexed="81"/>
            <rFont val="Tahoma"/>
            <family val="2"/>
          </rPr>
          <t xml:space="preserve">
Invoice 008342
Planning consultancy - £21409.95</t>
        </r>
      </text>
    </comment>
    <comment ref="AS14" authorId="0" shapeId="0" xr:uid="{06549A4F-B786-4DD3-A72A-36FAC91664B0}">
      <text>
        <r>
          <rPr>
            <b/>
            <sz val="9"/>
            <color indexed="81"/>
            <rFont val="Tahoma"/>
            <family val="2"/>
          </rPr>
          <t>Eve Browning:</t>
        </r>
        <r>
          <rPr>
            <sz val="9"/>
            <color indexed="81"/>
            <rFont val="Tahoma"/>
            <family val="2"/>
          </rPr>
          <t xml:space="preserve">
Invoice 008697
Planning consultancy services - £35375.95</t>
        </r>
      </text>
    </comment>
    <comment ref="AT14" authorId="0" shapeId="0" xr:uid="{576F76DC-CE1E-4C70-9147-559B098E5EAC}">
      <text>
        <r>
          <rPr>
            <b/>
            <sz val="9"/>
            <color indexed="81"/>
            <rFont val="Tahoma"/>
            <family val="2"/>
          </rPr>
          <t>Eve Browning:</t>
        </r>
        <r>
          <rPr>
            <sz val="9"/>
            <color indexed="81"/>
            <rFont val="Tahoma"/>
            <family val="2"/>
          </rPr>
          <t xml:space="preserve">
</t>
        </r>
        <r>
          <rPr>
            <b/>
            <sz val="9"/>
            <color indexed="81"/>
            <rFont val="Tahoma"/>
            <family val="2"/>
          </rPr>
          <t>Invoice 008760</t>
        </r>
        <r>
          <rPr>
            <sz val="9"/>
            <color indexed="81"/>
            <rFont val="Tahoma"/>
            <family val="2"/>
          </rPr>
          <t xml:space="preserve">
• Progressing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£31,139.50
</t>
        </r>
        <r>
          <rPr>
            <b/>
            <sz val="9"/>
            <color indexed="81"/>
            <rFont val="Tahoma"/>
            <family val="2"/>
          </rPr>
          <t xml:space="preserve">
Invoice 008770
</t>
        </r>
        <r>
          <rPr>
            <sz val="9"/>
            <color indexed="81"/>
            <rFont val="Tahoma"/>
            <family val="2"/>
          </rPr>
          <t>Expenses Invoice
Report printing &amp; postage - £1135.08</t>
        </r>
      </text>
    </comment>
    <comment ref="AU14" authorId="0" shapeId="0" xr:uid="{6AE53C58-BA7B-416F-B2F3-44A3A09BAF93}">
      <text>
        <r>
          <rPr>
            <b/>
            <sz val="9"/>
            <color indexed="81"/>
            <rFont val="Tahoma"/>
            <family val="2"/>
          </rPr>
          <t>Eve Browning:</t>
        </r>
        <r>
          <rPr>
            <sz val="9"/>
            <color indexed="81"/>
            <rFont val="Tahoma"/>
            <family val="2"/>
          </rPr>
          <t xml:space="preserve">
Invoice 008968
• Progressing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£22710</t>
        </r>
      </text>
    </comment>
    <comment ref="AV14" authorId="0" shapeId="0" xr:uid="{E21B99DB-503E-4DBD-B0EF-7F799B2D4847}">
      <text>
        <r>
          <rPr>
            <b/>
            <sz val="9"/>
            <color indexed="81"/>
            <rFont val="Tahoma"/>
            <family val="2"/>
          </rPr>
          <t>Eve Browning:</t>
        </r>
        <r>
          <rPr>
            <sz val="9"/>
            <color indexed="81"/>
            <rFont val="Tahoma"/>
            <family val="2"/>
          </rPr>
          <t xml:space="preserve">
Invoice 009170
 Progressing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Stage 4 - Pre-Examination £22,710.00
Travelling Costs £190.03 </t>
        </r>
      </text>
    </comment>
    <comment ref="AW14" authorId="0" shapeId="0" xr:uid="{83015161-A95C-421B-A7C1-B7CB31D464F5}">
      <text>
        <r>
          <rPr>
            <b/>
            <sz val="9"/>
            <color indexed="81"/>
            <rFont val="Tahoma"/>
            <family val="2"/>
          </rPr>
          <t>Eve Browning:</t>
        </r>
        <r>
          <rPr>
            <sz val="9"/>
            <color indexed="81"/>
            <rFont val="Tahoma"/>
            <family val="2"/>
          </rPr>
          <t xml:space="preserve">
Invoice 009371
- Prep for examination
- Hearings and deadline 1 requirements
£57568</t>
        </r>
      </text>
    </comment>
    <comment ref="AX14" authorId="0" shapeId="0" xr:uid="{D1112173-75E2-4C39-A6C9-D9D634FE9AEE}">
      <text>
        <r>
          <rPr>
            <b/>
            <sz val="9"/>
            <color indexed="81"/>
            <rFont val="Tahoma"/>
            <family val="2"/>
          </rPr>
          <t>Eve Browning:</t>
        </r>
        <r>
          <rPr>
            <sz val="9"/>
            <color indexed="81"/>
            <rFont val="Tahoma"/>
            <family val="2"/>
          </rPr>
          <t xml:space="preserve">
Invoice 9555
- Responding to Deadline 1 and preparing for D2 and D3
- West Burton hearings
- Regular Project management and meetings
£57568
Expenses - £67.98
Gate Burton Energy Park Invoice SIN2401L064000002
Options and Interrelationships reports - £16148.75</t>
        </r>
      </text>
    </comment>
    <comment ref="AY14" authorId="0" shapeId="0" xr:uid="{03A4023B-C3A7-40CE-9066-A13AC56D8CCD}">
      <text>
        <r>
          <rPr>
            <b/>
            <sz val="9"/>
            <color indexed="81"/>
            <rFont val="Tahoma"/>
            <family val="2"/>
          </rPr>
          <t>Eve Browning:</t>
        </r>
        <r>
          <rPr>
            <sz val="9"/>
            <color indexed="81"/>
            <rFont val="Tahoma"/>
            <family val="2"/>
          </rPr>
          <t xml:space="preserve">
</t>
        </r>
        <r>
          <rPr>
            <b/>
            <sz val="9"/>
            <color indexed="81"/>
            <rFont val="Tahoma"/>
            <family val="2"/>
          </rPr>
          <t>Lanpro invoice 009751</t>
        </r>
        <r>
          <rPr>
            <sz val="9"/>
            <color indexed="81"/>
            <rFont val="Tahoma"/>
            <family val="2"/>
          </rPr>
          <t xml:space="preserve">
Planning;
- Examination submission for D2, D3 and preparation for hearings and D4
Stage 5 - Examination 
£40,000.00
</t>
        </r>
      </text>
    </comment>
    <comment ref="AZ14" authorId="0" shapeId="0" xr:uid="{0812B018-8E37-49A5-8662-61766D724374}">
      <text>
        <r>
          <rPr>
            <b/>
            <sz val="9"/>
            <color indexed="81"/>
            <rFont val="Tahoma"/>
            <family val="2"/>
          </rPr>
          <t>Eve Browning:</t>
        </r>
        <r>
          <rPr>
            <sz val="9"/>
            <color indexed="81"/>
            <rFont val="Tahoma"/>
            <family val="2"/>
          </rPr>
          <t xml:space="preserve">
</t>
        </r>
        <r>
          <rPr>
            <b/>
            <sz val="9"/>
            <color indexed="81"/>
            <rFont val="Tahoma"/>
            <family val="2"/>
          </rPr>
          <t xml:space="preserve">Invoice SIN2403L051000002 Low Carbon </t>
        </r>
        <r>
          <rPr>
            <sz val="9"/>
            <color indexed="81"/>
            <rFont val="Tahoma"/>
            <family val="2"/>
          </rPr>
          <t xml:space="preserve">
Inter-relationships and options report final payment - £3500
</t>
        </r>
        <r>
          <rPr>
            <b/>
            <sz val="9"/>
            <color indexed="81"/>
            <rFont val="Tahoma"/>
            <family val="2"/>
          </rPr>
          <t xml:space="preserve">
Lanpro invoice 009972</t>
        </r>
        <r>
          <rPr>
            <sz val="9"/>
            <color indexed="81"/>
            <rFont val="Tahoma"/>
            <family val="2"/>
          </rPr>
          <t xml:space="preserve">
Planning;
• Preparation and submission of Deadline 4;
• Preparation and attendance for Issue Specific Hearings; and
• Ongoing Project Management.
£62228
Volterra - socio-economic recharge - £7065
Hearing expenses - 189.62
£69482.62</t>
        </r>
      </text>
    </comment>
    <comment ref="BA14" authorId="0" shapeId="0" xr:uid="{A5594D47-CFD2-4A59-BD4A-AA3DE18BDA85}">
      <text>
        <r>
          <rPr>
            <b/>
            <sz val="9"/>
            <color indexed="81"/>
            <rFont val="Tahoma"/>
            <family val="2"/>
          </rPr>
          <t>Eve Browning:</t>
        </r>
        <r>
          <rPr>
            <sz val="9"/>
            <color indexed="81"/>
            <rFont val="Tahoma"/>
            <family val="2"/>
          </rPr>
          <t xml:space="preserve">
</t>
        </r>
        <r>
          <rPr>
            <b/>
            <sz val="9"/>
            <color indexed="81"/>
            <rFont val="Tahoma"/>
            <family val="2"/>
          </rPr>
          <t>Invoice 010198</t>
        </r>
        <r>
          <rPr>
            <sz val="9"/>
            <color indexed="81"/>
            <rFont val="Tahoma"/>
            <family val="2"/>
          </rPr>
          <t xml:space="preserve">
Planning;
- Ongoing examination preparation for D5 and rescheduled hearing, responding to ExA questions, 
SoCGs, D4 and D4a submission responses.
£49515
</t>
        </r>
        <r>
          <rPr>
            <b/>
            <sz val="9"/>
            <color indexed="81"/>
            <rFont val="Tahoma"/>
            <family val="2"/>
          </rPr>
          <t xml:space="preserve">
Invoice 010213</t>
        </r>
        <r>
          <rPr>
            <sz val="9"/>
            <color indexed="81"/>
            <rFont val="Tahoma"/>
            <family val="2"/>
          </rPr>
          <t xml:space="preserve">
Planning: additional hearing
• Attendance of Jane, Stephen and Tara: £6197.00</t>
        </r>
      </text>
    </comment>
    <comment ref="BB14" authorId="0" shapeId="0" xr:uid="{C8CEB400-202C-4746-8AFD-BEC0BB182D77}">
      <text>
        <r>
          <rPr>
            <b/>
            <sz val="9"/>
            <color indexed="81"/>
            <rFont val="Tahoma"/>
            <family val="2"/>
          </rPr>
          <t>Eve Browning:</t>
        </r>
        <r>
          <rPr>
            <sz val="9"/>
            <color indexed="81"/>
            <rFont val="Tahoma"/>
            <family val="2"/>
          </rPr>
          <t xml:space="preserve">
</t>
        </r>
        <r>
          <rPr>
            <b/>
            <sz val="9"/>
            <color indexed="81"/>
            <rFont val="Tahoma"/>
            <family val="2"/>
          </rPr>
          <t>Invoice 010455</t>
        </r>
        <r>
          <rPr>
            <sz val="9"/>
            <color indexed="81"/>
            <rFont val="Tahoma"/>
            <family val="2"/>
          </rPr>
          <t xml:space="preserve">
Expenses Invoice:
March - April
- Hearing Expenses (Mileage, parking, hotels &amp; subsistence
£998.93
</t>
        </r>
        <r>
          <rPr>
            <b/>
            <sz val="9"/>
            <color indexed="81"/>
            <rFont val="Tahoma"/>
            <family val="2"/>
          </rPr>
          <t>Invoice 010428</t>
        </r>
        <r>
          <rPr>
            <sz val="9"/>
            <color indexed="81"/>
            <rFont val="Tahoma"/>
            <family val="2"/>
          </rPr>
          <t xml:space="preserve">
Ongoing Planning, EIA and PM support around preparation for Deadlines 5 and 6, liaising with the team, clients, Pinsents to input into required documentation as part of the submission, as well as ongoing meetings and attendance at Change Application Hearing on 23rd April.
£49515</t>
        </r>
      </text>
    </comment>
    <comment ref="BC14" authorId="0" shapeId="0" xr:uid="{9DDF93FF-43FF-4D73-A291-0A10FE411F9A}">
      <text>
        <r>
          <rPr>
            <b/>
            <sz val="9"/>
            <color indexed="81"/>
            <rFont val="Tahoma"/>
            <family val="2"/>
          </rPr>
          <t>Eve Browning:</t>
        </r>
        <r>
          <rPr>
            <sz val="9"/>
            <color indexed="81"/>
            <rFont val="Tahoma"/>
            <family val="2"/>
          </rPr>
          <t xml:space="preserve">
Invoice 010671
Planning;
- Final examination submission co-ordination
- Project management
- Liaison with client and lawyers
£8798</t>
        </r>
      </text>
    </comment>
    <comment ref="BD14" authorId="0" shapeId="0" xr:uid="{B02E97FB-ADB5-4E9E-9330-A2EFB665A0B4}">
      <text>
        <r>
          <rPr>
            <b/>
            <sz val="9"/>
            <color indexed="81"/>
            <rFont val="Tahoma"/>
            <family val="2"/>
          </rPr>
          <t>Eve Browning:</t>
        </r>
        <r>
          <rPr>
            <sz val="9"/>
            <color indexed="81"/>
            <rFont val="Tahoma"/>
            <family val="2"/>
          </rPr>
          <t xml:space="preserve">
Invoice 010879
Deer Park changes
• Change of Work Plans (allow for up to 4 hours); 
• Liaise with Historic England to agree the amended details (allow for up to 2 hours); and 
• Review plans and coordination by planning team (allow for up to 3 hours). 
£1000
Discharge of conditions work - £3018.75
Late Rule 17 request for additional infomation from ExA regarding Deer Park,  preparatino and coordination of without prejudice document, SoCGs for deadline 7 - £7459.25
Total £11478</t>
        </r>
      </text>
    </comment>
    <comment ref="BE14" authorId="0" shapeId="0" xr:uid="{55D9A71C-2BCF-449B-BC46-F5E509BF5D17}">
      <text>
        <r>
          <rPr>
            <b/>
            <sz val="9"/>
            <color indexed="81"/>
            <rFont val="Tahoma"/>
            <charset val="1"/>
          </rPr>
          <t>Eve Browning:</t>
        </r>
        <r>
          <rPr>
            <sz val="9"/>
            <color indexed="81"/>
            <rFont val="Tahoma"/>
            <charset val="1"/>
          </rPr>
          <t xml:space="preserve">
Coordinating, and compiling the fee quotes on requirement discharge for West Burton - £1237.50</t>
        </r>
      </text>
    </comment>
    <comment ref="AA16" authorId="0" shapeId="0" xr:uid="{0B690C84-E383-4AFD-837D-D91C6E227288}">
      <text>
        <r>
          <rPr>
            <b/>
            <sz val="9"/>
            <color indexed="81"/>
            <rFont val="Tahoma"/>
            <family val="2"/>
          </rPr>
          <t>Eve Browning:</t>
        </r>
        <r>
          <rPr>
            <sz val="9"/>
            <color indexed="81"/>
            <rFont val="Tahoma"/>
            <family val="2"/>
          </rPr>
          <t xml:space="preserve">
Invoice number 005235</t>
        </r>
      </text>
    </comment>
    <comment ref="AC16" authorId="0" shapeId="0" xr:uid="{F200EC8B-E9B8-455C-85A2-FD6F9D59D972}">
      <text>
        <r>
          <rPr>
            <b/>
            <sz val="9"/>
            <color indexed="81"/>
            <rFont val="Tahoma"/>
            <family val="2"/>
          </rPr>
          <t>Eve Browning:</t>
        </r>
        <r>
          <rPr>
            <sz val="9"/>
            <color indexed="81"/>
            <rFont val="Tahoma"/>
            <family val="2"/>
          </rPr>
          <t xml:space="preserve">
Invoice 005477</t>
        </r>
      </text>
    </comment>
    <comment ref="AD16" authorId="0" shapeId="0" xr:uid="{9AC76D1F-49AB-47FC-A7FB-5F48033BD4D9}">
      <text>
        <r>
          <rPr>
            <b/>
            <sz val="9"/>
            <color indexed="81"/>
            <rFont val="Tahoma"/>
            <family val="2"/>
          </rPr>
          <t>Eve Browning:</t>
        </r>
        <r>
          <rPr>
            <sz val="9"/>
            <color indexed="81"/>
            <rFont val="Tahoma"/>
            <family val="2"/>
          </rPr>
          <t xml:space="preserve">
Invoice 005645</t>
        </r>
      </text>
    </comment>
    <comment ref="AE16" authorId="0" shapeId="0" xr:uid="{875E891E-A27E-461A-A0FC-43BFD74F445A}">
      <text>
        <r>
          <rPr>
            <b/>
            <sz val="9"/>
            <color indexed="81"/>
            <rFont val="Tahoma"/>
            <family val="2"/>
          </rPr>
          <t>Eve Browning:</t>
        </r>
        <r>
          <rPr>
            <sz val="9"/>
            <color indexed="81"/>
            <rFont val="Tahoma"/>
            <family val="2"/>
          </rPr>
          <t xml:space="preserve">
Invoice 005950 
PEIR/WSI/Environmental statement</t>
        </r>
      </text>
    </comment>
    <comment ref="AF16" authorId="0" shapeId="0" xr:uid="{8F60B4F2-7174-4EB0-B664-8EE234F67ADA}">
      <text>
        <r>
          <rPr>
            <b/>
            <sz val="9"/>
            <color indexed="81"/>
            <rFont val="Tahoma"/>
            <family val="2"/>
          </rPr>
          <t>Eve Browning:</t>
        </r>
        <r>
          <rPr>
            <sz val="9"/>
            <color indexed="81"/>
            <rFont val="Tahoma"/>
            <family val="2"/>
          </rPr>
          <t xml:space="preserve">
</t>
        </r>
        <r>
          <rPr>
            <b/>
            <sz val="9"/>
            <color indexed="81"/>
            <rFont val="Tahoma"/>
            <family val="2"/>
          </rPr>
          <t xml:space="preserve">Invoice 006031
</t>
        </r>
        <r>
          <rPr>
            <sz val="9"/>
            <color indexed="81"/>
            <rFont val="Tahoma"/>
            <family val="2"/>
          </rPr>
          <t>- ES, consultancy, WSI, expenses</t>
        </r>
      </text>
    </comment>
    <comment ref="AG16" authorId="0" shapeId="0" xr:uid="{191A4399-3233-4EF5-9751-F63279188824}">
      <text>
        <r>
          <rPr>
            <b/>
            <sz val="9"/>
            <color indexed="81"/>
            <rFont val="Tahoma"/>
            <family val="2"/>
          </rPr>
          <t>Eve Browning:</t>
        </r>
        <r>
          <rPr>
            <sz val="9"/>
            <color indexed="81"/>
            <rFont val="Tahoma"/>
            <family val="2"/>
          </rPr>
          <t xml:space="preserve">
Invoice 006198
ES, Consultancy, WSI</t>
        </r>
      </text>
    </comment>
    <comment ref="AH16" authorId="0" shapeId="0" xr:uid="{A80BEE08-22E2-45FC-A093-6C57C1D1342D}">
      <text>
        <r>
          <rPr>
            <b/>
            <sz val="9"/>
            <color indexed="81"/>
            <rFont val="Tahoma"/>
            <family val="2"/>
          </rPr>
          <t>Eve Browning:</t>
        </r>
        <r>
          <rPr>
            <sz val="9"/>
            <color indexed="81"/>
            <rFont val="Tahoma"/>
            <family val="2"/>
          </rPr>
          <t xml:space="preserve">
Lanpro invoice 006289
Alison Deegan aerial photo analysis
Lanpro invoice 006302
Desk Based Assessment £3,000.00
Consultancy £2,500.00
Heritage Statement scoping £450.00 
Environmental Statement Chapter £2,750.00 
Written Scheme of Investigation £2,250.00
</t>
        </r>
      </text>
    </comment>
    <comment ref="AI16" authorId="0" shapeId="0" xr:uid="{DC0EAE48-7755-49D7-848F-CA27746ADE20}">
      <text>
        <r>
          <rPr>
            <b/>
            <sz val="9"/>
            <color indexed="81"/>
            <rFont val="Tahoma"/>
            <family val="2"/>
          </rPr>
          <t>Eve Browning:</t>
        </r>
        <r>
          <rPr>
            <sz val="9"/>
            <color indexed="81"/>
            <rFont val="Tahoma"/>
            <family val="2"/>
          </rPr>
          <t xml:space="preserve">
Invoice 006648
- Consultancy £2,500.00 
- Environmental Statement £2,500.00 
- Written Scheme of Investigation £1,000.00 
- AP &amp; LiDAR Interpretation £3,000.00 </t>
        </r>
      </text>
    </comment>
    <comment ref="AJ16" authorId="0" shapeId="0" xr:uid="{7FBC6895-EAD6-4D14-8F61-9F44F6547F8A}">
      <text>
        <r>
          <rPr>
            <b/>
            <sz val="9"/>
            <color indexed="81"/>
            <rFont val="Tahoma"/>
            <family val="2"/>
          </rPr>
          <t>Eve Browning:</t>
        </r>
        <r>
          <rPr>
            <sz val="9"/>
            <color indexed="81"/>
            <rFont val="Tahoma"/>
            <family val="2"/>
          </rPr>
          <t xml:space="preserve">
</t>
        </r>
        <r>
          <rPr>
            <b/>
            <sz val="9"/>
            <color indexed="81"/>
            <rFont val="Tahoma"/>
            <family val="2"/>
          </rPr>
          <t>Invoice 006829</t>
        </r>
        <r>
          <rPr>
            <sz val="9"/>
            <color indexed="81"/>
            <rFont val="Tahoma"/>
            <family val="2"/>
          </rPr>
          <t xml:space="preserve">
AP and LiDAR Interpretation £3,000.00
Consultancy £650.00 
Environmental Statement £440.00</t>
        </r>
      </text>
    </comment>
    <comment ref="AK16" authorId="0" shapeId="0" xr:uid="{CC8007B8-5B9F-4067-A353-2BD51AF0DD6E}">
      <text>
        <r>
          <rPr>
            <b/>
            <sz val="9"/>
            <color indexed="81"/>
            <rFont val="Tahoma"/>
            <family val="2"/>
          </rPr>
          <t>Eve Browning:</t>
        </r>
        <r>
          <rPr>
            <sz val="9"/>
            <color indexed="81"/>
            <rFont val="Tahoma"/>
            <family val="2"/>
          </rPr>
          <t xml:space="preserve">
Invoice 007027
Consultancy - £1000
DBAs - £432.5
ES - £1095</t>
        </r>
      </text>
    </comment>
    <comment ref="AM16" authorId="0" shapeId="0" xr:uid="{CF01FCE1-A0AC-45DC-97E6-63A00E104A07}">
      <text>
        <r>
          <rPr>
            <b/>
            <sz val="9"/>
            <color indexed="81"/>
            <rFont val="Tahoma"/>
            <family val="2"/>
          </rPr>
          <t>Eve Browning:</t>
        </r>
        <r>
          <rPr>
            <sz val="9"/>
            <color indexed="81"/>
            <rFont val="Tahoma"/>
            <family val="2"/>
          </rPr>
          <t xml:space="preserve">
Invoice 007394
Consultancy £260.00 
Desk Based Assessments £7,493.75 
Environmental Statement £10,732.50 
Heritage Statement £440.00
Written Scheme of Investigation £1,606.25</t>
        </r>
      </text>
    </comment>
    <comment ref="AN16" authorId="0" shapeId="0" xr:uid="{25D25B89-37D8-4B48-9FB0-04D702DA6F7E}">
      <text>
        <r>
          <rPr>
            <b/>
            <sz val="9"/>
            <color indexed="81"/>
            <rFont val="Tahoma"/>
            <family val="2"/>
          </rPr>
          <t>Eve Browning:</t>
        </r>
        <r>
          <rPr>
            <sz val="9"/>
            <color indexed="81"/>
            <rFont val="Tahoma"/>
            <family val="2"/>
          </rPr>
          <t xml:space="preserve">
</t>
        </r>
        <r>
          <rPr>
            <b/>
            <sz val="9"/>
            <color indexed="81"/>
            <rFont val="Tahoma"/>
            <family val="2"/>
          </rPr>
          <t>Invoice 007619</t>
        </r>
        <r>
          <rPr>
            <sz val="9"/>
            <color indexed="81"/>
            <rFont val="Tahoma"/>
            <family val="2"/>
          </rPr>
          <t xml:space="preserve">
Consultancy £2,735.00
Desk Based Assessments £9,327.50
Environmental Statement £13,420.00
Heritage Statement £28,205.00
Written Scheme of Investigation £2,025.00
</t>
        </r>
        <r>
          <rPr>
            <b/>
            <sz val="9"/>
            <color indexed="81"/>
            <rFont val="Tahoma"/>
            <family val="2"/>
          </rPr>
          <t xml:space="preserve">Invoice 007697
</t>
        </r>
        <r>
          <rPr>
            <sz val="9"/>
            <color indexed="81"/>
            <rFont val="Tahoma"/>
            <family val="2"/>
          </rPr>
          <t>Work up to submission - £26,720</t>
        </r>
      </text>
    </comment>
    <comment ref="AP16" authorId="0" shapeId="0" xr:uid="{B37E2EAA-60E1-4D11-A20F-893EA0131BED}">
      <text>
        <r>
          <rPr>
            <b/>
            <sz val="9"/>
            <color indexed="81"/>
            <rFont val="Tahoma"/>
            <family val="2"/>
          </rPr>
          <t>Eve Browning:</t>
        </r>
        <r>
          <rPr>
            <sz val="9"/>
            <color indexed="81"/>
            <rFont val="Tahoma"/>
            <family val="2"/>
          </rPr>
          <t xml:space="preserve">
Invoice 8016
Pre-examination works - £7900</t>
        </r>
      </text>
    </comment>
    <comment ref="AQ16" authorId="0" shapeId="0" xr:uid="{5C7D9DC5-9325-4572-B8F4-7BBF6AF4D566}">
      <text>
        <r>
          <rPr>
            <b/>
            <sz val="9"/>
            <color indexed="81"/>
            <rFont val="Tahoma"/>
            <family val="2"/>
          </rPr>
          <t>Eve Browning:</t>
        </r>
        <r>
          <rPr>
            <sz val="9"/>
            <color indexed="81"/>
            <rFont val="Tahoma"/>
            <family val="2"/>
          </rPr>
          <t xml:space="preserve">
Invoice 008272
Archaeology/heritage pre-examination works - £7500</t>
        </r>
      </text>
    </comment>
    <comment ref="AR16" authorId="0" shapeId="0" xr:uid="{7D90DC2D-60C2-4D6D-80A7-3D4EA4E7E055}">
      <text>
        <r>
          <rPr>
            <b/>
            <sz val="9"/>
            <color indexed="81"/>
            <rFont val="Tahoma"/>
            <family val="2"/>
          </rPr>
          <t>Eve Browning:</t>
        </r>
        <r>
          <rPr>
            <sz val="9"/>
            <color indexed="81"/>
            <rFont val="Tahoma"/>
            <family val="2"/>
          </rPr>
          <t xml:space="preserve">
</t>
        </r>
        <r>
          <rPr>
            <b/>
            <sz val="9"/>
            <color indexed="81"/>
            <rFont val="Tahoma"/>
            <family val="2"/>
          </rPr>
          <t>Invoice 008340</t>
        </r>
        <r>
          <rPr>
            <sz val="9"/>
            <color indexed="81"/>
            <rFont val="Tahoma"/>
            <family val="2"/>
          </rPr>
          <t xml:space="preserve">
Archaeology/heritage pre-examination works - £3545.25
</t>
        </r>
        <r>
          <rPr>
            <b/>
            <sz val="9"/>
            <color indexed="81"/>
            <rFont val="Tahoma"/>
            <family val="2"/>
          </rPr>
          <t xml:space="preserve">
</t>
        </r>
      </text>
    </comment>
    <comment ref="AS16" authorId="0" shapeId="0" xr:uid="{EA8834AC-99A9-476B-AED6-463D54CBA2EB}">
      <text>
        <r>
          <rPr>
            <b/>
            <sz val="9"/>
            <color indexed="81"/>
            <rFont val="Tahoma"/>
            <family val="2"/>
          </rPr>
          <t>Eve Browning:</t>
        </r>
        <r>
          <rPr>
            <sz val="9"/>
            <color indexed="81"/>
            <rFont val="Tahoma"/>
            <family val="2"/>
          </rPr>
          <t xml:space="preserve">
Invoice 008699
Archaeology/heritage pre-examination works - £11369.75</t>
        </r>
      </text>
    </comment>
    <comment ref="AT16" authorId="0" shapeId="0" xr:uid="{0EC0EDB5-1CAA-4784-8A6D-7D6C67F4D256}">
      <text>
        <r>
          <rPr>
            <b/>
            <sz val="9"/>
            <color indexed="81"/>
            <rFont val="Tahoma"/>
            <family val="2"/>
          </rPr>
          <t>Eve Browning:</t>
        </r>
        <r>
          <rPr>
            <sz val="9"/>
            <color indexed="81"/>
            <rFont val="Tahoma"/>
            <family val="2"/>
          </rPr>
          <t xml:space="preserve">
Invoice 008758
General Project Management (i.e. meetings, comms with Historic England)
Statements of Common Ground
Responses to Relevant Representations
Viewpoint locations for the Inspector 
Review of issued documents (i.e. Rule 6)
Review of other schemes (Tillbridge / Gate Burton)
Review of submitted HE documents
Consolidation / review of counter arguments (i.e. archaeology / heritage issues)
£7982</t>
        </r>
      </text>
    </comment>
    <comment ref="AU16" authorId="0" shapeId="0" xr:uid="{9F5068F6-804B-498F-AAF7-3F509FBD9398}">
      <text>
        <r>
          <rPr>
            <b/>
            <sz val="9"/>
            <color indexed="81"/>
            <rFont val="Tahoma"/>
            <family val="2"/>
          </rPr>
          <t>Eve Browning:</t>
        </r>
        <r>
          <rPr>
            <sz val="9"/>
            <color indexed="81"/>
            <rFont val="Tahoma"/>
            <family val="2"/>
          </rPr>
          <t xml:space="preserve">
Invoice 008970
- General Project Management (i.e. meetings, comms with Historic England)
- Statements of Common Ground
- Responses to Relevant Representations
- Viewpoint locations for the Inspector 
- Review of other schemes
- Review of Report on the interrelationship with other NSIPs
- Review of comparable designated heritage sites (i.e. Ravensdale Deer Park, Derbyshire
£7250</t>
        </r>
      </text>
    </comment>
    <comment ref="AV16" authorId="0" shapeId="0" xr:uid="{55E83481-D610-4256-9DCF-B655A0843D61}">
      <text>
        <r>
          <rPr>
            <b/>
            <sz val="9"/>
            <color indexed="81"/>
            <rFont val="Tahoma"/>
            <family val="2"/>
          </rPr>
          <t>Eve Browning:</t>
        </r>
        <r>
          <rPr>
            <sz val="9"/>
            <color indexed="81"/>
            <rFont val="Tahoma"/>
            <family val="2"/>
          </rPr>
          <t xml:space="preserve">
Invoice 009172
- General Project Management (i.e. meetings, comms with Historic England)
- Statements of Common Ground
- Responses to Relevant Representations
- Viewpoint locations for the Inspector 
- Review of other schemes
- Review of Report on the interrelationship with other NSIPs
Archaeology/Heritage Examination Works £6,410.00</t>
        </r>
      </text>
    </comment>
    <comment ref="AW16" authorId="0" shapeId="0" xr:uid="{84326A80-1DDA-4A4E-980C-63798AF9F0C5}">
      <text>
        <r>
          <rPr>
            <b/>
            <sz val="9"/>
            <color indexed="81"/>
            <rFont val="Tahoma"/>
            <family val="2"/>
          </rPr>
          <t>Eve Browning:</t>
        </r>
        <r>
          <rPr>
            <sz val="9"/>
            <color indexed="81"/>
            <rFont val="Tahoma"/>
            <family val="2"/>
          </rPr>
          <t xml:space="preserve">
Invoice  009373
Historic Environment;
- General Project Management
- Liaison with Lincs LPA
- Liaison with Notts LPA
- SoCG
- Responses to Relevant Representations
- Issue specific hearing preparation and attendance
- Review of ES documents
£22155</t>
        </r>
      </text>
    </comment>
    <comment ref="AX16" authorId="0" shapeId="0" xr:uid="{4D4A3D82-ED37-443C-92EC-E770F52EE202}">
      <text>
        <r>
          <rPr>
            <b/>
            <sz val="9"/>
            <color indexed="81"/>
            <rFont val="Tahoma"/>
            <family val="2"/>
          </rPr>
          <t>Eve Browning:</t>
        </r>
        <r>
          <rPr>
            <sz val="9"/>
            <color indexed="81"/>
            <rFont val="Tahoma"/>
            <family val="2"/>
          </rPr>
          <t xml:space="preserve">
Invoice 009557
- General project management 
- Deadline 2 documents
- LIR / RR responses
- ExQ1
- Liaison with Lincs LPA
£15120
Expenses - £1463.24
Total £16583.24</t>
        </r>
      </text>
    </comment>
    <comment ref="AY16" authorId="0" shapeId="0" xr:uid="{0787A1E7-8E94-4D55-8F85-671309D8A5F2}">
      <text>
        <r>
          <rPr>
            <b/>
            <sz val="9"/>
            <color indexed="81"/>
            <rFont val="Tahoma"/>
            <family val="2"/>
          </rPr>
          <t>Eve Browning:</t>
        </r>
        <r>
          <rPr>
            <sz val="9"/>
            <color indexed="81"/>
            <rFont val="Tahoma"/>
            <family val="2"/>
          </rPr>
          <t xml:space="preserve">
Invoice 009753 
Historic Environment;
- General project management
- Change of application report
- Prehearing preparation
- ExQ1 RR
Archaeology/Heritage Examination Works £12,515.00</t>
        </r>
      </text>
    </comment>
    <comment ref="AZ16" authorId="0" shapeId="0" xr:uid="{81270B7B-8466-45FE-A287-EC0BFEC9F202}">
      <text>
        <r>
          <rPr>
            <b/>
            <sz val="9"/>
            <color indexed="81"/>
            <rFont val="Tahoma"/>
            <family val="2"/>
          </rPr>
          <t>Eve Browning:</t>
        </r>
        <r>
          <rPr>
            <sz val="9"/>
            <color indexed="81"/>
            <rFont val="Tahoma"/>
            <family val="2"/>
          </rPr>
          <t xml:space="preserve">
Invoice 009970
Historic Environment;
- General Project Management
- WSIs
- RRs
- CHPSs / SoCG
- Hearing
£17750
Expenses - £510.95</t>
        </r>
      </text>
    </comment>
    <comment ref="BA16" authorId="0" shapeId="0" xr:uid="{12B9EC62-78EC-4921-892E-8D316F37F6F6}">
      <text>
        <r>
          <rPr>
            <b/>
            <sz val="9"/>
            <color indexed="81"/>
            <rFont val="Tahoma"/>
            <family val="2"/>
          </rPr>
          <t>Eve Browning:</t>
        </r>
        <r>
          <rPr>
            <sz val="9"/>
            <color indexed="81"/>
            <rFont val="Tahoma"/>
            <family val="2"/>
          </rPr>
          <t xml:space="preserve">
</t>
        </r>
        <r>
          <rPr>
            <b/>
            <sz val="9"/>
            <color indexed="81"/>
            <rFont val="Tahoma"/>
            <family val="2"/>
          </rPr>
          <t>Invoice 010200</t>
        </r>
        <r>
          <rPr>
            <sz val="9"/>
            <color indexed="81"/>
            <rFont val="Tahoma"/>
            <family val="2"/>
          </rPr>
          <t xml:space="preserve">
Historic Environment;
Prep for deadline 5.
Response to examiners questions
Statement of Common Ground
£8875
</t>
        </r>
        <r>
          <rPr>
            <b/>
            <sz val="9"/>
            <color indexed="81"/>
            <rFont val="Tahoma"/>
            <family val="2"/>
          </rPr>
          <t xml:space="preserve">Invoice 010213
</t>
        </r>
        <r>
          <rPr>
            <sz val="9"/>
            <color indexed="81"/>
            <rFont val="Tahoma"/>
            <family val="2"/>
          </rPr>
          <t>Heritage: additional hearing
• Preparation and Attendance of Alice and Emily: £5852.5</t>
        </r>
      </text>
    </comment>
    <comment ref="BB16" authorId="0" shapeId="0" xr:uid="{29B8F8A2-0310-4298-8E08-542DBFAC50E1}">
      <text>
        <r>
          <rPr>
            <b/>
            <sz val="9"/>
            <color indexed="81"/>
            <rFont val="Tahoma"/>
            <family val="2"/>
          </rPr>
          <t>Eve Browning:</t>
        </r>
        <r>
          <rPr>
            <sz val="9"/>
            <color indexed="81"/>
            <rFont val="Tahoma"/>
            <family val="2"/>
          </rPr>
          <t xml:space="preserve">
Invoice 010430
Historic Environment;
Update to WSIs
Deadline 5 / 6 submissions
HE / LCC /NCC /WLDC SoCG / Position Statements
ExA second written questions
Closing Statements
£8875</t>
        </r>
      </text>
    </comment>
    <comment ref="BC16" authorId="0" shapeId="0" xr:uid="{D32A86A7-91AF-4370-9B66-27AA32309591}">
      <text>
        <r>
          <rPr>
            <b/>
            <sz val="9"/>
            <color indexed="81"/>
            <rFont val="Tahoma"/>
            <family val="2"/>
          </rPr>
          <t>Eve Browning:</t>
        </r>
        <r>
          <rPr>
            <sz val="9"/>
            <color indexed="81"/>
            <rFont val="Tahoma"/>
            <family val="2"/>
          </rPr>
          <t xml:space="preserve">
Invoice 010669
Historic Environment;
- D6 submissions / Rule 17
- Project review
- West Burton 3 – Stow Park post determination work
- Liaison with HE
£4375</t>
        </r>
      </text>
    </comment>
    <comment ref="J17" authorId="0" shapeId="0" xr:uid="{728CEFFA-6D3E-4D8F-B91D-59834CB63519}">
      <text>
        <r>
          <rPr>
            <b/>
            <sz val="9"/>
            <color indexed="81"/>
            <rFont val="Tahoma"/>
            <family val="2"/>
          </rPr>
          <t>Eve Browning:</t>
        </r>
        <r>
          <rPr>
            <sz val="9"/>
            <color indexed="81"/>
            <rFont val="Tahoma"/>
            <family val="2"/>
          </rPr>
          <t xml:space="preserve">
SES quote, only complete late October, half of total quote of £58.2k</t>
        </r>
      </text>
    </comment>
    <comment ref="K17" authorId="0" shapeId="0" xr:uid="{2557CEAA-D91A-42BA-B480-6FBE07D94431}">
      <text>
        <r>
          <rPr>
            <b/>
            <sz val="9"/>
            <color indexed="81"/>
            <rFont val="Tahoma"/>
            <family val="2"/>
          </rPr>
          <t>Eve Browning:</t>
        </r>
        <r>
          <rPr>
            <sz val="9"/>
            <color indexed="81"/>
            <rFont val="Tahoma"/>
            <family val="2"/>
          </rPr>
          <t xml:space="preserve">
Half of total quote from Ceres Rural - can complete by mid-August, using digger to dig soil pits, and includes all expenses.
Revising quote downwards if third parties used</t>
        </r>
      </text>
    </comment>
    <comment ref="L17" authorId="0" shapeId="0" xr:uid="{90D5B897-4067-4ADA-AADF-D74572428923}">
      <text>
        <r>
          <rPr>
            <b/>
            <sz val="9"/>
            <color indexed="81"/>
            <rFont val="Tahoma"/>
            <family val="2"/>
          </rPr>
          <t>Eve Browning:</t>
        </r>
        <r>
          <rPr>
            <sz val="9"/>
            <color indexed="81"/>
            <rFont val="Tahoma"/>
            <family val="2"/>
          </rPr>
          <t xml:space="preserve">
Quote from LRA - six month lead time for completion</t>
        </r>
      </text>
    </comment>
    <comment ref="M17" authorId="0" shapeId="0" xr:uid="{6B5CA7B8-8882-4CCF-A6CD-9206FF6E07AF}">
      <text>
        <r>
          <rPr>
            <b/>
            <sz val="9"/>
            <color indexed="81"/>
            <rFont val="Tahoma"/>
            <family val="2"/>
          </rPr>
          <t>Eve Browning:</t>
        </r>
        <r>
          <rPr>
            <sz val="9"/>
            <color indexed="81"/>
            <rFont val="Tahoma"/>
            <family val="2"/>
          </rPr>
          <t xml:space="preserve">
Amet Property. Includes £1500 expenses. One report available early August, and one early Sept
</t>
        </r>
      </text>
    </comment>
    <comment ref="Z17" authorId="0" shapeId="0" xr:uid="{89395406-FC99-42AB-A4F1-C6662358537D}">
      <text>
        <r>
          <rPr>
            <b/>
            <sz val="9"/>
            <color indexed="81"/>
            <rFont val="Tahoma"/>
            <family val="2"/>
          </rPr>
          <t>Eve Browning:</t>
        </r>
        <r>
          <rPr>
            <sz val="9"/>
            <color indexed="81"/>
            <rFont val="Tahoma"/>
            <family val="2"/>
          </rPr>
          <t xml:space="preserve">
INV-0896</t>
        </r>
      </text>
    </comment>
    <comment ref="AA17" authorId="0" shapeId="0" xr:uid="{F25239D5-7373-4CDB-ADA8-16C54F6B7231}">
      <text>
        <r>
          <rPr>
            <b/>
            <sz val="9"/>
            <color indexed="81"/>
            <rFont val="Tahoma"/>
            <family val="2"/>
          </rPr>
          <t>Eve Browning:</t>
        </r>
        <r>
          <rPr>
            <sz val="9"/>
            <color indexed="81"/>
            <rFont val="Tahoma"/>
            <family val="2"/>
          </rPr>
          <t xml:space="preserve">
WB substation site INV-0909</t>
        </r>
      </text>
    </comment>
    <comment ref="AD17" authorId="0" shapeId="0" xr:uid="{F557AD1C-E19C-4594-9FF9-9B2CE39EAED6}">
      <text>
        <r>
          <rPr>
            <b/>
            <sz val="9"/>
            <color indexed="81"/>
            <rFont val="Tahoma"/>
            <family val="2"/>
          </rPr>
          <t>Eve Browning:</t>
        </r>
        <r>
          <rPr>
            <sz val="9"/>
            <color indexed="81"/>
            <rFont val="Tahoma"/>
            <family val="2"/>
          </rPr>
          <t xml:space="preserve">
Additional lab sampling and report amending
Invoice INV-0984</t>
        </r>
      </text>
    </comment>
    <comment ref="AE17" authorId="0" shapeId="0" xr:uid="{CAE7C435-365B-4239-BEB2-2C34D8DB67DC}">
      <text>
        <r>
          <rPr>
            <b/>
            <sz val="9"/>
            <color indexed="81"/>
            <rFont val="Tahoma"/>
            <family val="2"/>
          </rPr>
          <t>Eve Browning:</t>
        </r>
        <r>
          <rPr>
            <sz val="9"/>
            <color indexed="81"/>
            <rFont val="Tahoma"/>
            <family val="2"/>
          </rPr>
          <t xml:space="preserve">
Daniel Baird peer review
Invoice INV-0078</t>
        </r>
      </text>
    </comment>
    <comment ref="AN18" authorId="0" shapeId="0" xr:uid="{D4F13A0F-0344-48B4-A276-DD79E05795C9}">
      <text>
        <r>
          <rPr>
            <b/>
            <sz val="9"/>
            <color indexed="81"/>
            <rFont val="Tahoma"/>
            <family val="2"/>
          </rPr>
          <t>Eve Browning:</t>
        </r>
        <r>
          <rPr>
            <sz val="9"/>
            <color indexed="81"/>
            <rFont val="Tahoma"/>
            <family val="2"/>
          </rPr>
          <t xml:space="preserve">
Invoice INV-0091
Farming circumstances, ES chapter and team meetings - £4000</t>
        </r>
      </text>
    </comment>
    <comment ref="J19" authorId="0" shapeId="0" xr:uid="{F9C5C4C0-7494-4A3D-A3DD-E6AAD0A49BD5}">
      <text>
        <r>
          <rPr>
            <b/>
            <sz val="9"/>
            <color indexed="81"/>
            <rFont val="Tahoma"/>
            <family val="2"/>
          </rPr>
          <t>Eve Browning:</t>
        </r>
        <r>
          <rPr>
            <sz val="9"/>
            <color indexed="81"/>
            <rFont val="Tahoma"/>
            <family val="2"/>
          </rPr>
          <t xml:space="preserve">
Sensat.Note: £2225 per month to be added for platform from month 4
£12000 added for access point surveys + + £3750 added for 3D CAD production + £17590 survey for WB substation site and access points</t>
        </r>
      </text>
    </comment>
    <comment ref="K19" authorId="0" shapeId="0" xr:uid="{8751A394-8D6A-408E-B402-34C3ED9AA1E6}">
      <text>
        <r>
          <rPr>
            <b/>
            <sz val="9"/>
            <color indexed="81"/>
            <rFont val="Tahoma"/>
            <family val="2"/>
          </rPr>
          <t>Eve Browning:</t>
        </r>
        <r>
          <rPr>
            <sz val="9"/>
            <color indexed="81"/>
            <rFont val="Tahoma"/>
            <family val="2"/>
          </rPr>
          <t xml:space="preserve">
Quote from ALS. Drone survey to define project boundaries, site levels and salient features which might affect the design of the
project.
Further surveys may be required at a later date to help complete highways design or inform more detailed
arboricultural/habitat assessments.</t>
        </r>
      </text>
    </comment>
    <comment ref="L19" authorId="0" shapeId="0" xr:uid="{F44A54CC-563D-4D4B-B853-CA0F0CB76800}">
      <text>
        <r>
          <rPr>
            <b/>
            <sz val="9"/>
            <color indexed="81"/>
            <rFont val="Tahoma"/>
            <family val="2"/>
          </rPr>
          <t>Eve Browning:</t>
        </r>
        <r>
          <rPr>
            <sz val="9"/>
            <color indexed="81"/>
            <rFont val="Tahoma"/>
            <family val="2"/>
          </rPr>
          <t xml:space="preserve">
Half of total quote from Flythru, including updated costs to process output into dwg files</t>
        </r>
      </text>
    </comment>
    <comment ref="M19" authorId="0" shapeId="0" xr:uid="{4F1E8E0A-DDB2-4A25-A070-6D7291452927}">
      <text>
        <r>
          <rPr>
            <b/>
            <sz val="9"/>
            <color indexed="81"/>
            <rFont val="Tahoma"/>
            <family val="2"/>
          </rPr>
          <t>Eve Browning:</t>
        </r>
        <r>
          <rPr>
            <sz val="9"/>
            <color indexed="81"/>
            <rFont val="Tahoma"/>
            <family val="2"/>
          </rPr>
          <t xml:space="preserve">
Combined quote from Sumo and AerialCam. Additional £11k estimate for completing terrestrial surveying at a later date</t>
        </r>
      </text>
    </comment>
    <comment ref="Y19" authorId="0" shapeId="0" xr:uid="{EE24CF4C-5CAB-472D-811A-184E89E2E9F3}">
      <text>
        <r>
          <rPr>
            <b/>
            <sz val="9"/>
            <color indexed="81"/>
            <rFont val="Tahoma"/>
            <family val="2"/>
          </rPr>
          <t>Eve Browning:</t>
        </r>
        <r>
          <rPr>
            <sz val="9"/>
            <color indexed="81"/>
            <rFont val="Tahoma"/>
            <family val="2"/>
          </rPr>
          <t xml:space="preserve">
3D CAD</t>
        </r>
      </text>
    </comment>
    <comment ref="Z19" authorId="0" shapeId="0" xr:uid="{03CCE7D5-802F-43B0-8D59-5D960A7440EE}">
      <text>
        <r>
          <rPr>
            <b/>
            <sz val="9"/>
            <color indexed="81"/>
            <rFont val="Tahoma"/>
            <family val="2"/>
          </rPr>
          <t>Eve Browning:</t>
        </r>
        <r>
          <rPr>
            <sz val="9"/>
            <color indexed="81"/>
            <rFont val="Tahoma"/>
            <family val="2"/>
          </rPr>
          <t xml:space="preserve">
12k access point topo survey</t>
        </r>
      </text>
    </comment>
    <comment ref="AC19" authorId="0" shapeId="0" xr:uid="{E5985200-01A1-4C01-BB1A-B860AA98ED2F}">
      <text>
        <r>
          <rPr>
            <b/>
            <sz val="9"/>
            <color indexed="81"/>
            <rFont val="Tahoma"/>
            <family val="2"/>
          </rPr>
          <t>Eve Browning:</t>
        </r>
        <r>
          <rPr>
            <sz val="9"/>
            <color indexed="81"/>
            <rFont val="Tahoma"/>
            <family val="2"/>
          </rPr>
          <t xml:space="preserve">
WB substation and access points drone survey
Invoice 42860</t>
        </r>
      </text>
    </comment>
    <comment ref="AD19" authorId="0" shapeId="0" xr:uid="{2243852C-44F5-4326-98C5-9802A4BB774C}">
      <text>
        <r>
          <rPr>
            <b/>
            <sz val="9"/>
            <color indexed="81"/>
            <rFont val="Tahoma"/>
            <family val="2"/>
          </rPr>
          <t>Eve Browning:</t>
        </r>
        <r>
          <rPr>
            <sz val="9"/>
            <color indexed="81"/>
            <rFont val="Tahoma"/>
            <family val="2"/>
          </rPr>
          <t xml:space="preserve">
WB substation and access points terrestrial survey
Sumo Invoice 43012</t>
        </r>
      </text>
    </comment>
    <comment ref="J20" authorId="0" shapeId="0" xr:uid="{9A41FE7C-BDC9-4CA1-8403-EC1C63C9EA4C}">
      <text>
        <r>
          <rPr>
            <b/>
            <sz val="9"/>
            <color indexed="81"/>
            <rFont val="Tahoma"/>
            <family val="2"/>
          </rPr>
          <t>Eve Browning:</t>
        </r>
        <r>
          <rPr>
            <sz val="9"/>
            <color indexed="81"/>
            <rFont val="Tahoma"/>
            <family val="2"/>
          </rPr>
          <t xml:space="preserve">
Quote from Delta Simons for initial flood risk screening assessment only is £2250.
Secondary quote for further works comes to £21500.</t>
        </r>
      </text>
    </comment>
    <comment ref="K20" authorId="0" shapeId="0" xr:uid="{F892FB67-C3EF-4A6C-B679-BCE75243F783}">
      <text>
        <r>
          <rPr>
            <b/>
            <sz val="9"/>
            <color indexed="81"/>
            <rFont val="Tahoma"/>
            <family val="2"/>
          </rPr>
          <t>Eve Browning:</t>
        </r>
        <r>
          <rPr>
            <sz val="9"/>
            <color indexed="81"/>
            <rFont val="Tahoma"/>
            <family val="2"/>
          </rPr>
          <t xml:space="preserve">
Missing Broxholme. Quote from Rossi Long, includes FRA report, consultation with EA and proposed mitigation measures</t>
        </r>
      </text>
    </comment>
    <comment ref="AE20" authorId="0" shapeId="0" xr:uid="{12A1C7B2-1771-4EDA-A420-55950ACC4BE7}">
      <text>
        <r>
          <rPr>
            <b/>
            <sz val="9"/>
            <color indexed="81"/>
            <rFont val="Tahoma"/>
            <family val="2"/>
          </rPr>
          <t>Eve Browning:</t>
        </r>
        <r>
          <rPr>
            <sz val="9"/>
            <color indexed="81"/>
            <rFont val="Tahoma"/>
            <family val="2"/>
          </rPr>
          <t xml:space="preserve">
Invoice DS033518</t>
        </r>
      </text>
    </comment>
    <comment ref="AG20" authorId="0" shapeId="0" xr:uid="{1C932D42-CB03-4E71-9239-65049C23AD31}">
      <text>
        <r>
          <rPr>
            <b/>
            <sz val="9"/>
            <color indexed="81"/>
            <rFont val="Tahoma"/>
            <family val="2"/>
          </rPr>
          <t>Eve Browning:</t>
        </r>
        <r>
          <rPr>
            <sz val="9"/>
            <color indexed="81"/>
            <rFont val="Tahoma"/>
            <family val="2"/>
          </rPr>
          <t xml:space="preserve">
Invoice DS034012
PEIR chapter</t>
        </r>
      </text>
    </comment>
    <comment ref="AH20" authorId="0" shapeId="0" xr:uid="{C95F150F-46B3-4ADF-98E1-B65F2EECA41D}">
      <text>
        <r>
          <rPr>
            <b/>
            <sz val="9"/>
            <color indexed="81"/>
            <rFont val="Tahoma"/>
            <family val="2"/>
          </rPr>
          <t>Eve Browning:</t>
        </r>
        <r>
          <rPr>
            <sz val="9"/>
            <color indexed="81"/>
            <rFont val="Tahoma"/>
            <family val="2"/>
          </rPr>
          <t xml:space="preserve">
Invoice DS034313
£2100 for WB Sub FRA
Invoice DS034314
£5500 for WB4 rainfall modelling</t>
        </r>
      </text>
    </comment>
    <comment ref="AI20" authorId="0" shapeId="0" xr:uid="{1C1C80E4-072C-4F92-A827-B0C1017AC0C6}">
      <text>
        <r>
          <rPr>
            <b/>
            <sz val="9"/>
            <color indexed="81"/>
            <rFont val="Tahoma"/>
            <family val="2"/>
          </rPr>
          <t>Eve Browning:</t>
        </r>
        <r>
          <rPr>
            <sz val="9"/>
            <color indexed="81"/>
            <rFont val="Tahoma"/>
            <family val="2"/>
          </rPr>
          <t xml:space="preserve">
Invoice DS034656
West Burton 4 rainfall modelling - £7350</t>
        </r>
      </text>
    </comment>
    <comment ref="AN20" authorId="0" shapeId="0" xr:uid="{BC3070D1-AF91-407B-87BD-1A9490E6B54A}">
      <text>
        <r>
          <rPr>
            <b/>
            <sz val="9"/>
            <color indexed="81"/>
            <rFont val="Tahoma"/>
            <family val="2"/>
          </rPr>
          <t>Eve Browning:</t>
        </r>
        <r>
          <rPr>
            <sz val="9"/>
            <color indexed="81"/>
            <rFont val="Tahoma"/>
            <family val="2"/>
          </rPr>
          <t xml:space="preserve">
Invoice 176561
- WFD report - £2200
- Meetings - £180</t>
        </r>
      </text>
    </comment>
    <comment ref="AR20" authorId="0" shapeId="0" xr:uid="{0D82F6B2-E1A2-45D2-A760-BEFC530DBF86}">
      <text>
        <r>
          <rPr>
            <b/>
            <sz val="9"/>
            <color indexed="81"/>
            <rFont val="Tahoma"/>
            <family val="2"/>
          </rPr>
          <t>Eve Browning:</t>
        </r>
        <r>
          <rPr>
            <sz val="9"/>
            <color indexed="81"/>
            <rFont val="Tahoma"/>
            <family val="2"/>
          </rPr>
          <t xml:space="preserve">
Invoice 91517
SoCG and RR responses - £720</t>
        </r>
      </text>
    </comment>
    <comment ref="AU20" authorId="0" shapeId="0" xr:uid="{AEDEBE73-8C4F-4ABD-A1A8-A54E6FAC1784}">
      <text>
        <r>
          <rPr>
            <b/>
            <sz val="9"/>
            <color indexed="81"/>
            <rFont val="Tahoma"/>
            <family val="2"/>
          </rPr>
          <t>Eve Browning:</t>
        </r>
        <r>
          <rPr>
            <sz val="9"/>
            <color indexed="81"/>
            <rFont val="Tahoma"/>
            <family val="2"/>
          </rPr>
          <t xml:space="preserve">
</t>
        </r>
        <r>
          <rPr>
            <b/>
            <sz val="9"/>
            <color indexed="81"/>
            <rFont val="Tahoma"/>
            <family val="2"/>
          </rPr>
          <t>Invoice 189755</t>
        </r>
        <r>
          <rPr>
            <sz val="9"/>
            <color indexed="81"/>
            <rFont val="Tahoma"/>
            <family val="2"/>
          </rPr>
          <t xml:space="preserve">
RR and SoCG work - £2100
</t>
        </r>
        <r>
          <rPr>
            <b/>
            <sz val="9"/>
            <color indexed="81"/>
            <rFont val="Tahoma"/>
            <family val="2"/>
          </rPr>
          <t xml:space="preserve">Invoice 189306
</t>
        </r>
        <r>
          <rPr>
            <sz val="9"/>
            <color indexed="81"/>
            <rFont val="Tahoma"/>
            <family val="2"/>
          </rPr>
          <t>Pile volume calculations - £3999</t>
        </r>
      </text>
    </comment>
    <comment ref="BB20" authorId="0" shapeId="0" xr:uid="{E06EA359-4A16-488C-952F-76446CD1D36F}">
      <text>
        <r>
          <rPr>
            <b/>
            <sz val="9"/>
            <color indexed="81"/>
            <rFont val="Tahoma"/>
            <family val="2"/>
          </rPr>
          <t>Eve Browning:</t>
        </r>
        <r>
          <rPr>
            <sz val="9"/>
            <color indexed="81"/>
            <rFont val="Tahoma"/>
            <family val="2"/>
          </rPr>
          <t xml:space="preserve">
Mabbett invoice 606020
Examination stage costs - £8100</t>
        </r>
      </text>
    </comment>
    <comment ref="BC20" authorId="0" shapeId="0" xr:uid="{18AE96B3-41DC-426B-BC78-3778F0AAE961}">
      <text>
        <r>
          <rPr>
            <b/>
            <sz val="9"/>
            <color indexed="81"/>
            <rFont val="Tahoma"/>
            <family val="2"/>
          </rPr>
          <t>Eve Browning:</t>
        </r>
        <r>
          <rPr>
            <sz val="9"/>
            <color indexed="81"/>
            <rFont val="Tahoma"/>
            <family val="2"/>
          </rPr>
          <t xml:space="preserve">
60 year flood modelling
River Till model
(covers both Cottam and West Burton sites)
• Update the 2008 EA River Till model to reflect the current climate change guidance and rerun – no further changes to existing hydrology or model setup
• Produce an updated flood depth grid through the site
• Flood maps and report updates
£6,700+VAT
Tidal Trent model
(covers West Burton site and unnamed watercourse)
• Site specific updates to 2023 Jacobs/EA Tidal Trent to include topographic survey details
• Run site specific model to produce defended flood depths across the site
• Flood maps and report updates
£4,900+VAT
Unnamed Watercourse model
• Complete ReFH2 rainfall calculations
• Construct a simple, new 2D domain of the unnamed watercourse catchment from existing topographic survey data where available and EA LiDAR elsewhere
• Simulation of a range of design rainfall events to produce flood depths across the site
• Flood maps and report updates
£4,900+VAT
Total £16500</t>
        </r>
      </text>
    </comment>
    <comment ref="J21" authorId="0" shapeId="0" xr:uid="{0BAEC757-9D60-4166-A256-CFF6AD7E3502}">
      <text>
        <r>
          <rPr>
            <b/>
            <sz val="9"/>
            <color indexed="81"/>
            <rFont val="Tahoma"/>
            <family val="2"/>
          </rPr>
          <t>Eve Browning:</t>
        </r>
        <r>
          <rPr>
            <sz val="9"/>
            <color indexed="81"/>
            <rFont val="Tahoma"/>
            <family val="2"/>
          </rPr>
          <t xml:space="preserve">
1145ha at £215 per hectare.
400ha/month surveyed - approx £86k per month for cash flow
Original quote from Lanpro £291,600 for WB and £177,750 for Cottam</t>
        </r>
      </text>
    </comment>
    <comment ref="K21" authorId="0" shapeId="0" xr:uid="{CE1726AA-22A5-4E0F-8DF4-08491A927A19}">
      <text>
        <r>
          <rPr>
            <b/>
            <sz val="9"/>
            <color indexed="81"/>
            <rFont val="Tahoma"/>
            <family val="2"/>
          </rPr>
          <t>Eve Browning:</t>
        </r>
        <r>
          <rPr>
            <sz val="9"/>
            <color indexed="81"/>
            <rFont val="Tahoma"/>
            <family val="2"/>
          </rPr>
          <t xml:space="preserve">
Latest estimate from Lanpro 21/12/21</t>
        </r>
      </text>
    </comment>
    <comment ref="O21" authorId="0" shapeId="0" xr:uid="{AD104E8D-1776-4ECB-B132-EAFC9C027B1E}">
      <text>
        <r>
          <rPr>
            <b/>
            <sz val="9"/>
            <color indexed="81"/>
            <rFont val="Tahoma"/>
            <family val="2"/>
          </rPr>
          <t>Eve Browning:</t>
        </r>
        <r>
          <rPr>
            <sz val="9"/>
            <color indexed="81"/>
            <rFont val="Tahoma"/>
            <family val="2"/>
          </rPr>
          <t xml:space="preserve">
Confirm this</t>
        </r>
      </text>
    </comment>
    <comment ref="AA21" authorId="0" shapeId="0" xr:uid="{64A77A17-D450-4A5B-9665-88E40A436CAF}">
      <text>
        <r>
          <rPr>
            <b/>
            <sz val="9"/>
            <color indexed="81"/>
            <rFont val="Tahoma"/>
            <family val="2"/>
          </rPr>
          <t>Eve Browning:</t>
        </r>
        <r>
          <rPr>
            <sz val="9"/>
            <color indexed="81"/>
            <rFont val="Tahoma"/>
            <family val="2"/>
          </rPr>
          <t xml:space="preserve">
Invoice 005235</t>
        </r>
      </text>
    </comment>
    <comment ref="AC21" authorId="0" shapeId="0" xr:uid="{ABC344E6-89F9-4D77-B5D5-11F880EC7DC9}">
      <text>
        <r>
          <rPr>
            <b/>
            <sz val="9"/>
            <color indexed="81"/>
            <rFont val="Tahoma"/>
            <family val="2"/>
          </rPr>
          <t>Eve Browning:</t>
        </r>
        <r>
          <rPr>
            <sz val="9"/>
            <color indexed="81"/>
            <rFont val="Tahoma"/>
            <family val="2"/>
          </rPr>
          <t xml:space="preserve">
Invoice 005477</t>
        </r>
      </text>
    </comment>
    <comment ref="AD21" authorId="0" shapeId="0" xr:uid="{098BAE15-C787-4663-9CD5-A83CBA37D3E9}">
      <text>
        <r>
          <rPr>
            <b/>
            <sz val="9"/>
            <color indexed="81"/>
            <rFont val="Tahoma"/>
            <family val="2"/>
          </rPr>
          <t>Eve Browning:</t>
        </r>
        <r>
          <rPr>
            <sz val="9"/>
            <color indexed="81"/>
            <rFont val="Tahoma"/>
            <family val="2"/>
          </rPr>
          <t xml:space="preserve">
Invoice 005645</t>
        </r>
      </text>
    </comment>
    <comment ref="AE21" authorId="0" shapeId="0" xr:uid="{78399FF3-CC28-4D6F-A98E-65D3EFC1F78A}">
      <text>
        <r>
          <rPr>
            <b/>
            <sz val="9"/>
            <color indexed="81"/>
            <rFont val="Tahoma"/>
            <family val="2"/>
          </rPr>
          <t>Eve Browning:</t>
        </r>
        <r>
          <rPr>
            <sz val="9"/>
            <color indexed="81"/>
            <rFont val="Tahoma"/>
            <family val="2"/>
          </rPr>
          <t xml:space="preserve">
Invoice 005821</t>
        </r>
      </text>
    </comment>
    <comment ref="AF21" authorId="0" shapeId="0" xr:uid="{95B08143-2072-4120-A928-5016FD17A2DB}">
      <text>
        <r>
          <rPr>
            <b/>
            <sz val="9"/>
            <color indexed="81"/>
            <rFont val="Tahoma"/>
            <family val="2"/>
          </rPr>
          <t>Eve Browning:</t>
        </r>
        <r>
          <rPr>
            <sz val="9"/>
            <color indexed="81"/>
            <rFont val="Tahoma"/>
            <family val="2"/>
          </rPr>
          <t xml:space="preserve">
Invoice 006031</t>
        </r>
      </text>
    </comment>
    <comment ref="AG21" authorId="0" shapeId="0" xr:uid="{4F0F84C5-BC49-4008-BD01-6DD59B81D1F2}">
      <text>
        <r>
          <rPr>
            <b/>
            <sz val="9"/>
            <color indexed="81"/>
            <rFont val="Tahoma"/>
            <family val="2"/>
          </rPr>
          <t>Eve Browning:</t>
        </r>
        <r>
          <rPr>
            <sz val="9"/>
            <color indexed="81"/>
            <rFont val="Tahoma"/>
            <family val="2"/>
          </rPr>
          <t xml:space="preserve">
Invoice 006293</t>
        </r>
      </text>
    </comment>
    <comment ref="AI21" authorId="0" shapeId="0" xr:uid="{FC6875DD-4518-4CF1-B23C-47A9E4C54AAC}">
      <text>
        <r>
          <rPr>
            <b/>
            <sz val="9"/>
            <color indexed="81"/>
            <rFont val="Tahoma"/>
            <family val="2"/>
          </rPr>
          <t>Eve Browning:</t>
        </r>
        <r>
          <rPr>
            <sz val="9"/>
            <color indexed="81"/>
            <rFont val="Tahoma"/>
            <family val="2"/>
          </rPr>
          <t xml:space="preserve">
Invoice 006645</t>
        </r>
      </text>
    </comment>
    <comment ref="AJ21" authorId="0" shapeId="0" xr:uid="{775BA51C-6C0F-475C-A493-72AF2520BED4}">
      <text>
        <r>
          <rPr>
            <b/>
            <sz val="9"/>
            <color indexed="81"/>
            <rFont val="Tahoma"/>
            <family val="2"/>
          </rPr>
          <t>Eve Browning:</t>
        </r>
        <r>
          <rPr>
            <sz val="9"/>
            <color indexed="81"/>
            <rFont val="Tahoma"/>
            <family val="2"/>
          </rPr>
          <t xml:space="preserve">
Invoice 006836</t>
        </r>
      </text>
    </comment>
    <comment ref="AK21" authorId="0" shapeId="0" xr:uid="{517A99DE-9C98-42B1-94F2-B7C4054DA079}">
      <text>
        <r>
          <rPr>
            <b/>
            <sz val="9"/>
            <color indexed="81"/>
            <rFont val="Tahoma"/>
            <family val="2"/>
          </rPr>
          <t>Eve Browning:</t>
        </r>
        <r>
          <rPr>
            <sz val="9"/>
            <color indexed="81"/>
            <rFont val="Tahoma"/>
            <family val="2"/>
          </rPr>
          <t xml:space="preserve">
Invoice 007031
Cable route geophys (10ha) - £2250</t>
        </r>
      </text>
    </comment>
    <comment ref="AD22" authorId="0" shapeId="0" xr:uid="{0D038FA5-1AE9-4532-8F54-781FAF557BDA}">
      <text>
        <r>
          <rPr>
            <b/>
            <sz val="9"/>
            <color indexed="81"/>
            <rFont val="Tahoma"/>
            <family val="2"/>
          </rPr>
          <t>Eve Browning:</t>
        </r>
        <r>
          <rPr>
            <sz val="9"/>
            <color indexed="81"/>
            <rFont val="Tahoma"/>
            <family val="2"/>
          </rPr>
          <t xml:space="preserve">
Invoice INV038046</t>
        </r>
      </text>
    </comment>
    <comment ref="AE22" authorId="0" shapeId="0" xr:uid="{CB45BEDE-25CD-4BB9-9E98-6E1B1387ACD3}">
      <text>
        <r>
          <rPr>
            <b/>
            <sz val="9"/>
            <color indexed="81"/>
            <rFont val="Tahoma"/>
            <family val="2"/>
          </rPr>
          <t>Eve Browning:</t>
        </r>
        <r>
          <rPr>
            <sz val="9"/>
            <color indexed="81"/>
            <rFont val="Tahoma"/>
            <family val="2"/>
          </rPr>
          <t xml:space="preserve">
Invoice INV038200</t>
        </r>
      </text>
    </comment>
    <comment ref="AK22" authorId="0" shapeId="0" xr:uid="{0B9CE4B2-C89D-4E9D-A246-F899C1285191}">
      <text>
        <r>
          <rPr>
            <b/>
            <sz val="9"/>
            <color indexed="81"/>
            <rFont val="Tahoma"/>
            <family val="2"/>
          </rPr>
          <t>Eve Browning:</t>
        </r>
        <r>
          <rPr>
            <sz val="9"/>
            <color indexed="81"/>
            <rFont val="Tahoma"/>
            <family val="2"/>
          </rPr>
          <t xml:space="preserve">
Invoice INV039185</t>
        </r>
      </text>
    </comment>
    <comment ref="J23" authorId="0" shapeId="0" xr:uid="{3155DEF0-0232-4A11-A8A0-EA533B4B58AA}">
      <text>
        <r>
          <rPr>
            <b/>
            <sz val="9"/>
            <color indexed="81"/>
            <rFont val="Tahoma"/>
            <family val="2"/>
          </rPr>
          <t>Eve Browning:</t>
        </r>
        <r>
          <rPr>
            <sz val="9"/>
            <color indexed="81"/>
            <rFont val="Tahoma"/>
            <family val="2"/>
          </rPr>
          <t xml:space="preserve">
Hoped not to be required until post-planning</t>
        </r>
      </text>
    </comment>
    <comment ref="AG23" authorId="0" shapeId="0" xr:uid="{2F990220-73E6-4E6E-A464-2B2D4ACF62C5}">
      <text>
        <r>
          <rPr>
            <b/>
            <sz val="9"/>
            <color indexed="81"/>
            <rFont val="Tahoma"/>
            <family val="2"/>
          </rPr>
          <t>Eve Browning:</t>
        </r>
        <r>
          <rPr>
            <sz val="9"/>
            <color indexed="81"/>
            <rFont val="Tahoma"/>
            <family val="2"/>
          </rPr>
          <t xml:space="preserve">
Invoice 006200 Lanpro - for 2200 + 178905.5 trial trenching
Invoice SI5199 Leverton Farms - £30k crop loss - West Burton 2</t>
        </r>
      </text>
    </comment>
    <comment ref="AH23" authorId="0" shapeId="0" xr:uid="{9A8D5212-D09E-46BF-BB75-605518A3EDFB}">
      <text>
        <r>
          <rPr>
            <b/>
            <sz val="9"/>
            <color indexed="81"/>
            <rFont val="Tahoma"/>
            <family val="2"/>
          </rPr>
          <t>Eve Browning:</t>
        </r>
        <r>
          <rPr>
            <sz val="9"/>
            <color indexed="81"/>
            <rFont val="Tahoma"/>
            <family val="2"/>
          </rPr>
          <t xml:space="preserve">
Invoice 006289
Archaeological fieldwork (Sept) and project management (August)</t>
        </r>
      </text>
    </comment>
    <comment ref="AI23" authorId="0" shapeId="0" xr:uid="{59A54040-CB73-4499-9B5D-51AC8631CFAB}">
      <text>
        <r>
          <rPr>
            <b/>
            <sz val="9"/>
            <color indexed="81"/>
            <rFont val="Tahoma"/>
            <family val="2"/>
          </rPr>
          <t>Eve Browning:</t>
        </r>
        <r>
          <rPr>
            <sz val="9"/>
            <color indexed="81"/>
            <rFont val="Tahoma"/>
            <family val="2"/>
          </rPr>
          <t xml:space="preserve">
</t>
        </r>
        <r>
          <rPr>
            <b/>
            <sz val="9"/>
            <color indexed="81"/>
            <rFont val="Tahoma"/>
            <family val="2"/>
          </rPr>
          <t>Invoice 006644</t>
        </r>
        <r>
          <rPr>
            <sz val="9"/>
            <color indexed="81"/>
            <rFont val="Tahoma"/>
            <family val="2"/>
          </rPr>
          <t xml:space="preserve">
- Archaelogical fieldwork - £43866.75
- Arch. Fieldwork project management - £25300
</t>
        </r>
        <r>
          <rPr>
            <b/>
            <sz val="9"/>
            <color indexed="81"/>
            <rFont val="Tahoma"/>
            <family val="2"/>
          </rPr>
          <t>Invoice SI5232</t>
        </r>
        <r>
          <rPr>
            <sz val="9"/>
            <color indexed="81"/>
            <rFont val="Tahoma"/>
            <family val="2"/>
          </rPr>
          <t xml:space="preserve"> Leverton Farms
Crop loss miscanthus - £1600</t>
        </r>
      </text>
    </comment>
    <comment ref="AJ23" authorId="0" shapeId="0" xr:uid="{C94D95D8-E452-4E80-8600-C5A0B929A5F0}">
      <text>
        <r>
          <rPr>
            <b/>
            <sz val="9"/>
            <color indexed="81"/>
            <rFont val="Tahoma"/>
            <family val="2"/>
          </rPr>
          <t>Eve Browning:</t>
        </r>
        <r>
          <rPr>
            <sz val="9"/>
            <color indexed="81"/>
            <rFont val="Tahoma"/>
            <family val="2"/>
          </rPr>
          <t xml:space="preserve">
Invoice 006831
Archaeological Fieldwork (October Additional) £54,780.00 
Archaeological Fieldwork Project Management £8,800.00
Invoice 117 Campions
Crop loss - £15000</t>
        </r>
      </text>
    </comment>
    <comment ref="AL23" authorId="0" shapeId="0" xr:uid="{A4051614-85C8-41BA-8E69-969DADDF8F62}">
      <text>
        <r>
          <rPr>
            <b/>
            <sz val="9"/>
            <color indexed="81"/>
            <rFont val="Tahoma"/>
            <family val="2"/>
          </rPr>
          <t>Eve Browning:</t>
        </r>
        <r>
          <rPr>
            <sz val="9"/>
            <color indexed="81"/>
            <rFont val="Tahoma"/>
            <family val="2"/>
          </rPr>
          <t xml:space="preserve">
</t>
        </r>
        <r>
          <rPr>
            <b/>
            <sz val="9"/>
            <color indexed="81"/>
            <rFont val="Tahoma"/>
            <family val="2"/>
          </rPr>
          <t>Invoice 007068 (Lanpro)</t>
        </r>
        <r>
          <rPr>
            <sz val="9"/>
            <color indexed="81"/>
            <rFont val="Tahoma"/>
            <family val="2"/>
          </rPr>
          <t xml:space="preserve">
Post-excavation project management and report QA - £9300
</t>
        </r>
        <r>
          <rPr>
            <b/>
            <sz val="9"/>
            <color indexed="81"/>
            <rFont val="Tahoma"/>
            <family val="2"/>
          </rPr>
          <t>Invoice 28 (Low Carbon UK Solar Investment Company Limited)</t>
        </r>
        <r>
          <rPr>
            <sz val="9"/>
            <color indexed="81"/>
            <rFont val="Tahoma"/>
            <family val="2"/>
          </rPr>
          <t xml:space="preserve">
£19004.09 Shared cable route trial trenching 
</t>
        </r>
        <r>
          <rPr>
            <b/>
            <sz val="9"/>
            <color indexed="81"/>
            <rFont val="Tahoma"/>
            <family val="2"/>
          </rPr>
          <t>Invoice 30 (Low Carbon)</t>
        </r>
        <r>
          <rPr>
            <sz val="9"/>
            <color indexed="81"/>
            <rFont val="Tahoma"/>
            <family val="2"/>
          </rPr>
          <t xml:space="preserve">
£5113.59 Trial trenching additional costs (Landowner costs e.g. license fee, agent fees, trench compensation, grass reseeding works, drainage repairs)</t>
        </r>
      </text>
    </comment>
    <comment ref="AM23" authorId="0" shapeId="0" xr:uid="{42292EC9-B927-4905-91D2-5E4E05A84066}">
      <text>
        <r>
          <rPr>
            <b/>
            <sz val="9"/>
            <color indexed="81"/>
            <rFont val="Tahoma"/>
            <family val="2"/>
          </rPr>
          <t>Eve Browning:</t>
        </r>
        <r>
          <rPr>
            <sz val="9"/>
            <color indexed="81"/>
            <rFont val="Tahoma"/>
            <family val="2"/>
          </rPr>
          <t xml:space="preserve">
Added 38k additional crop loss - WB 2 - worst case of 4 x trench area for12 x future miscanthus harvests (shouldn't all be needed if less damage than expected and also solar should be constructed before then)
</t>
        </r>
      </text>
    </comment>
    <comment ref="BI23" authorId="0" shapeId="0" xr:uid="{789BD789-AE29-4645-A5DA-A74B1FC157A0}">
      <text>
        <r>
          <rPr>
            <b/>
            <sz val="9"/>
            <color indexed="81"/>
            <rFont val="Tahoma"/>
            <family val="2"/>
          </rPr>
          <t>Eve Browning:</t>
        </r>
        <r>
          <rPr>
            <sz val="9"/>
            <color indexed="81"/>
            <rFont val="Tahoma"/>
            <family val="2"/>
          </rPr>
          <t xml:space="preserve">
Estimation of post-trenching final reporting costs
</t>
        </r>
      </text>
    </comment>
    <comment ref="J24" authorId="0" shapeId="0" xr:uid="{D65AE260-FE34-4276-89D6-FD71973B1D3F}">
      <text>
        <r>
          <rPr>
            <b/>
            <sz val="9"/>
            <color indexed="81"/>
            <rFont val="Tahoma"/>
            <family val="2"/>
          </rPr>
          <t>Eve Browning:</t>
        </r>
        <r>
          <rPr>
            <sz val="9"/>
            <color indexed="81"/>
            <rFont val="Tahoma"/>
            <family val="2"/>
          </rPr>
          <t xml:space="preserve">
Tetratech, includes battery fire smoke assessment</t>
        </r>
      </text>
    </comment>
    <comment ref="AD24" authorId="0" shapeId="0" xr:uid="{C5990A98-D283-4B67-BAB0-E3DC5C6806F5}">
      <text>
        <r>
          <rPr>
            <b/>
            <sz val="9"/>
            <color indexed="81"/>
            <rFont val="Tahoma"/>
            <family val="2"/>
          </rPr>
          <t>Eve Browning:</t>
        </r>
        <r>
          <rPr>
            <sz val="9"/>
            <color indexed="81"/>
            <rFont val="Tahoma"/>
            <family val="2"/>
          </rPr>
          <t xml:space="preserve">
PEIR and construction dust assessment
Invoice 30034718</t>
        </r>
      </text>
    </comment>
    <comment ref="AN24" authorId="0" shapeId="0" xr:uid="{CD9F9D6E-5FA8-49AC-A955-6D5CCBCD4184}">
      <text>
        <r>
          <rPr>
            <b/>
            <sz val="9"/>
            <color indexed="81"/>
            <rFont val="Tahoma"/>
            <family val="2"/>
          </rPr>
          <t>Eve Browning:</t>
        </r>
        <r>
          <rPr>
            <sz val="9"/>
            <color indexed="81"/>
            <rFont val="Tahoma"/>
            <family val="2"/>
          </rPr>
          <t xml:space="preserve">
Invoice 784-B031437 / 30052381
ES chapter - £1250</t>
        </r>
      </text>
    </comment>
    <comment ref="AV24" authorId="0" shapeId="0" xr:uid="{0B86490B-61AF-4932-A32E-DD77DDBB3150}">
      <text>
        <r>
          <rPr>
            <b/>
            <sz val="9"/>
            <color indexed="81"/>
            <rFont val="Tahoma"/>
            <family val="2"/>
          </rPr>
          <t>Eve Browning:</t>
        </r>
        <r>
          <rPr>
            <sz val="9"/>
            <color indexed="81"/>
            <rFont val="Tahoma"/>
            <family val="2"/>
          </rPr>
          <t xml:space="preserve">
Invoice 30066671
Pre-exam fee (50%) - £1975</t>
        </r>
      </text>
    </comment>
    <comment ref="AW24" authorId="0" shapeId="0" xr:uid="{54169281-F99F-4715-A4C6-A2AAFA1A8D1D}">
      <text>
        <r>
          <rPr>
            <b/>
            <sz val="9"/>
            <color indexed="81"/>
            <rFont val="Tahoma"/>
            <family val="2"/>
          </rPr>
          <t>Eve Browning:</t>
        </r>
        <r>
          <rPr>
            <sz val="9"/>
            <color indexed="81"/>
            <rFont val="Tahoma"/>
            <family val="2"/>
          </rPr>
          <t xml:space="preserve">
Invoice 30070854
- Detailed BESS fire impact assessment - £1450
- Revised BESS Fire Assessment scenario - £1250
- Attendance at 3 meetings - £355
</t>
        </r>
      </text>
    </comment>
    <comment ref="BC24" authorId="0" shapeId="0" xr:uid="{2EE7B65C-E447-49F4-BD99-D1F63AE75E02}">
      <text>
        <r>
          <rPr>
            <b/>
            <sz val="9"/>
            <color indexed="81"/>
            <rFont val="Tahoma"/>
            <family val="2"/>
          </rPr>
          <t>Eve Browning:</t>
        </r>
        <r>
          <rPr>
            <sz val="9"/>
            <color indexed="81"/>
            <rFont val="Tahoma"/>
            <family val="2"/>
          </rPr>
          <t xml:space="preserve">
Stage 4: Pre-examination - £1975
Stage 5: Examination - £1950
Additional solar panel fire modelling and risk assessment - £1850
Detailed BESS fire impact assessment - £1500
</t>
        </r>
      </text>
    </comment>
    <comment ref="J25" authorId="0" shapeId="0" xr:uid="{758358C6-8F99-4B66-BFF7-D3959FBE411E}">
      <text>
        <r>
          <rPr>
            <b/>
            <sz val="9"/>
            <color indexed="81"/>
            <rFont val="Tahoma"/>
            <family val="2"/>
          </rPr>
          <t>Quote from Ted Clover. Half of £7500 quote for desktop Minerals Resource Assessment - may be a little more if two separate reports required?</t>
        </r>
      </text>
    </comment>
    <comment ref="AE25" authorId="0" shapeId="0" xr:uid="{467F94EF-FC68-4AB8-BA3F-5653DCECB307}">
      <text>
        <r>
          <rPr>
            <b/>
            <sz val="9"/>
            <color indexed="81"/>
            <rFont val="Tahoma"/>
            <family val="2"/>
          </rPr>
          <t>Eve Browning:</t>
        </r>
        <r>
          <rPr>
            <sz val="9"/>
            <color indexed="81"/>
            <rFont val="Tahoma"/>
            <family val="2"/>
          </rPr>
          <t xml:space="preserve">
Invoice WBSP/002
PEIR</t>
        </r>
      </text>
    </comment>
    <comment ref="AN25" authorId="0" shapeId="0" xr:uid="{AE0B0E18-24CB-4DCF-95AC-4EDE5B515254}">
      <text>
        <r>
          <rPr>
            <b/>
            <sz val="9"/>
            <color indexed="81"/>
            <rFont val="Tahoma"/>
            <family val="2"/>
          </rPr>
          <t>Eve Browning:</t>
        </r>
        <r>
          <rPr>
            <sz val="9"/>
            <color indexed="81"/>
            <rFont val="Tahoma"/>
            <family val="2"/>
          </rPr>
          <t xml:space="preserve">
Invoice WBSP/003
Minerals ES chapter - £2560</t>
        </r>
      </text>
    </comment>
    <comment ref="AS25" authorId="0" shapeId="0" xr:uid="{D3D4238E-E9A6-41EE-A7B6-0C39B1BBC720}">
      <text>
        <r>
          <rPr>
            <b/>
            <sz val="9"/>
            <color indexed="81"/>
            <rFont val="Tahoma"/>
            <family val="2"/>
          </rPr>
          <t>Eve Browning:</t>
        </r>
        <r>
          <rPr>
            <sz val="9"/>
            <color indexed="81"/>
            <rFont val="Tahoma"/>
            <family val="2"/>
          </rPr>
          <t xml:space="preserve">
Invoice WBSP/004
Preparation of SoCG, additional consideration of cumulative impacts - £475</t>
        </r>
      </text>
    </comment>
    <comment ref="BA25" authorId="0" shapeId="0" xr:uid="{14339685-2E14-407F-BB38-72CEEA3C7857}">
      <text>
        <r>
          <rPr>
            <b/>
            <sz val="9"/>
            <color indexed="81"/>
            <rFont val="Tahoma"/>
            <family val="2"/>
          </rPr>
          <t>Eve Browning:</t>
        </r>
        <r>
          <rPr>
            <sz val="9"/>
            <color indexed="81"/>
            <rFont val="Tahoma"/>
            <family val="2"/>
          </rPr>
          <t xml:space="preserve">
Invoice WBSP/005
Consideration of representations/Inspectors Questions
Consideration of amendments to the Scheme 
Advice relating to Sturton le Steeple Quarry
Input into EIP documents as requested
Additional Consideration of Cumulative Impacts. 
£1615</t>
        </r>
      </text>
    </comment>
    <comment ref="J26" authorId="0" shapeId="0" xr:uid="{C9F3CF3D-5A1E-46C1-8D8B-068BC94694CF}">
      <text>
        <r>
          <rPr>
            <b/>
            <sz val="9"/>
            <color indexed="81"/>
            <rFont val="Tahoma"/>
            <family val="2"/>
          </rPr>
          <t>Eve Browning:</t>
        </r>
        <r>
          <rPr>
            <sz val="9"/>
            <color indexed="81"/>
            <rFont val="Tahoma"/>
            <family val="2"/>
          </rPr>
          <t xml:space="preserve">
Lanpro quote</t>
        </r>
      </text>
    </comment>
    <comment ref="J27" authorId="0" shapeId="0" xr:uid="{8A616868-F0E9-4723-84E1-01CFC0BD66BB}">
      <text>
        <r>
          <rPr>
            <b/>
            <sz val="9"/>
            <color indexed="81"/>
            <rFont val="Tahoma"/>
            <family val="2"/>
          </rPr>
          <t>Eve Browning:</t>
        </r>
        <r>
          <rPr>
            <sz val="9"/>
            <color indexed="81"/>
            <rFont val="Tahoma"/>
            <family val="2"/>
          </rPr>
          <t xml:space="preserve">
Quote from Rossi Long for initial work to inform initial consultation with stakeholders</t>
        </r>
      </text>
    </comment>
    <comment ref="K27" authorId="0" shapeId="0" xr:uid="{77BAAA7E-9298-45B7-8300-EA767BD5F925}">
      <text>
        <r>
          <rPr>
            <b/>
            <sz val="9"/>
            <color indexed="81"/>
            <rFont val="Tahoma"/>
            <family val="2"/>
          </rPr>
          <t>Eve Browning:</t>
        </r>
        <r>
          <rPr>
            <sz val="9"/>
            <color indexed="81"/>
            <rFont val="Tahoma"/>
            <family val="2"/>
          </rPr>
          <t xml:space="preserve">
Quote from Stantec, does not include SoCGs or examination process.
CTMP at £400 per land parcel (5x parcels) added in after clarification</t>
        </r>
      </text>
    </comment>
    <comment ref="L27" authorId="0" shapeId="0" xr:uid="{C1C9BF88-2D29-4291-A0EF-765916DF3E04}">
      <text>
        <r>
          <rPr>
            <b/>
            <sz val="9"/>
            <color indexed="81"/>
            <rFont val="Tahoma"/>
            <family val="2"/>
          </rPr>
          <t>Eve Browning:</t>
        </r>
        <r>
          <rPr>
            <sz val="9"/>
            <color indexed="81"/>
            <rFont val="Tahoma"/>
            <family val="2"/>
          </rPr>
          <t xml:space="preserve">
Quote from TPA includes for EIA chapter, transport statement, CTMP, input into CEMP and all drawings and consultation up to planning submission
£4700 included for traffic surveys by 360 TSL, split across two projects
Additional predicted overspends added due to additional junctions and abnormal loads - fee extension request saved in file</t>
        </r>
      </text>
    </comment>
    <comment ref="Z27" authorId="0" shapeId="0" xr:uid="{0232A370-C634-4820-9603-F8721684182E}">
      <text>
        <r>
          <rPr>
            <b/>
            <sz val="9"/>
            <color indexed="81"/>
            <rFont val="Tahoma"/>
            <family val="2"/>
          </rPr>
          <t>Eve Browning:</t>
        </r>
        <r>
          <rPr>
            <sz val="9"/>
            <color indexed="81"/>
            <rFont val="Tahoma"/>
            <family val="2"/>
          </rPr>
          <t xml:space="preserve">
Scoping note plus draft CTMP</t>
        </r>
      </text>
    </comment>
    <comment ref="AA27" authorId="0" shapeId="0" xr:uid="{DEB80B55-61F2-4CE8-BFA9-7F74510093AE}">
      <text>
        <r>
          <rPr>
            <b/>
            <sz val="9"/>
            <color indexed="81"/>
            <rFont val="Tahoma"/>
            <family val="2"/>
          </rPr>
          <t>Eve Browning:</t>
        </r>
        <r>
          <rPr>
            <sz val="9"/>
            <color indexed="81"/>
            <rFont val="Tahoma"/>
            <family val="2"/>
          </rPr>
          <t xml:space="preserve">
4515.89 disbursements  on invoice number 012966</t>
        </r>
      </text>
    </comment>
    <comment ref="AB27" authorId="0" shapeId="0" xr:uid="{45024DE8-E264-48D0-AAEB-09A3A6E72B33}">
      <text>
        <r>
          <rPr>
            <b/>
            <sz val="9"/>
            <color indexed="81"/>
            <rFont val="Tahoma"/>
            <family val="2"/>
          </rPr>
          <t>Eve Browning:</t>
        </r>
        <r>
          <rPr>
            <sz val="9"/>
            <color indexed="81"/>
            <rFont val="Tahoma"/>
            <family val="2"/>
          </rPr>
          <t xml:space="preserve">
Invoice 013039</t>
        </r>
      </text>
    </comment>
    <comment ref="AC27" authorId="0" shapeId="0" xr:uid="{7709B170-C979-4631-92E6-A8566BFA7FDD}">
      <text>
        <r>
          <rPr>
            <b/>
            <sz val="9"/>
            <color indexed="81"/>
            <rFont val="Tahoma"/>
            <family val="2"/>
          </rPr>
          <t>Eve Browning:</t>
        </r>
        <r>
          <rPr>
            <sz val="9"/>
            <color indexed="81"/>
            <rFont val="Tahoma"/>
            <family val="2"/>
          </rPr>
          <t xml:space="preserve">
Invoice 013243</t>
        </r>
      </text>
    </comment>
    <comment ref="AD27" authorId="0" shapeId="0" xr:uid="{9783A2FA-4CE0-44F2-AA60-747656B67F65}">
      <text>
        <r>
          <rPr>
            <b/>
            <sz val="9"/>
            <color indexed="81"/>
            <rFont val="Tahoma"/>
            <family val="2"/>
          </rPr>
          <t>Eve Browning:</t>
        </r>
        <r>
          <rPr>
            <sz val="9"/>
            <color indexed="81"/>
            <rFont val="Tahoma"/>
            <family val="2"/>
          </rPr>
          <t xml:space="preserve">
Invoice 013346</t>
        </r>
      </text>
    </comment>
    <comment ref="AE27" authorId="0" shapeId="0" xr:uid="{05562B4A-B49D-4DA7-8A38-74D366E52F01}">
      <text>
        <r>
          <rPr>
            <b/>
            <sz val="9"/>
            <color indexed="81"/>
            <rFont val="Tahoma"/>
            <family val="2"/>
          </rPr>
          <t xml:space="preserve">Eve Browning:
</t>
        </r>
        <r>
          <rPr>
            <sz val="9"/>
            <color indexed="81"/>
            <rFont val="Tahoma"/>
            <family val="2"/>
          </rPr>
          <t>Invoice 013456
PEIR/CTMP
Invoice 013550</t>
        </r>
      </text>
    </comment>
    <comment ref="AF27" authorId="0" shapeId="0" xr:uid="{DE4C1C68-7C32-4053-BB80-614F6DAA9237}">
      <text>
        <r>
          <rPr>
            <b/>
            <sz val="9"/>
            <color indexed="81"/>
            <rFont val="Tahoma"/>
            <family val="2"/>
          </rPr>
          <t>Eve Browning:</t>
        </r>
        <r>
          <rPr>
            <sz val="9"/>
            <color indexed="81"/>
            <rFont val="Tahoma"/>
            <family val="2"/>
          </rPr>
          <t xml:space="preserve">
Invoice 013729
Team meetings 
Trip generation note
review of and advice on consultation responses, traffic flow diagrams, ES chapter drafting</t>
        </r>
      </text>
    </comment>
    <comment ref="AG27" authorId="0" shapeId="0" xr:uid="{117A6B65-443A-40BF-972B-6928EEC3A8B7}">
      <text>
        <r>
          <rPr>
            <b/>
            <sz val="9"/>
            <color indexed="81"/>
            <rFont val="Tahoma"/>
            <family val="2"/>
          </rPr>
          <t>Eve Browning:</t>
        </r>
        <r>
          <rPr>
            <sz val="9"/>
            <color indexed="81"/>
            <rFont val="Tahoma"/>
            <family val="2"/>
          </rPr>
          <t xml:space="preserve">
Invoice 013854
-  Team Meetings;
• PROW Surveys;
• Red Line Review;
• ES Chapter Drafting</t>
        </r>
      </text>
    </comment>
    <comment ref="AH27" authorId="0" shapeId="0" xr:uid="{36C997E0-C896-40BD-8A90-767F27588E25}">
      <text>
        <r>
          <rPr>
            <b/>
            <sz val="9"/>
            <color indexed="81"/>
            <rFont val="Tahoma"/>
            <family val="2"/>
          </rPr>
          <t>Eve Browning:</t>
        </r>
        <r>
          <rPr>
            <sz val="9"/>
            <color indexed="81"/>
            <rFont val="Tahoma"/>
            <family val="2"/>
          </rPr>
          <t xml:space="preserve">
Invoice 013944
• Team Meetings;
• PROW Surveys;
• Red Line Review;
• ES Chapter Drafting.
</t>
        </r>
      </text>
    </comment>
    <comment ref="AI27" authorId="0" shapeId="0" xr:uid="{9A790F62-320A-4F98-8A52-56A06B744474}">
      <text>
        <r>
          <rPr>
            <b/>
            <sz val="9"/>
            <color indexed="81"/>
            <rFont val="Tahoma"/>
            <family val="2"/>
          </rPr>
          <t>Eve Browning:</t>
        </r>
        <r>
          <rPr>
            <sz val="9"/>
            <color indexed="81"/>
            <rFont val="Tahoma"/>
            <family val="2"/>
          </rPr>
          <t xml:space="preserve">
Invoice 014154
Red line review 
ES chapter drafting 
PROW survey review</t>
        </r>
      </text>
    </comment>
    <comment ref="AK27" authorId="0" shapeId="0" xr:uid="{B548CF82-3151-4197-BDF9-7C3FB0622E39}">
      <text>
        <r>
          <rPr>
            <b/>
            <sz val="9"/>
            <color indexed="81"/>
            <rFont val="Tahoma"/>
            <family val="2"/>
          </rPr>
          <t>Eve Browning:</t>
        </r>
        <r>
          <rPr>
            <sz val="9"/>
            <color indexed="81"/>
            <rFont val="Tahoma"/>
            <family val="2"/>
          </rPr>
          <t xml:space="preserve">
Invoice 014284
• Cable Route Accesses;
• Cable Route Red Line;
• New access on Till Bridge Lane;
• ES Chapter Drafting;</t>
        </r>
      </text>
    </comment>
    <comment ref="AM27" authorId="0" shapeId="0" xr:uid="{6F23B50F-7B26-426F-86BA-AD4620829DD6}">
      <text>
        <r>
          <rPr>
            <b/>
            <sz val="9"/>
            <color indexed="81"/>
            <rFont val="Tahoma"/>
            <family val="2"/>
          </rPr>
          <t>Eve Browning:</t>
        </r>
        <r>
          <rPr>
            <sz val="9"/>
            <color indexed="81"/>
            <rFont val="Tahoma"/>
            <family val="2"/>
          </rPr>
          <t xml:space="preserve">
Invoice 014490
• Draft ES Chapter;
• Draft CTMP;
• Draft TA;
• Draft PROW Management Plan;
• Attendance at Meetings.
£5599.70</t>
        </r>
      </text>
    </comment>
    <comment ref="AN27" authorId="0" shapeId="0" xr:uid="{1F94E0B3-4833-479C-9A8D-3B5755EB33DC}">
      <text>
        <r>
          <rPr>
            <b/>
            <sz val="9"/>
            <color indexed="81"/>
            <rFont val="Tahoma"/>
            <family val="2"/>
          </rPr>
          <t>Eve Browning:</t>
        </r>
        <r>
          <rPr>
            <sz val="9"/>
            <color indexed="81"/>
            <rFont val="Tahoma"/>
            <family val="2"/>
          </rPr>
          <t xml:space="preserve">
</t>
        </r>
        <r>
          <rPr>
            <b/>
            <sz val="9"/>
            <color indexed="81"/>
            <rFont val="Tahoma"/>
            <family val="2"/>
          </rPr>
          <t>Invoice 014638</t>
        </r>
        <r>
          <rPr>
            <sz val="9"/>
            <color indexed="81"/>
            <rFont val="Tahoma"/>
            <family val="2"/>
          </rPr>
          <t xml:space="preserve">
This invoice covers our work carried in February 2023, including:
Draft ES Chapter; 
Draft CTMP; 
Draft TA; 
Draft PROW Management Plan; 
Attendance at Meetings. - £2000
</t>
        </r>
        <r>
          <rPr>
            <b/>
            <sz val="9"/>
            <color indexed="81"/>
            <rFont val="Tahoma"/>
            <family val="2"/>
          </rPr>
          <t>Invoice 014884</t>
        </r>
        <r>
          <rPr>
            <sz val="9"/>
            <color indexed="81"/>
            <rFont val="Tahoma"/>
            <family val="2"/>
          </rPr>
          <t xml:space="preserve">
• Additional spend on ES chapter to cover all consultation responses, the details of the cable route corridor and rounds of comments from the Design Team;
• The initial quote was for a Transport Statement to support the DCO. However, given the detail required, this turned into a Transport Assessment, which set out the details of all accesses and their effects on the surrounding local highway network;
• Multiple meetings, with the whole Design Team, IGP, Wynns, Lanpro, Pinsents and JSM
• Changes in the access strategy following the site layout designs which results in relocated and new accesses;
• A public rights of way management plan. - £11,390</t>
        </r>
      </text>
    </comment>
    <comment ref="AS27" authorId="0" shapeId="0" xr:uid="{4068AC28-9F48-4699-8343-F7592A831963}">
      <text>
        <r>
          <rPr>
            <b/>
            <sz val="9"/>
            <color indexed="81"/>
            <rFont val="Tahoma"/>
            <family val="2"/>
          </rPr>
          <t>Eve Browning:</t>
        </r>
        <r>
          <rPr>
            <sz val="9"/>
            <color indexed="81"/>
            <rFont val="Tahoma"/>
            <family val="2"/>
          </rPr>
          <t xml:space="preserve">
Invoice 015379
SoCG and relevant reps, access assessments to match to Low Carbon - £2750</t>
        </r>
      </text>
    </comment>
    <comment ref="AT27" authorId="0" shapeId="0" xr:uid="{6BC774D0-6EAF-4006-91AC-F51CA52A2543}">
      <text>
        <r>
          <rPr>
            <b/>
            <sz val="9"/>
            <color indexed="81"/>
            <rFont val="Tahoma"/>
            <family val="2"/>
          </rPr>
          <t>Eve Browning:</t>
        </r>
        <r>
          <rPr>
            <sz val="9"/>
            <color indexed="81"/>
            <rFont val="Tahoma"/>
            <family val="2"/>
          </rPr>
          <t xml:space="preserve">
Invoice 015518
This invoice covers our work carried out in July/August 2023:
• Response to LCC;
• Relevant Reps Response
• SoCG - £2250 (professional fees) and £38.14 (disbursements)</t>
        </r>
      </text>
    </comment>
    <comment ref="AU27" authorId="0" shapeId="0" xr:uid="{95789440-8602-4ACF-84E8-C0F214AE2891}">
      <text>
        <r>
          <rPr>
            <b/>
            <sz val="9"/>
            <color indexed="81"/>
            <rFont val="Tahoma"/>
            <family val="2"/>
          </rPr>
          <t>Eve Browning:</t>
        </r>
        <r>
          <rPr>
            <sz val="9"/>
            <color indexed="81"/>
            <rFont val="Tahoma"/>
            <family val="2"/>
          </rPr>
          <t xml:space="preserve">
Invoice 015634
This invoice covers our work carried out in August/September 2023:
• Response to LCC;
• Relevant Reps Response
• SoCG.
£1250</t>
        </r>
      </text>
    </comment>
    <comment ref="AV27" authorId="0" shapeId="0" xr:uid="{406AD776-2A13-4B2A-A4B8-E09F31EF0876}">
      <text>
        <r>
          <rPr>
            <b/>
            <sz val="9"/>
            <color indexed="81"/>
            <rFont val="Tahoma"/>
            <family val="2"/>
          </rPr>
          <t>Eve Browning:</t>
        </r>
        <r>
          <rPr>
            <sz val="9"/>
            <color indexed="81"/>
            <rFont val="Tahoma"/>
            <family val="2"/>
          </rPr>
          <t xml:space="preserve">
Invoice 015773
This invoice covers our work carried out in September/October 2023:
• Submission of response to LCC;
• Relevant Reps Response;
• Agreed SoCG.
£2500</t>
        </r>
      </text>
    </comment>
    <comment ref="AW27" authorId="0" shapeId="0" xr:uid="{98505110-0FC4-47D5-973C-07F23F5F5177}">
      <text>
        <r>
          <rPr>
            <b/>
            <sz val="9"/>
            <color indexed="81"/>
            <rFont val="Tahoma"/>
            <family val="2"/>
          </rPr>
          <t>Eve Browning:</t>
        </r>
        <r>
          <rPr>
            <sz val="9"/>
            <color indexed="81"/>
            <rFont val="Tahoma"/>
            <family val="2"/>
          </rPr>
          <t xml:space="preserve">
Invoice 015904
This invoice covers our work carried out in October/November 2023:
• Attendance at Public Hearing;
• Response to Relevant Representations;
• Updated documents for Deadline 1
£5000</t>
        </r>
      </text>
    </comment>
    <comment ref="AX27" authorId="0" shapeId="0" xr:uid="{FE2648CE-D4D2-4E9B-A3D2-6694CA522FC7}">
      <text>
        <r>
          <rPr>
            <b/>
            <sz val="9"/>
            <color indexed="81"/>
            <rFont val="Tahoma"/>
            <family val="2"/>
          </rPr>
          <t>Eve Browning:</t>
        </r>
        <r>
          <rPr>
            <sz val="9"/>
            <color indexed="81"/>
            <rFont val="Tahoma"/>
            <family val="2"/>
          </rPr>
          <t xml:space="preserve">
Invoice 015971
This invoice covers our work carried out in November/December 2023:
• Update documents for Deadlines 2/3;
• Relevant Rep Response for Deadlines 2/3
£3000</t>
        </r>
      </text>
    </comment>
    <comment ref="AY27" authorId="0" shapeId="0" xr:uid="{33799BB1-A879-4BD6-BCF5-A7B3DAFB1F0E}">
      <text>
        <r>
          <rPr>
            <b/>
            <sz val="9"/>
            <color indexed="81"/>
            <rFont val="Tahoma"/>
            <family val="2"/>
          </rPr>
          <t>Eve Browning:</t>
        </r>
        <r>
          <rPr>
            <sz val="9"/>
            <color indexed="81"/>
            <rFont val="Tahoma"/>
            <family val="2"/>
          </rPr>
          <t xml:space="preserve">
Invoice 016151
This invoice covers our work carried out in December 2023/January 2024:
• Update documents for Deadlines 3;
• Update documents for Change Application
• Responses to written questions.
£4000</t>
        </r>
      </text>
    </comment>
    <comment ref="AZ27" authorId="0" shapeId="0" xr:uid="{82220D85-AE66-429D-A78D-82DAE58F8FF6}">
      <text>
        <r>
          <rPr>
            <b/>
            <sz val="9"/>
            <color indexed="81"/>
            <rFont val="Tahoma"/>
            <family val="2"/>
          </rPr>
          <t>Eve Browning:</t>
        </r>
        <r>
          <rPr>
            <sz val="9"/>
            <color indexed="81"/>
            <rFont val="Tahoma"/>
            <family val="2"/>
          </rPr>
          <t xml:space="preserve">
Invoice 016315
This invoice covers our work carried out in January/February 2024:
• Attendance at Hearing’
• Update documents for Deadline 4;
• Responses to written questions.
£5500</t>
        </r>
      </text>
    </comment>
    <comment ref="BA27" authorId="0" shapeId="0" xr:uid="{C754CC05-3F26-4EC2-BD65-76B360364FBC}">
      <text>
        <r>
          <rPr>
            <b/>
            <sz val="9"/>
            <color indexed="81"/>
            <rFont val="Tahoma"/>
            <family val="2"/>
          </rPr>
          <t>Eve Browning:</t>
        </r>
        <r>
          <rPr>
            <sz val="9"/>
            <color indexed="81"/>
            <rFont val="Tahoma"/>
            <family val="2"/>
          </rPr>
          <t xml:space="preserve">
Invoice 016465
This invoice covers our work carried out in February/March 2024:
• Attendance at Hearing’
• Responses to written questions
£2500</t>
        </r>
      </text>
    </comment>
    <comment ref="BB27" authorId="0" shapeId="0" xr:uid="{7B421246-EF40-4B14-A065-2EC2A4E75666}">
      <text>
        <r>
          <rPr>
            <b/>
            <sz val="9"/>
            <color indexed="81"/>
            <rFont val="Tahoma"/>
            <family val="2"/>
          </rPr>
          <t>Eve Browning:</t>
        </r>
        <r>
          <rPr>
            <sz val="9"/>
            <color indexed="81"/>
            <rFont val="Tahoma"/>
            <family val="2"/>
          </rPr>
          <t xml:space="preserve">
Invoice 016594
This invoice covers our work carried out in March/April 2024:
• Attendance at Hearings
• Responses to written questions
• Updated reports
£4900</t>
        </r>
      </text>
    </comment>
    <comment ref="J28" authorId="0" shapeId="0" xr:uid="{308264D1-BC64-43D7-8863-BAED0450D7C1}">
      <text>
        <r>
          <rPr>
            <b/>
            <sz val="9"/>
            <color indexed="81"/>
            <rFont val="Tahoma"/>
            <family val="2"/>
          </rPr>
          <t>Eve Browning:</t>
        </r>
        <r>
          <rPr>
            <sz val="9"/>
            <color indexed="81"/>
            <rFont val="Tahoma"/>
            <family val="2"/>
          </rPr>
          <t xml:space="preserve">
Half of Wynns quote across both WB and C</t>
        </r>
      </text>
    </comment>
    <comment ref="AB28" authorId="0" shapeId="0" xr:uid="{144FDDE0-A758-4AC9-824A-3708A084B800}">
      <text>
        <r>
          <rPr>
            <b/>
            <sz val="9"/>
            <color indexed="81"/>
            <rFont val="Tahoma"/>
            <family val="2"/>
          </rPr>
          <t>Eve Browning:</t>
        </r>
        <r>
          <rPr>
            <sz val="9"/>
            <color indexed="81"/>
            <rFont val="Tahoma"/>
            <family val="2"/>
          </rPr>
          <t xml:space="preserve">
Invoice 3606</t>
        </r>
      </text>
    </comment>
    <comment ref="AC28" authorId="0" shapeId="0" xr:uid="{DA5FA828-7202-4B34-A6B3-BA2903E3E267}">
      <text>
        <r>
          <rPr>
            <b/>
            <sz val="9"/>
            <color indexed="81"/>
            <rFont val="Tahoma"/>
            <family val="2"/>
          </rPr>
          <t>Eve Browning:</t>
        </r>
        <r>
          <rPr>
            <sz val="9"/>
            <color indexed="81"/>
            <rFont val="Tahoma"/>
            <family val="2"/>
          </rPr>
          <t xml:space="preserve">
Invoice 3627</t>
        </r>
      </text>
    </comment>
    <comment ref="AD28" authorId="0" shapeId="0" xr:uid="{ECBA7E95-0BD5-4030-9BB9-5DC0668D92C9}">
      <text>
        <r>
          <rPr>
            <b/>
            <sz val="9"/>
            <color indexed="81"/>
            <rFont val="Tahoma"/>
            <family val="2"/>
          </rPr>
          <t>Eve Browning:</t>
        </r>
        <r>
          <rPr>
            <sz val="9"/>
            <color indexed="81"/>
            <rFont val="Tahoma"/>
            <family val="2"/>
          </rPr>
          <t xml:space="preserve">
Invoice 3639</t>
        </r>
      </text>
    </comment>
    <comment ref="AH28" authorId="0" shapeId="0" xr:uid="{80E40F65-E0CE-4F87-9D53-F6F4B98589D9}">
      <text>
        <r>
          <rPr>
            <b/>
            <sz val="9"/>
            <color indexed="81"/>
            <rFont val="Tahoma"/>
            <family val="2"/>
          </rPr>
          <t>Eve Browning:</t>
        </r>
        <r>
          <rPr>
            <sz val="9"/>
            <color indexed="81"/>
            <rFont val="Tahoma"/>
            <family val="2"/>
          </rPr>
          <t xml:space="preserve">
Invoice 3704</t>
        </r>
      </text>
    </comment>
    <comment ref="AI28" authorId="0" shapeId="0" xr:uid="{2EDB8681-2557-4CD7-9D46-96ED1891FD13}">
      <text>
        <r>
          <rPr>
            <b/>
            <sz val="9"/>
            <color indexed="81"/>
            <rFont val="Tahoma"/>
            <family val="2"/>
          </rPr>
          <t>Eve Browning:</t>
        </r>
        <r>
          <rPr>
            <sz val="9"/>
            <color indexed="81"/>
            <rFont val="Tahoma"/>
            <family val="2"/>
          </rPr>
          <t xml:space="preserve">
Invoice 3737</t>
        </r>
      </text>
    </comment>
    <comment ref="AK28" authorId="0" shapeId="0" xr:uid="{285ED50A-C87E-4DB1-87A3-9E154B49F338}">
      <text>
        <r>
          <rPr>
            <b/>
            <sz val="9"/>
            <color indexed="81"/>
            <rFont val="Tahoma"/>
            <family val="2"/>
          </rPr>
          <t>Eve Browning:</t>
        </r>
        <r>
          <rPr>
            <sz val="9"/>
            <color indexed="81"/>
            <rFont val="Tahoma"/>
            <family val="2"/>
          </rPr>
          <t xml:space="preserve">
Invoice 3752
Payment for works associated with heavy load access to the proposed West Burton Solar Farm Substations during November 2022 - £1080
Mileage - £108</t>
        </r>
      </text>
    </comment>
    <comment ref="AN28" authorId="0" shapeId="0" xr:uid="{2631BD50-C7DB-464F-A970-5BC7211A7491}">
      <text>
        <r>
          <rPr>
            <b/>
            <sz val="9"/>
            <color indexed="81"/>
            <rFont val="Tahoma"/>
            <family val="2"/>
          </rPr>
          <t>Eve Browning:</t>
        </r>
        <r>
          <rPr>
            <sz val="9"/>
            <color indexed="81"/>
            <rFont val="Tahoma"/>
            <family val="2"/>
          </rPr>
          <t xml:space="preserve">
Invoice 3813
Abnormal loads report updates - £765</t>
        </r>
      </text>
    </comment>
    <comment ref="AP28" authorId="0" shapeId="0" xr:uid="{7228896D-0700-4385-B384-D02FD31C8B2E}">
      <text>
        <r>
          <rPr>
            <b/>
            <sz val="9"/>
            <color indexed="81"/>
            <rFont val="Tahoma"/>
            <family val="2"/>
          </rPr>
          <t>Eve Browning:</t>
        </r>
        <r>
          <rPr>
            <sz val="9"/>
            <color indexed="81"/>
            <rFont val="Tahoma"/>
            <family val="2"/>
          </rPr>
          <t xml:space="preserve">
Invoice 3851
Abnormal load advice - £337.50</t>
        </r>
      </text>
    </comment>
    <comment ref="AQ28" authorId="0" shapeId="0" xr:uid="{F7212058-156E-4C62-AC95-6072093536B2}">
      <text>
        <r>
          <rPr>
            <b/>
            <sz val="9"/>
            <color indexed="81"/>
            <rFont val="Tahoma"/>
            <family val="2"/>
          </rPr>
          <t>Eve Browning:</t>
        </r>
        <r>
          <rPr>
            <sz val="9"/>
            <color indexed="81"/>
            <rFont val="Tahoma"/>
            <family val="2"/>
          </rPr>
          <t xml:space="preserve">
Invoice 3876
Swept paths for cable route - £900</t>
        </r>
      </text>
    </comment>
    <comment ref="AR28" authorId="0" shapeId="0" xr:uid="{5BC57EF6-BD70-46A2-8D67-67C1061C40DB}">
      <text>
        <r>
          <rPr>
            <b/>
            <sz val="9"/>
            <color indexed="81"/>
            <rFont val="Tahoma"/>
            <family val="2"/>
          </rPr>
          <t>Eve Browning:</t>
        </r>
        <r>
          <rPr>
            <sz val="9"/>
            <color indexed="81"/>
            <rFont val="Tahoma"/>
            <family val="2"/>
          </rPr>
          <t xml:space="preserve">
Invoice 3896
Swept paths for cable route - £652.50</t>
        </r>
      </text>
    </comment>
    <comment ref="AS28" authorId="0" shapeId="0" xr:uid="{D37EC7D4-EBEA-4710-8EA1-3EF4BB058CCA}">
      <text>
        <r>
          <rPr>
            <b/>
            <sz val="9"/>
            <color indexed="81"/>
            <rFont val="Tahoma"/>
            <family val="2"/>
          </rPr>
          <t>Eve Browning:</t>
        </r>
        <r>
          <rPr>
            <sz val="9"/>
            <color indexed="81"/>
            <rFont val="Tahoma"/>
            <family val="2"/>
          </rPr>
          <t xml:space="preserve">
Invoice 3915
Payment for works associated with heavy load access to the proposed 
West Burton Solar Farm Substations during July 2023. Additional works 
on Swept Path Assessments for cable drums. - £1380</t>
        </r>
      </text>
    </comment>
    <comment ref="AT28" authorId="0" shapeId="0" xr:uid="{80EA5727-ADE7-41BA-B603-7E72F6F6CD45}">
      <text>
        <r>
          <rPr>
            <b/>
            <sz val="9"/>
            <color indexed="81"/>
            <rFont val="Tahoma"/>
            <family val="2"/>
          </rPr>
          <t>Eve Browning:</t>
        </r>
        <r>
          <rPr>
            <sz val="9"/>
            <color indexed="81"/>
            <rFont val="Tahoma"/>
            <family val="2"/>
          </rPr>
          <t xml:space="preserve">
Invoice 3932
Additional work on swept paths at WB1 - £427.50</t>
        </r>
      </text>
    </comment>
    <comment ref="AW28" authorId="0" shapeId="0" xr:uid="{BE16C4E0-6D1A-4E62-943F-62459E2D6B4E}">
      <text>
        <r>
          <rPr>
            <b/>
            <sz val="9"/>
            <color indexed="81"/>
            <rFont val="Tahoma"/>
            <family val="2"/>
          </rPr>
          <t>Eve Browning:</t>
        </r>
        <r>
          <rPr>
            <sz val="9"/>
            <color indexed="81"/>
            <rFont val="Tahoma"/>
            <family val="2"/>
          </rPr>
          <t xml:space="preserve">
Invoice 3992
Payment for works associated with heavy load access to the proposed 
West Burton Solar Farm Substation during November 2023. Additional 
works on site requirements and comments from Lincolnshire County 
Council questions from public examination. Agreed hourly rates as per 
our proposal dated 27.01.2022 (Ref. W/2022/AP/0018).
£157.50</t>
        </r>
      </text>
    </comment>
    <comment ref="J29" authorId="0" shapeId="0" xr:uid="{4715CE39-0C41-47AA-A7F1-248A3BD3C654}">
      <text>
        <r>
          <rPr>
            <b/>
            <sz val="9"/>
            <color indexed="81"/>
            <rFont val="Tahoma"/>
            <family val="2"/>
          </rPr>
          <t>Eve Browning:</t>
        </r>
        <r>
          <rPr>
            <sz val="9"/>
            <color indexed="81"/>
            <rFont val="Tahoma"/>
            <family val="2"/>
          </rPr>
          <t xml:space="preserve">
Clarkson and Woods. Half of revised quote inc. bat surveys
Additional costs added for otters and water voles/bat tree and building inspections.</t>
        </r>
      </text>
    </comment>
    <comment ref="AB29" authorId="0" shapeId="0" xr:uid="{BD655595-7A6B-4484-996A-97BC1C645F50}">
      <text>
        <r>
          <rPr>
            <b/>
            <sz val="9"/>
            <color indexed="81"/>
            <rFont val="Tahoma"/>
            <family val="2"/>
          </rPr>
          <t>Eve Browning:</t>
        </r>
        <r>
          <rPr>
            <sz val="9"/>
            <color indexed="81"/>
            <rFont val="Tahoma"/>
            <family val="2"/>
          </rPr>
          <t xml:space="preserve">
Substation walkover survey - invoice 77357
Wintering bird survey and half day consultation fee - invoice 747918</t>
        </r>
      </text>
    </comment>
    <comment ref="AC29" authorId="0" shapeId="0" xr:uid="{F11CC164-BE9D-43E6-8533-4165B946D698}">
      <text>
        <r>
          <rPr>
            <b/>
            <sz val="9"/>
            <color indexed="81"/>
            <rFont val="Tahoma"/>
            <family val="2"/>
          </rPr>
          <t>Eve Browning:</t>
        </r>
        <r>
          <rPr>
            <sz val="9"/>
            <color indexed="81"/>
            <rFont val="Tahoma"/>
            <family val="2"/>
          </rPr>
          <t xml:space="preserve">
1 x wintering bird survey + meeting attendance 15/03
Invoice 747920</t>
        </r>
      </text>
    </comment>
    <comment ref="AD29" authorId="0" shapeId="0" xr:uid="{2EF96670-C061-4BAB-8204-445E0758E254}">
      <text>
        <r>
          <rPr>
            <b/>
            <sz val="9"/>
            <color indexed="81"/>
            <rFont val="Tahoma"/>
            <family val="2"/>
          </rPr>
          <t>Eve Browning:</t>
        </r>
        <r>
          <rPr>
            <sz val="9"/>
            <color indexed="81"/>
            <rFont val="Tahoma"/>
            <family val="2"/>
          </rPr>
          <t xml:space="preserve">
- Otter and water vole survey - £6472.5
(Invoice 77358)
-April Breeding Bird Survey - £9047.50
-April bat detector survey - £7,712.50
-Badger survey - £1500
(Invoice 747922)</t>
        </r>
      </text>
    </comment>
    <comment ref="AE29" authorId="0" shapeId="0" xr:uid="{06E6DB17-8547-4A17-AA11-B4982FD092BD}">
      <text>
        <r>
          <rPr>
            <b/>
            <sz val="9"/>
            <color indexed="81"/>
            <rFont val="Tahoma"/>
            <family val="2"/>
          </rPr>
          <t>Eve Browning:</t>
        </r>
        <r>
          <rPr>
            <sz val="9"/>
            <color indexed="81"/>
            <rFont val="Tahoma"/>
            <family val="2"/>
          </rPr>
          <t xml:space="preserve">
</t>
        </r>
        <r>
          <rPr>
            <b/>
            <sz val="9"/>
            <color indexed="81"/>
            <rFont val="Tahoma"/>
            <family val="2"/>
          </rPr>
          <t>Invoice 727924</t>
        </r>
        <r>
          <rPr>
            <sz val="9"/>
            <color indexed="81"/>
            <rFont val="Tahoma"/>
            <family val="2"/>
          </rPr>
          <t xml:space="preserve">
-May (Final) Breeding Bird Survey - £11,236.50
-May (Final) bat detector survey - £7,812.50
-Great crested newt eDNA surveys of up to 35 ponds in relation to cable routes AND array sites (potential to be fewer depending on access and whether they hold water or indeed exist) - £4250+£4050 (visits plus lab analysis)
-Preparation of PEIR Ecology chapter – up to £5,600.00 
-Input into Landscape and Ecological Management Plan (or similar) – £1,500.00 
-April breeding bird survey (WB4) - £2189.00
</t>
        </r>
        <r>
          <rPr>
            <b/>
            <sz val="9"/>
            <color indexed="81"/>
            <rFont val="Tahoma"/>
            <family val="2"/>
          </rPr>
          <t xml:space="preserve">Invoice 773510
</t>
        </r>
        <r>
          <rPr>
            <sz val="9"/>
            <color indexed="81"/>
            <rFont val="Tahoma"/>
            <family val="2"/>
          </rPr>
          <t xml:space="preserve">-Watercourse and ditch survey WB4 £502.50
- Building inspection bats and birds £5100
- Expansion of bat report with building and tree inspection mapping £1950 
</t>
        </r>
      </text>
    </comment>
    <comment ref="AF29" authorId="0" shapeId="0" xr:uid="{6C7D3E50-0248-4C4D-9997-0C3847A21218}">
      <text>
        <r>
          <rPr>
            <b/>
            <sz val="9"/>
            <color indexed="81"/>
            <rFont val="Tahoma"/>
            <family val="2"/>
          </rPr>
          <t>Eve Browning:</t>
        </r>
        <r>
          <rPr>
            <sz val="9"/>
            <color indexed="81"/>
            <rFont val="Tahoma"/>
            <family val="2"/>
          </rPr>
          <t xml:space="preserve">
</t>
        </r>
        <r>
          <rPr>
            <b/>
            <sz val="9"/>
            <color indexed="81"/>
            <rFont val="Tahoma"/>
            <family val="2"/>
          </rPr>
          <t xml:space="preserve">
Invoice 80081</t>
        </r>
        <r>
          <rPr>
            <sz val="9"/>
            <color indexed="81"/>
            <rFont val="Tahoma"/>
            <family val="2"/>
          </rPr>
          <t xml:space="preserve">
- 2 x cable route breeding bird surveys - £12990
</t>
        </r>
        <r>
          <rPr>
            <b/>
            <sz val="9"/>
            <color indexed="81"/>
            <rFont val="Tahoma"/>
            <family val="2"/>
          </rPr>
          <t>Invoice 773512</t>
        </r>
        <r>
          <rPr>
            <sz val="9"/>
            <color indexed="81"/>
            <rFont val="Tahoma"/>
            <family val="2"/>
          </rPr>
          <t xml:space="preserve">
- Cable route phase 1 (50%) - £7500
</t>
        </r>
        <r>
          <rPr>
            <b/>
            <sz val="9"/>
            <color indexed="81"/>
            <rFont val="Tahoma"/>
            <family val="2"/>
          </rPr>
          <t xml:space="preserve">
Invoice 747926
</t>
        </r>
        <r>
          <rPr>
            <sz val="9"/>
            <color indexed="81"/>
            <rFont val="Tahoma"/>
            <family val="2"/>
          </rPr>
          <t>- Pond visits and eDNA: (£2210+£2250+£300)</t>
        </r>
        <r>
          <rPr>
            <b/>
            <sz val="9"/>
            <color indexed="81"/>
            <rFont val="Tahoma"/>
            <family val="2"/>
          </rPr>
          <t xml:space="preserve">
</t>
        </r>
        <r>
          <rPr>
            <sz val="9"/>
            <color indexed="81"/>
            <rFont val="Tahoma"/>
            <family val="2"/>
          </rPr>
          <t>- Public exhibition attendance: £750
- Meeting attendance £375</t>
        </r>
        <r>
          <rPr>
            <b/>
            <sz val="9"/>
            <color indexed="81"/>
            <rFont val="Tahoma"/>
            <family val="2"/>
          </rPr>
          <t xml:space="preserve">
</t>
        </r>
        <r>
          <rPr>
            <sz val="9"/>
            <color indexed="81"/>
            <rFont val="Tahoma"/>
            <family val="2"/>
          </rPr>
          <t xml:space="preserve">
</t>
        </r>
      </text>
    </comment>
    <comment ref="AG29" authorId="0" shapeId="0" xr:uid="{39EEE639-3160-4BE1-B743-5FF74786124E}">
      <text>
        <r>
          <rPr>
            <b/>
            <sz val="9"/>
            <color indexed="81"/>
            <rFont val="Tahoma"/>
            <family val="2"/>
          </rPr>
          <t>Eve Browning:</t>
        </r>
        <r>
          <rPr>
            <sz val="9"/>
            <color indexed="81"/>
            <rFont val="Tahoma"/>
            <family val="2"/>
          </rPr>
          <t xml:space="preserve">
Invoice 747928
- Wintering bird survey report - £2200
- Breeding bird survey report - £2465
- Bat survey report - £2800
- GCN survey report - £870
- Cambridge meeting - £938
Invoice 773514
- 25% of Phase 1 survey of WB cable route (75% total invoiced so far) - £3750
Invoice 80083
- Third and final breeding bird survey of WB cable route - £6495</t>
        </r>
      </text>
    </comment>
    <comment ref="AK29" authorId="0" shapeId="0" xr:uid="{DE313991-EE57-4B08-9A6B-ABFD2DE84AF6}">
      <text>
        <r>
          <rPr>
            <b/>
            <sz val="9"/>
            <color indexed="81"/>
            <rFont val="Tahoma"/>
            <family val="2"/>
          </rPr>
          <t>Eve Browning:</t>
        </r>
        <r>
          <rPr>
            <sz val="9"/>
            <color indexed="81"/>
            <rFont val="Tahoma"/>
            <family val="2"/>
          </rPr>
          <t xml:space="preserve">
Invoice 773517
Phase 1 cable route (25%) - £3750
Otter and water vole report - £2275
West Burton substation site survey - £960</t>
        </r>
      </text>
    </comment>
    <comment ref="AM29" authorId="0" shapeId="0" xr:uid="{2F991F85-C2EA-460E-99A4-A940BFD2BBCB}">
      <text>
        <r>
          <rPr>
            <b/>
            <sz val="9"/>
            <color indexed="81"/>
            <rFont val="Tahoma"/>
            <family val="2"/>
          </rPr>
          <t>Eve Browning:</t>
        </r>
        <r>
          <rPr>
            <sz val="9"/>
            <color indexed="81"/>
            <rFont val="Tahoma"/>
            <family val="2"/>
          </rPr>
          <t xml:space="preserve">
Invoice 747931
Preparation of ES Chapter 3,700.00 
BNG Assessment (remaining 50% fee to Cover Proposals Calculations) 2,950.00 
Input into LEMP 4,500.00 
Preparation of Ecological Protection and Mitigation Scheme 2,800.00
Meetings attendance in Sep/Oct/Nov 645.00 
Design support in Sep/Oct/Nov 3,220.00</t>
        </r>
      </text>
    </comment>
    <comment ref="AN29" authorId="0" shapeId="0" xr:uid="{E5D434AD-F4BA-403C-ABDB-1DFD16971D52}">
      <text>
        <r>
          <rPr>
            <b/>
            <sz val="9"/>
            <color indexed="81"/>
            <rFont val="Tahoma"/>
            <family val="2"/>
          </rPr>
          <t>Eve Browning:</t>
        </r>
        <r>
          <rPr>
            <sz val="9"/>
            <color indexed="81"/>
            <rFont val="Tahoma"/>
            <family val="2"/>
          </rPr>
          <t xml:space="preserve">
Invoice 7479
ES Chapter Revisions 1,500.00
OLEMP Revisions 1,300.00
Survey of land at West Burton PS and Mapping 1,100.00
Design support in Jan/Feb 2,150.00</t>
        </r>
      </text>
    </comment>
    <comment ref="AQ29" authorId="0" shapeId="0" xr:uid="{51BA29B0-9E40-474E-9F75-8F12B9C98826}">
      <text>
        <r>
          <rPr>
            <b/>
            <sz val="9"/>
            <color indexed="81"/>
            <rFont val="Tahoma"/>
            <family val="2"/>
          </rPr>
          <t>Eve Browning:</t>
        </r>
        <r>
          <rPr>
            <sz val="9"/>
            <color indexed="81"/>
            <rFont val="Tahoma"/>
            <family val="2"/>
          </rPr>
          <t xml:space="preserve">
Invoice 84312
- GCN eDNA surveys on shared cable route - £1125
- Lab fee per pond - £1125</t>
        </r>
      </text>
    </comment>
    <comment ref="AV29" authorId="0" shapeId="0" xr:uid="{5F34777A-634B-45CD-B717-B28484BD5877}">
      <text>
        <r>
          <rPr>
            <b/>
            <sz val="9"/>
            <color indexed="81"/>
            <rFont val="Tahoma"/>
            <family val="2"/>
          </rPr>
          <t>Eve Browning:</t>
        </r>
        <r>
          <rPr>
            <sz val="9"/>
            <color indexed="81"/>
            <rFont val="Tahoma"/>
            <family val="2"/>
          </rPr>
          <t xml:space="preserve">
</t>
        </r>
        <r>
          <rPr>
            <b/>
            <sz val="9"/>
            <color indexed="81"/>
            <rFont val="Tahoma"/>
            <family val="2"/>
          </rPr>
          <t>Invoice 84981</t>
        </r>
        <r>
          <rPr>
            <sz val="9"/>
            <color indexed="81"/>
            <rFont val="Tahoma"/>
            <family val="2"/>
          </rPr>
          <t xml:space="preserve">
Preparation of BNG Assessment Report v2 to include Cable Route Corridor 5,100.00
</t>
        </r>
        <r>
          <rPr>
            <b/>
            <sz val="9"/>
            <color indexed="81"/>
            <rFont val="Tahoma"/>
            <family val="2"/>
          </rPr>
          <t xml:space="preserve">Invoice 84315
</t>
        </r>
        <r>
          <rPr>
            <sz val="9"/>
            <color indexed="81"/>
            <rFont val="Tahoma"/>
            <family val="2"/>
          </rPr>
          <t>Statement of Common Ground - Natural England (50% budget) 1,000.00
Statement of Common Ground - Environment Agency (comments) 106.00 
Statement of Common Ground - Lincolnshire Wildlife Trust (50% budget) 750.00
Statement of Common Ground - Notts Wildlife Trust (50% budget) 750.00
Relevant Representations to Councils (100% budget) 1,150.00 
RRs to Other Statutory Consultees (100% budget) 1,150.00
RRs to Members of the Public (100% budget) 1,150.00</t>
        </r>
      </text>
    </comment>
    <comment ref="AX29" authorId="0" shapeId="0" xr:uid="{F3D5AE62-27AD-4F77-8E47-AFD6145AF620}">
      <text>
        <r>
          <rPr>
            <b/>
            <sz val="9"/>
            <color indexed="81"/>
            <rFont val="Tahoma"/>
            <family val="2"/>
          </rPr>
          <t>Eve Browning:</t>
        </r>
        <r>
          <rPr>
            <sz val="9"/>
            <color indexed="81"/>
            <rFont val="Tahoma"/>
            <family val="2"/>
          </rPr>
          <t xml:space="preserve">
Invoice 84317
Change Application SEIR 318.00
DL3: Fish EMF Risk Assessment 424.00
DL3: Update iHRA 106.00 
DL3: OLEMP Update 53.00
DL3: EA Statement of Common Ground 53.00
DL3: NE SoCG 212.00
DL3: ExQ1 Responses 424.00
DL3: LIR Responses 212.00 
DL3: WR Responses Pt 1 265.00
DL3: WR Responses Pt 2 265.00
DL3: WR Responses Pt 3 265.00 
Interrelationships Report Updates (split with Cottam) 106.00
OFH1 Written Summary comments 265.00
ISH Attendance 1,000.00 
Exclusion of DCO Time Limit document input 106.00</t>
        </r>
      </text>
    </comment>
    <comment ref="BC29" authorId="0" shapeId="0" xr:uid="{B821A586-3D61-4885-9D1D-72D3A3E478CA}">
      <text>
        <r>
          <rPr>
            <b/>
            <sz val="9"/>
            <color indexed="81"/>
            <rFont val="Tahoma"/>
            <family val="2"/>
          </rPr>
          <t>Eve Browning:</t>
        </r>
        <r>
          <rPr>
            <sz val="9"/>
            <color indexed="81"/>
            <rFont val="Tahoma"/>
            <family val="2"/>
          </rPr>
          <t xml:space="preserve">
Invoice 84319
West Burton Solar Project Examination - Works Jan 2024 to May 8th 2024
Finalisation of SoCG with NE 212.00 
Finalisation of SoCG with Lincs WT 318.00 
Finalisation of SoCG with EA 636.00 
West Burton virtual change application hearing 106.00 
Input into Responses to DL4 and DL4ASubmissions 212.00 
Input into Responses to DL5 Submissions 212.00 
Input into Joint Interrelationships Report 106.00 
Input into Technical Note on Cumulative Effects 159.00 
Input into ESAddendum on Cumulative Effects 212.00
Input into ExA's 2WQs 212.00
Input into ISH3 Oral Submissions 106.00
Input into Responses to DL2 and DL3 Submissions 212.00 
ISH Attendance 1,000.00
Total £3703.00</t>
        </r>
      </text>
    </comment>
    <comment ref="AA30" authorId="0" shapeId="0" xr:uid="{FA16033E-B098-4E49-8AC1-0AB48A915F55}">
      <text>
        <r>
          <rPr>
            <b/>
            <sz val="9"/>
            <color indexed="81"/>
            <rFont val="Tahoma"/>
            <family val="2"/>
          </rPr>
          <t>Eve Browning:</t>
        </r>
        <r>
          <rPr>
            <sz val="9"/>
            <color indexed="81"/>
            <rFont val="Tahoma"/>
            <family val="2"/>
          </rPr>
          <t xml:space="preserve">
Invoice mumber 005234</t>
        </r>
      </text>
    </comment>
    <comment ref="AE30" authorId="0" shapeId="0" xr:uid="{BE62828C-848B-491D-8E9F-126DE02EF99B}">
      <text>
        <r>
          <rPr>
            <b/>
            <sz val="9"/>
            <color indexed="81"/>
            <rFont val="Tahoma"/>
            <family val="2"/>
          </rPr>
          <t>Eve Browning:</t>
        </r>
        <r>
          <rPr>
            <sz val="9"/>
            <color indexed="81"/>
            <rFont val="Tahoma"/>
            <family val="2"/>
          </rPr>
          <t xml:space="preserve">
Invoice 005825 for £5k
Invoice 005644 for £735</t>
        </r>
      </text>
    </comment>
    <comment ref="AF30" authorId="0" shapeId="0" xr:uid="{D61FE7DD-EDA2-475A-982F-2EAF836A5050}">
      <text>
        <r>
          <rPr>
            <b/>
            <sz val="9"/>
            <color indexed="81"/>
            <rFont val="Tahoma"/>
            <family val="2"/>
          </rPr>
          <t>Eve Browning:</t>
        </r>
        <r>
          <rPr>
            <sz val="9"/>
            <color indexed="81"/>
            <rFont val="Tahoma"/>
            <family val="2"/>
          </rPr>
          <t xml:space="preserve">
Invoice 006070</t>
        </r>
      </text>
    </comment>
    <comment ref="AG30" authorId="0" shapeId="0" xr:uid="{674A5764-C2E7-4FEA-A1C0-C778DC9AE935}">
      <text>
        <r>
          <rPr>
            <b/>
            <sz val="9"/>
            <color indexed="81"/>
            <rFont val="Tahoma"/>
            <family val="2"/>
          </rPr>
          <t>Eve Browning:</t>
        </r>
        <r>
          <rPr>
            <sz val="9"/>
            <color indexed="81"/>
            <rFont val="Tahoma"/>
            <family val="2"/>
          </rPr>
          <t xml:space="preserve">
Invoice 006199</t>
        </r>
      </text>
    </comment>
    <comment ref="AH30" authorId="0" shapeId="0" xr:uid="{E415681F-7719-4674-AAC5-09C4062ECA80}">
      <text>
        <r>
          <rPr>
            <b/>
            <sz val="9"/>
            <color indexed="81"/>
            <rFont val="Tahoma"/>
            <family val="2"/>
          </rPr>
          <t>Eve Browning:</t>
        </r>
        <r>
          <rPr>
            <sz val="9"/>
            <color indexed="81"/>
            <rFont val="Tahoma"/>
            <family val="2"/>
          </rPr>
          <t xml:space="preserve">
Invoice 006301</t>
        </r>
      </text>
    </comment>
    <comment ref="AI30" authorId="0" shapeId="0" xr:uid="{39C25E38-39BC-40FA-A27A-9EC55044D2B4}">
      <text>
        <r>
          <rPr>
            <b/>
            <sz val="9"/>
            <color indexed="81"/>
            <rFont val="Tahoma"/>
            <family val="2"/>
          </rPr>
          <t>Eve Browning:</t>
        </r>
        <r>
          <rPr>
            <sz val="9"/>
            <color indexed="81"/>
            <rFont val="Tahoma"/>
            <family val="2"/>
          </rPr>
          <t xml:space="preserve">
Invoice 006653
Environmental masterplan - £2050</t>
        </r>
      </text>
    </comment>
    <comment ref="AK30" authorId="0" shapeId="0" xr:uid="{3F57A2F9-8A6E-4664-93BA-AD911E90FA2F}">
      <text>
        <r>
          <rPr>
            <b/>
            <sz val="9"/>
            <color indexed="81"/>
            <rFont val="Tahoma"/>
            <family val="2"/>
          </rPr>
          <t>Eve Browning:</t>
        </r>
        <r>
          <rPr>
            <sz val="9"/>
            <color indexed="81"/>
            <rFont val="Tahoma"/>
            <family val="2"/>
          </rPr>
          <t xml:space="preserve">
Invoice 007028</t>
        </r>
      </text>
    </comment>
    <comment ref="AL30" authorId="0" shapeId="0" xr:uid="{67578DE7-F409-4990-AEA1-9289B6B648B8}">
      <text>
        <r>
          <rPr>
            <b/>
            <sz val="9"/>
            <color indexed="81"/>
            <rFont val="Tahoma"/>
            <family val="2"/>
          </rPr>
          <t>Eve Browning:</t>
        </r>
        <r>
          <rPr>
            <sz val="9"/>
            <color indexed="81"/>
            <rFont val="Tahoma"/>
            <family val="2"/>
          </rPr>
          <t xml:space="preserve">
Invoice 007067
Environmental masterplan</t>
        </r>
      </text>
    </comment>
    <comment ref="AM30" authorId="0" shapeId="0" xr:uid="{1B6967EA-F6D0-413E-8601-FCC0C15C5E42}">
      <text>
        <r>
          <rPr>
            <b/>
            <sz val="9"/>
            <color indexed="81"/>
            <rFont val="Tahoma"/>
            <family val="2"/>
          </rPr>
          <t>Eve Browning:</t>
        </r>
        <r>
          <rPr>
            <sz val="9"/>
            <color indexed="81"/>
            <rFont val="Tahoma"/>
            <family val="2"/>
          </rPr>
          <t xml:space="preserve">
Invoice 007393
Env masterplan - £5000</t>
        </r>
      </text>
    </comment>
    <comment ref="AC31" authorId="0" shapeId="0" xr:uid="{5C0DA6FA-D547-47B4-B729-7D6B71A8424F}">
      <text>
        <r>
          <rPr>
            <b/>
            <sz val="9"/>
            <color indexed="81"/>
            <rFont val="Tahoma"/>
            <family val="2"/>
          </rPr>
          <t>Eve Browning:</t>
        </r>
        <r>
          <rPr>
            <sz val="9"/>
            <color indexed="81"/>
            <rFont val="Tahoma"/>
            <family val="2"/>
          </rPr>
          <t xml:space="preserve">
Invoice 005472</t>
        </r>
      </text>
    </comment>
    <comment ref="AD31" authorId="0" shapeId="0" xr:uid="{D672ACB3-420B-446A-A162-624591A81FE2}">
      <text>
        <r>
          <rPr>
            <b/>
            <sz val="9"/>
            <color indexed="81"/>
            <rFont val="Tahoma"/>
            <family val="2"/>
          </rPr>
          <t>Eve Browning:</t>
        </r>
        <r>
          <rPr>
            <sz val="9"/>
            <color indexed="81"/>
            <rFont val="Tahoma"/>
            <family val="2"/>
          </rPr>
          <t xml:space="preserve">
Invoice 005825</t>
        </r>
      </text>
    </comment>
    <comment ref="AE31" authorId="0" shapeId="0" xr:uid="{EFD3F373-A93C-46C1-A907-BFCB45E1D890}">
      <text>
        <r>
          <rPr>
            <b/>
            <sz val="9"/>
            <color indexed="81"/>
            <rFont val="Tahoma"/>
            <family val="2"/>
          </rPr>
          <t>Eve Browning:</t>
        </r>
        <r>
          <rPr>
            <sz val="9"/>
            <color indexed="81"/>
            <rFont val="Tahoma"/>
            <family val="2"/>
          </rPr>
          <t xml:space="preserve">
Invoice 005644</t>
        </r>
      </text>
    </comment>
    <comment ref="AF31" authorId="0" shapeId="0" xr:uid="{BD9B3607-F25B-437C-AAA1-71DACBDD30FE}">
      <text>
        <r>
          <rPr>
            <b/>
            <sz val="9"/>
            <color indexed="81"/>
            <rFont val="Tahoma"/>
            <family val="2"/>
          </rPr>
          <t>Eve Browning:</t>
        </r>
        <r>
          <rPr>
            <sz val="9"/>
            <color indexed="81"/>
            <rFont val="Tahoma"/>
            <family val="2"/>
          </rPr>
          <t xml:space="preserve">
</t>
        </r>
        <r>
          <rPr>
            <b/>
            <sz val="9"/>
            <color indexed="81"/>
            <rFont val="Tahoma"/>
            <family val="2"/>
          </rPr>
          <t xml:space="preserve">Invoice 006070
</t>
        </r>
        <r>
          <rPr>
            <sz val="9"/>
            <color indexed="81"/>
            <rFont val="Tahoma"/>
            <family val="2"/>
          </rPr>
          <t>- Consultation, LVIA, meetings, summer photography and processing,travel expenses</t>
        </r>
      </text>
    </comment>
    <comment ref="AG31" authorId="0" shapeId="0" xr:uid="{F370678A-F80B-4987-8502-CD78CEEDEE02}">
      <text>
        <r>
          <rPr>
            <b/>
            <sz val="9"/>
            <color indexed="81"/>
            <rFont val="Tahoma"/>
            <family val="2"/>
          </rPr>
          <t>Eve Browning:</t>
        </r>
        <r>
          <rPr>
            <sz val="9"/>
            <color indexed="81"/>
            <rFont val="Tahoma"/>
            <family val="2"/>
          </rPr>
          <t xml:space="preserve">
Invoice 006199</t>
        </r>
      </text>
    </comment>
    <comment ref="AH31" authorId="0" shapeId="0" xr:uid="{D2C0E745-5341-45FB-AB64-1A698F45A2BA}">
      <text>
        <r>
          <rPr>
            <b/>
            <sz val="9"/>
            <color indexed="81"/>
            <rFont val="Tahoma"/>
            <family val="2"/>
          </rPr>
          <t>Eve Browning:</t>
        </r>
        <r>
          <rPr>
            <sz val="9"/>
            <color indexed="81"/>
            <rFont val="Tahoma"/>
            <family val="2"/>
          </rPr>
          <t xml:space="preserve">
Invoice 006301 - LVIA and meetings/public consultations</t>
        </r>
      </text>
    </comment>
    <comment ref="AI31" authorId="0" shapeId="0" xr:uid="{F7B6F8F4-B3DB-40E6-A2B6-9BC6E7E6C6E0}">
      <text>
        <r>
          <rPr>
            <b/>
            <sz val="9"/>
            <color indexed="81"/>
            <rFont val="Tahoma"/>
            <family val="2"/>
          </rPr>
          <t>Eve Browning:</t>
        </r>
        <r>
          <rPr>
            <sz val="9"/>
            <color indexed="81"/>
            <rFont val="Tahoma"/>
            <family val="2"/>
          </rPr>
          <t xml:space="preserve">
Invoice 006653
LVIA £3,900.88
Meetings/Consultation £1,250.00 
Red Line Boundary updates - GIS £360.00</t>
        </r>
      </text>
    </comment>
    <comment ref="AJ31" authorId="0" shapeId="0" xr:uid="{53CB5076-1587-4F41-89CB-9521F2A19BEF}">
      <text>
        <r>
          <rPr>
            <b/>
            <sz val="9"/>
            <color indexed="81"/>
            <rFont val="Tahoma"/>
            <family val="2"/>
          </rPr>
          <t>Eve Browning:</t>
        </r>
        <r>
          <rPr>
            <sz val="9"/>
            <color indexed="81"/>
            <rFont val="Tahoma"/>
            <family val="2"/>
          </rPr>
          <t xml:space="preserve">
Invoice 006828
LVIA £3,450.00 
Meetings/Consultation £367.50</t>
        </r>
      </text>
    </comment>
    <comment ref="AK31" authorId="0" shapeId="0" xr:uid="{74C47C68-B01A-4616-AFFE-7D973163A6FE}">
      <text>
        <r>
          <rPr>
            <b/>
            <sz val="9"/>
            <color indexed="81"/>
            <rFont val="Tahoma"/>
            <family val="2"/>
          </rPr>
          <t>Eve Browning:</t>
        </r>
        <r>
          <rPr>
            <sz val="9"/>
            <color indexed="81"/>
            <rFont val="Tahoma"/>
            <family val="2"/>
          </rPr>
          <t xml:space="preserve">
Invoice 007028
LVIA - £2750
Meetings - £412.5</t>
        </r>
      </text>
    </comment>
    <comment ref="AL31" authorId="0" shapeId="0" xr:uid="{69FC955F-18FD-42D6-8B0E-BCB0A41D7C07}">
      <text>
        <r>
          <rPr>
            <b/>
            <sz val="9"/>
            <color indexed="81"/>
            <rFont val="Tahoma"/>
            <family val="2"/>
          </rPr>
          <t>Eve Browning:</t>
        </r>
        <r>
          <rPr>
            <sz val="9"/>
            <color indexed="81"/>
            <rFont val="Tahoma"/>
            <family val="2"/>
          </rPr>
          <t xml:space="preserve">
Invoice 007067
GIS Suite of Figures, Abnormal loads, Land ownership, ALC, DCO Works Plans
£5,000.00 
Meetings £1,000.00
LVIA £3,300.00</t>
        </r>
      </text>
    </comment>
    <comment ref="AM31" authorId="0" shapeId="0" xr:uid="{C88DC508-2DFC-4323-AC2D-BD90AB81CE4C}">
      <text>
        <r>
          <rPr>
            <b/>
            <sz val="9"/>
            <color indexed="81"/>
            <rFont val="Tahoma"/>
            <family val="2"/>
          </rPr>
          <t>Eve Browning:</t>
        </r>
        <r>
          <rPr>
            <sz val="9"/>
            <color indexed="81"/>
            <rFont val="Tahoma"/>
            <family val="2"/>
          </rPr>
          <t xml:space="preserve">
Invoice 007393
- GIS Suite of Figures, Abnormal loads, Land ownership, ALC, DCO Works Plans - £5,000.00 
- LEMP Masterplan with ecological Mitigation £4,000.00 
- LVIA £15,750.00
- Meetings £2,500.00
- Photomasking and montages (winter year 1 and summer year 15) £8,250.00</t>
        </r>
      </text>
    </comment>
    <comment ref="AN31" authorId="0" shapeId="0" xr:uid="{34E203B7-5CE3-49CF-8D11-B32C3447AD2A}">
      <text>
        <r>
          <rPr>
            <b/>
            <sz val="9"/>
            <color indexed="81"/>
            <rFont val="Tahoma"/>
            <family val="2"/>
          </rPr>
          <t>Eve Browning:</t>
        </r>
        <r>
          <rPr>
            <sz val="9"/>
            <color indexed="81"/>
            <rFont val="Tahoma"/>
            <family val="2"/>
          </rPr>
          <t xml:space="preserve">
</t>
        </r>
        <r>
          <rPr>
            <b/>
            <sz val="9"/>
            <color indexed="81"/>
            <rFont val="Tahoma"/>
            <family val="2"/>
          </rPr>
          <t>Invoice 007620</t>
        </r>
        <r>
          <rPr>
            <sz val="9"/>
            <color indexed="81"/>
            <rFont val="Tahoma"/>
            <family val="2"/>
          </rPr>
          <t xml:space="preserve">
Building 3D Model of solar farm + Montage progression £11,500.00
LVIA £24,150.00 
Photomasking and montages (winter year 1 and summer year 15) £11,500.00
</t>
        </r>
        <r>
          <rPr>
            <b/>
            <sz val="9"/>
            <color indexed="81"/>
            <rFont val="Tahoma"/>
            <family val="2"/>
          </rPr>
          <t>Invoice 007693</t>
        </r>
        <r>
          <rPr>
            <sz val="9"/>
            <color indexed="81"/>
            <rFont val="Tahoma"/>
            <family val="2"/>
          </rPr>
          <t xml:space="preserve">
LVIA up to submission - £61573.77</t>
        </r>
      </text>
    </comment>
    <comment ref="AP31" authorId="0" shapeId="0" xr:uid="{91B348AC-65B0-47F2-A1AD-B1460994678E}">
      <text>
        <r>
          <rPr>
            <b/>
            <sz val="9"/>
            <color indexed="81"/>
            <rFont val="Tahoma"/>
            <family val="2"/>
          </rPr>
          <t>Eve Browning:</t>
        </r>
        <r>
          <rPr>
            <sz val="9"/>
            <color indexed="81"/>
            <rFont val="Tahoma"/>
            <family val="2"/>
          </rPr>
          <t xml:space="preserve">
Invoice 8017
Stage 4 - pre-examination - £9710.25</t>
        </r>
      </text>
    </comment>
    <comment ref="AQ31" authorId="0" shapeId="0" xr:uid="{66F0A9FB-16F8-4348-ABA5-0462944BB25E}">
      <text>
        <r>
          <rPr>
            <b/>
            <sz val="9"/>
            <color indexed="81"/>
            <rFont val="Tahoma"/>
            <family val="2"/>
          </rPr>
          <t>Eve Browning:</t>
        </r>
        <r>
          <rPr>
            <sz val="9"/>
            <color indexed="81"/>
            <rFont val="Tahoma"/>
            <family val="2"/>
          </rPr>
          <t xml:space="preserve">
Invoice 008271
Stage 4 - Pre-examination - £6306.00</t>
        </r>
      </text>
    </comment>
    <comment ref="AR31" authorId="0" shapeId="0" xr:uid="{12AE071B-B5EF-495B-8801-944D88D3B819}">
      <text>
        <r>
          <rPr>
            <b/>
            <sz val="9"/>
            <color indexed="81"/>
            <rFont val="Tahoma"/>
            <family val="2"/>
          </rPr>
          <t>Eve Browning:</t>
        </r>
        <r>
          <rPr>
            <sz val="9"/>
            <color indexed="81"/>
            <rFont val="Tahoma"/>
            <family val="2"/>
          </rPr>
          <t xml:space="preserve">
Invoice 008341
Pre-examination - £2325</t>
        </r>
      </text>
    </comment>
    <comment ref="AS31" authorId="0" shapeId="0" xr:uid="{DE2F3FDE-126F-426C-BC71-DA3741623DAB}">
      <text>
        <r>
          <rPr>
            <b/>
            <sz val="9"/>
            <color indexed="81"/>
            <rFont val="Tahoma"/>
            <family val="2"/>
          </rPr>
          <t>Eve Browning:</t>
        </r>
        <r>
          <rPr>
            <sz val="9"/>
            <color indexed="81"/>
            <rFont val="Tahoma"/>
            <family val="2"/>
          </rPr>
          <t xml:space="preserve">
Invoice 008698
Pre-examination - £6091.25
Additional winter photography, new viewpoints and drone videos/timelapse - £2139</t>
        </r>
      </text>
    </comment>
    <comment ref="AT31" authorId="0" shapeId="0" xr:uid="{6BCFDCDD-1BC3-4A85-8896-099C710B8C8A}">
      <text>
        <r>
          <rPr>
            <b/>
            <sz val="9"/>
            <color indexed="81"/>
            <rFont val="Tahoma"/>
            <family val="2"/>
          </rPr>
          <t>Eve Browning:</t>
        </r>
        <r>
          <rPr>
            <sz val="9"/>
            <color indexed="81"/>
            <rFont val="Tahoma"/>
            <family val="2"/>
          </rPr>
          <t xml:space="preserve">
Invoice 008759
Review &amp; input to Statement of Common Ground (1,2 and 4-8), Relevant Reps &amp; Visual Receptor 
Tables (Lot 5 and 6 responses). Scoping meeting for mapping constraints+ arb implications. 
Reviewing mapping for possible tree impacts. Review of IDB Offsets.
£5105.50</t>
        </r>
      </text>
    </comment>
    <comment ref="AU31" authorId="0" shapeId="0" xr:uid="{9786FE9F-90DE-4C9F-AD6B-3EE313301E67}">
      <text>
        <r>
          <rPr>
            <b/>
            <sz val="9"/>
            <color indexed="81"/>
            <rFont val="Tahoma"/>
            <family val="2"/>
          </rPr>
          <t>Eve Browning:</t>
        </r>
        <r>
          <rPr>
            <sz val="9"/>
            <color indexed="81"/>
            <rFont val="Tahoma"/>
            <family val="2"/>
          </rPr>
          <t xml:space="preserve">
Invoice 008969
• Progressing relevant reps and SoCGs
• Interrelationship and cumulative effects 
• Hedgerow Removal: Layby Plans
• Landscape and Visual Summary Tables 
• Inspector Viewpoints: Site Visit
• Chapter 23: LVIA Inputs
• Timetable Review: Following Postponement
• Updates to Permissive Plans on Works Plans
£11513
</t>
        </r>
      </text>
    </comment>
    <comment ref="AV31" authorId="0" shapeId="0" xr:uid="{2174CF12-F69F-4606-834C-2410DCC4300C}">
      <text>
        <r>
          <rPr>
            <b/>
            <sz val="9"/>
            <color indexed="81"/>
            <rFont val="Tahoma"/>
            <family val="2"/>
          </rPr>
          <t>Eve Browning:</t>
        </r>
        <r>
          <rPr>
            <sz val="9"/>
            <color indexed="81"/>
            <rFont val="Tahoma"/>
            <family val="2"/>
          </rPr>
          <t xml:space="preserve">
Invoice 009171
• Preparation of Supplementary Landscape and Visual Summary Tables
• Preparation of Hedgerow Removal Plans and updates to oLEMP plans
• Updates to NCC/LCC following LVIA Workshop 4
• Natural England Statement of Common Ground response to legal comments
• Forestry Commission Statement of Common Ground response to legal comments
RIBA 4 - Stage 4 – Pre-examination £7,225.00 
Site Visit Expenses £290.97</t>
        </r>
      </text>
    </comment>
    <comment ref="AW31" authorId="0" shapeId="0" xr:uid="{AE0B3432-9E20-4396-A363-AE877BBF80E3}">
      <text>
        <r>
          <rPr>
            <b/>
            <sz val="9"/>
            <color indexed="81"/>
            <rFont val="Tahoma"/>
            <family val="2"/>
          </rPr>
          <t>Eve Browning:</t>
        </r>
        <r>
          <rPr>
            <sz val="9"/>
            <color indexed="81"/>
            <rFont val="Tahoma"/>
            <family val="2"/>
          </rPr>
          <t xml:space="preserve">
Invoice 009372
Landscape: 
- Additional ZTV Production
- LVIA Summary Tables
- DCO Plans 
- Attendance at Hearing
- LVIA Documents for Deadline 1 
- LEMP Updates
- Hedgerow Removal Plans
£11228</t>
        </r>
      </text>
    </comment>
    <comment ref="AX31" authorId="0" shapeId="0" xr:uid="{AE599B51-0403-4C62-B797-ECA3471F8695}">
      <text>
        <r>
          <rPr>
            <b/>
            <sz val="9"/>
            <color indexed="81"/>
            <rFont val="Tahoma"/>
            <family val="2"/>
          </rPr>
          <t>Eve Browning:</t>
        </r>
        <r>
          <rPr>
            <sz val="9"/>
            <color indexed="81"/>
            <rFont val="Tahoma"/>
            <family val="2"/>
          </rPr>
          <t xml:space="preserve">
Invoice 009556
- Deadline 2: LIR Responses
- Deadline 2: Review of LVIA Documents
- Deadline 2: Wording correlation between oLEMP and LVIA
- Deadline 2: Review of submission matters and correlation with planning team
- Deadline 2: Review of Relevant Reps
- OFH: Attendance and review and follow up
- Addressing Legal comments
£5500
Expenses - £221.06
Total £6865.27</t>
        </r>
      </text>
    </comment>
    <comment ref="AY31" authorId="0" shapeId="0" xr:uid="{5C82A9CF-D135-49E0-8E4B-95BA06DF3BA9}">
      <text>
        <r>
          <rPr>
            <b/>
            <sz val="9"/>
            <color indexed="81"/>
            <rFont val="Tahoma"/>
            <family val="2"/>
          </rPr>
          <t>Eve Browning:</t>
        </r>
        <r>
          <rPr>
            <sz val="9"/>
            <color indexed="81"/>
            <rFont val="Tahoma"/>
            <family val="2"/>
          </rPr>
          <t xml:space="preserve">
Invoice 009752
Landscape: 
- Change application
- DCO plan updates
- Responses to LIR
- Response to D2 &amp; D3 submissions
- Hedgerow removal plans update
- Review/response to written reps
RIBA 5 - Stage 5- Examination £10,000.00
</t>
        </r>
      </text>
    </comment>
    <comment ref="AZ31" authorId="0" shapeId="0" xr:uid="{D5A80EFA-5A2B-4260-9F13-AAA994DB1014}">
      <text>
        <r>
          <rPr>
            <b/>
            <sz val="9"/>
            <color indexed="81"/>
            <rFont val="Tahoma"/>
            <family val="2"/>
          </rPr>
          <t>Eve Browning:</t>
        </r>
        <r>
          <rPr>
            <sz val="9"/>
            <color indexed="81"/>
            <rFont val="Tahoma"/>
            <family val="2"/>
          </rPr>
          <t xml:space="preserve">
Invoice 009971
Landscape:
Prep for and attendance at Hearings.
Ongoing DTMs.
Inter relationships report / review of additional cumulative sites.
£12000
Google fly-through - £7000
Expenses - £841.25</t>
        </r>
      </text>
    </comment>
    <comment ref="BA31" authorId="0" shapeId="0" xr:uid="{E3A8DA0D-29A8-47B2-BA39-CCACABB30093}">
      <text>
        <r>
          <rPr>
            <b/>
            <sz val="9"/>
            <color indexed="81"/>
            <rFont val="Tahoma"/>
            <family val="2"/>
          </rPr>
          <t>Eve Browning:</t>
        </r>
        <r>
          <rPr>
            <sz val="9"/>
            <color indexed="81"/>
            <rFont val="Tahoma"/>
            <family val="2"/>
          </rPr>
          <t xml:space="preserve">
</t>
        </r>
        <r>
          <rPr>
            <b/>
            <sz val="9"/>
            <color indexed="81"/>
            <rFont val="Tahoma"/>
            <family val="2"/>
          </rPr>
          <t>Invoice 010199</t>
        </r>
        <r>
          <rPr>
            <sz val="9"/>
            <color indexed="81"/>
            <rFont val="Tahoma"/>
            <family val="2"/>
          </rPr>
          <t xml:space="preserve">
Landscape: 
Prep for deadline 5.
Response to examiners second questions
Statement of Common Ground
Technical Note Revision
Responses to Actions arising from Hearing
£12000
</t>
        </r>
        <r>
          <rPr>
            <b/>
            <sz val="9"/>
            <color indexed="81"/>
            <rFont val="Tahoma"/>
            <family val="2"/>
          </rPr>
          <t>Invoice 010213</t>
        </r>
        <r>
          <rPr>
            <sz val="9"/>
            <color indexed="81"/>
            <rFont val="Tahoma"/>
            <family val="2"/>
          </rPr>
          <t xml:space="preserve">
Landscape:
• Item 1 - Site visit with Chris Jackson and Wendy Wright to review the key aspects of the site and  to familiarise Wendy Wright with viewpoint locations; £3543
• Item 2 – Meeting with Chris Jackson, Wendy Wright and Mark Topping to undertake a handover of the document locations and to discuss and review hearing questions; £2047
• Item 3 – Mark Topping and Wendy Wright time to review information and prepare for the hearing: £3800
• Item 4 – Attendance at Hearing; £2475
• Item 5 – Post hearing review and discussion with Chris Jackson, Wendy Wright and Mark Topping; £614
Landscape Total - £12,479</t>
        </r>
      </text>
    </comment>
    <comment ref="BB31" authorId="0" shapeId="0" xr:uid="{537FB846-93DB-4351-80AC-76BC0F147CFC}">
      <text>
        <r>
          <rPr>
            <b/>
            <sz val="9"/>
            <color indexed="81"/>
            <rFont val="Tahoma"/>
            <family val="2"/>
          </rPr>
          <t>Eve Browning:</t>
        </r>
        <r>
          <rPr>
            <sz val="9"/>
            <color indexed="81"/>
            <rFont val="Tahoma"/>
            <family val="2"/>
          </rPr>
          <t xml:space="preserve">
Invoice 010429
Finalizing SoCGs with Local Authorities (WLDC &amp; LCC)
Preparing responses to Written Representations.
Preparation for and attendance at Change Application Hearing
Updates to Joint Interrelationships Report following Tillbridge Submission
£5000</t>
        </r>
      </text>
    </comment>
    <comment ref="BC31" authorId="0" shapeId="0" xr:uid="{64B9DBEC-52BF-4835-BA3C-BA1927983BCD}">
      <text>
        <r>
          <rPr>
            <b/>
            <sz val="9"/>
            <color indexed="81"/>
            <rFont val="Tahoma"/>
            <family val="2"/>
          </rPr>
          <t>Eve Browning:</t>
        </r>
        <r>
          <rPr>
            <sz val="9"/>
            <color indexed="81"/>
            <rFont val="Tahoma"/>
            <family val="2"/>
          </rPr>
          <t xml:space="preserve">
Invoice 010670
Landscape:
- Preparation of Closing Statements.
- Update to Cumulative Assessment – Sturton Solar.
- Finalising WLDC Statement of Common Ground.
£5000</t>
        </r>
      </text>
    </comment>
    <comment ref="J32" authorId="0" shapeId="0" xr:uid="{9CBBCD23-4E2D-480D-AD69-6F8F2EF8E33F}">
      <text>
        <r>
          <rPr>
            <b/>
            <sz val="9"/>
            <color indexed="81"/>
            <rFont val="Tahoma"/>
            <family val="2"/>
          </rPr>
          <t>Eve Browning:</t>
        </r>
        <r>
          <rPr>
            <sz val="9"/>
            <color indexed="81"/>
            <rFont val="Tahoma"/>
            <family val="2"/>
          </rPr>
          <t xml:space="preserve">
Inlcuded within Highways survey</t>
        </r>
      </text>
    </comment>
    <comment ref="J33" authorId="0" shapeId="0" xr:uid="{ACC3EBBD-5FE5-4346-85AC-E85BCC071721}">
      <text>
        <r>
          <rPr>
            <b/>
            <sz val="9"/>
            <color indexed="81"/>
            <rFont val="Tahoma"/>
            <family val="2"/>
          </rPr>
          <t>Eve Browning:</t>
        </r>
        <r>
          <rPr>
            <sz val="9"/>
            <color indexed="81"/>
            <rFont val="Tahoma"/>
            <family val="2"/>
          </rPr>
          <t xml:space="preserve"> Original quote for background monitoring 17450/2+ additional £950 for WB5 monitoring station + £650 for scoping + £1250 for ES chapter</t>
        </r>
      </text>
    </comment>
    <comment ref="AD33" authorId="0" shapeId="0" xr:uid="{FCEDE7CF-A100-4D3C-B157-6664E135D964}">
      <text>
        <r>
          <rPr>
            <b/>
            <sz val="9"/>
            <color indexed="81"/>
            <rFont val="Tahoma"/>
            <family val="2"/>
          </rPr>
          <t>Eve Browning:</t>
        </r>
        <r>
          <rPr>
            <sz val="9"/>
            <color indexed="81"/>
            <rFont val="Tahoma"/>
            <family val="2"/>
          </rPr>
          <t xml:space="preserve">
PEIR £1650, category 3 £1450. finalised modelling and constraints £1800, meetings £425
Invoice 30034718</t>
        </r>
      </text>
    </comment>
    <comment ref="AN33" authorId="0" shapeId="0" xr:uid="{C82C445F-7BBD-4712-9CCB-E846D21E1C49}">
      <text>
        <r>
          <rPr>
            <b/>
            <sz val="9"/>
            <color indexed="81"/>
            <rFont val="Tahoma"/>
            <family val="2"/>
          </rPr>
          <t>Eve Browning:</t>
        </r>
        <r>
          <rPr>
            <sz val="9"/>
            <color indexed="81"/>
            <rFont val="Tahoma"/>
            <family val="2"/>
          </rPr>
          <t xml:space="preserve">
Invoice 784-B031437 / 30052381
ES chapter - £1250
Cable route assessment - £1250
Additional works including scheme amendments - £2650
Meetings - £765</t>
        </r>
      </text>
    </comment>
    <comment ref="AV33" authorId="0" shapeId="0" xr:uid="{8939A3C2-0F55-4555-93FE-C06623D915BB}">
      <text>
        <r>
          <rPr>
            <b/>
            <sz val="9"/>
            <color indexed="81"/>
            <rFont val="Tahoma"/>
            <family val="2"/>
          </rPr>
          <t>Eve Browning:</t>
        </r>
        <r>
          <rPr>
            <sz val="9"/>
            <color indexed="81"/>
            <rFont val="Tahoma"/>
            <family val="2"/>
          </rPr>
          <t xml:space="preserve">
Invoice 30066671
Stage 4 - pre-exam fee - £1975</t>
        </r>
      </text>
    </comment>
    <comment ref="BC33" authorId="0" shapeId="0" xr:uid="{02D7F71F-1B32-4597-A6B4-00BD18A3AE6F}">
      <text>
        <r>
          <rPr>
            <b/>
            <sz val="9"/>
            <color indexed="81"/>
            <rFont val="Tahoma"/>
            <family val="2"/>
          </rPr>
          <t>Eve Browning:</t>
        </r>
        <r>
          <rPr>
            <sz val="9"/>
            <color indexed="81"/>
            <rFont val="Tahoma"/>
            <family val="2"/>
          </rPr>
          <t xml:space="preserve">
Stage 4 : Pre-exam - £1975
Stage 5: Examination - £1950</t>
        </r>
      </text>
    </comment>
    <comment ref="AG34" authorId="0" shapeId="0" xr:uid="{5AC59421-B52C-4FD9-AF76-6B9A37A0890C}">
      <text>
        <r>
          <rPr>
            <b/>
            <sz val="9"/>
            <color indexed="81"/>
            <rFont val="Tahoma"/>
            <family val="2"/>
          </rPr>
          <t>Eve Browning:</t>
        </r>
        <r>
          <rPr>
            <sz val="9"/>
            <color indexed="81"/>
            <rFont val="Tahoma"/>
            <family val="2"/>
          </rPr>
          <t xml:space="preserve">
Invoice 006301</t>
        </r>
      </text>
    </comment>
    <comment ref="AI34" authorId="0" shapeId="0" xr:uid="{4F804F9D-64F9-476B-901A-F67A4B1C7275}">
      <text>
        <r>
          <rPr>
            <b/>
            <sz val="9"/>
            <color indexed="81"/>
            <rFont val="Tahoma"/>
            <family val="2"/>
          </rPr>
          <t>Eve Browning:</t>
        </r>
        <r>
          <rPr>
            <sz val="9"/>
            <color indexed="81"/>
            <rFont val="Tahoma"/>
            <family val="2"/>
          </rPr>
          <t xml:space="preserve">
Invoice 006653
3D modelling - £4000</t>
        </r>
      </text>
    </comment>
    <comment ref="AM34" authorId="0" shapeId="0" xr:uid="{B6C0D164-6685-493E-AACA-41BA26E0315C}">
      <text>
        <r>
          <rPr>
            <b/>
            <sz val="9"/>
            <color indexed="81"/>
            <rFont val="Tahoma"/>
            <family val="2"/>
          </rPr>
          <t>Eve Browning:</t>
        </r>
        <r>
          <rPr>
            <sz val="9"/>
            <color indexed="81"/>
            <rFont val="Tahoma"/>
            <family val="2"/>
          </rPr>
          <t xml:space="preserve">
Invoice 007393
3D model and montage progression - £5750
</t>
        </r>
      </text>
    </comment>
    <comment ref="J36" authorId="0" shapeId="0" xr:uid="{50F97608-ADAF-45DB-B542-E379AC401DE9}">
      <text>
        <r>
          <rPr>
            <b/>
            <sz val="9"/>
            <color indexed="81"/>
            <rFont val="Tahoma"/>
            <family val="2"/>
          </rPr>
          <t>Eve Browning:</t>
        </r>
        <r>
          <rPr>
            <sz val="9"/>
            <color indexed="81"/>
            <rFont val="Tahoma"/>
            <family val="2"/>
          </rPr>
          <t xml:space="preserve">
IGP to write</t>
        </r>
      </text>
    </comment>
    <comment ref="J37" authorId="0" shapeId="0" xr:uid="{57DFCED1-BCB1-4AAC-AED4-7EF508A9831C}">
      <text>
        <r>
          <rPr>
            <b/>
            <sz val="9"/>
            <color indexed="81"/>
            <rFont val="Tahoma"/>
            <family val="2"/>
          </rPr>
          <t>Eve Browning:</t>
        </r>
        <r>
          <rPr>
            <sz val="9"/>
            <color indexed="81"/>
            <rFont val="Tahoma"/>
            <family val="2"/>
          </rPr>
          <t xml:space="preserve">
Includes half of scoping document cost, screening cost, glint and glare assessment, EIA chapter, stakeholder consultation and technical support</t>
        </r>
      </text>
    </comment>
    <comment ref="AC37" authorId="0" shapeId="0" xr:uid="{0FFC4EAD-7257-4458-9A9A-32B3106673C2}">
      <text>
        <r>
          <rPr>
            <b/>
            <sz val="9"/>
            <color indexed="81"/>
            <rFont val="Tahoma"/>
            <family val="2"/>
          </rPr>
          <t>Eve Browning:</t>
        </r>
        <r>
          <rPr>
            <sz val="9"/>
            <color indexed="81"/>
            <rFont val="Tahoma"/>
            <family val="2"/>
          </rPr>
          <t xml:space="preserve">
Invoice 708094</t>
        </r>
      </text>
    </comment>
    <comment ref="AD37" authorId="0" shapeId="0" xr:uid="{65953FDF-01DE-45EF-AF5D-0E127B2213D2}">
      <text>
        <r>
          <rPr>
            <b/>
            <sz val="9"/>
            <color indexed="81"/>
            <rFont val="Tahoma"/>
            <family val="2"/>
          </rPr>
          <t>Eve Browning:</t>
        </r>
        <r>
          <rPr>
            <sz val="9"/>
            <color indexed="81"/>
            <rFont val="Tahoma"/>
            <family val="2"/>
          </rPr>
          <t xml:space="preserve">
£207.2 invoice 708107
£656 invoice 708186</t>
        </r>
      </text>
    </comment>
    <comment ref="AE37" authorId="0" shapeId="0" xr:uid="{903B9C4B-4F8F-4CCF-9268-FCEB8E3C5AE9}">
      <text>
        <r>
          <rPr>
            <b/>
            <sz val="9"/>
            <color indexed="81"/>
            <rFont val="Tahoma"/>
            <family val="2"/>
          </rPr>
          <t>Eve Browning:</t>
        </r>
        <r>
          <rPr>
            <sz val="9"/>
            <color indexed="81"/>
            <rFont val="Tahoma"/>
            <family val="2"/>
          </rPr>
          <t xml:space="preserve">
Cat 3 dwellings
Invoice 708239</t>
        </r>
      </text>
    </comment>
    <comment ref="AF37" authorId="0" shapeId="0" xr:uid="{5AFA3A34-D98D-4961-9243-02D613076075}">
      <text>
        <r>
          <rPr>
            <b/>
            <sz val="9"/>
            <color indexed="81"/>
            <rFont val="Tahoma"/>
            <family val="2"/>
          </rPr>
          <t>Eve Browning:</t>
        </r>
        <r>
          <rPr>
            <sz val="9"/>
            <color indexed="81"/>
            <rFont val="Tahoma"/>
            <family val="2"/>
          </rPr>
          <t xml:space="preserve">
Invoice 708325
Project meeting attendance</t>
        </r>
      </text>
    </comment>
    <comment ref="AL37" authorId="0" shapeId="0" xr:uid="{3BBBF2CE-813A-439F-9286-B65537AB1932}">
      <text>
        <r>
          <rPr>
            <b/>
            <sz val="9"/>
            <color indexed="81"/>
            <rFont val="Tahoma"/>
            <family val="2"/>
          </rPr>
          <t>Eve Browning:</t>
        </r>
        <r>
          <rPr>
            <sz val="9"/>
            <color indexed="81"/>
            <rFont val="Tahoma"/>
            <family val="2"/>
          </rPr>
          <t xml:space="preserve">
</t>
        </r>
        <r>
          <rPr>
            <b/>
            <sz val="9"/>
            <color indexed="81"/>
            <rFont val="Tahoma"/>
            <family val="2"/>
          </rPr>
          <t>Invoice 708718</t>
        </r>
        <r>
          <rPr>
            <sz val="9"/>
            <color indexed="81"/>
            <rFont val="Tahoma"/>
            <family val="2"/>
          </rPr>
          <t xml:space="preserve">
Glint and glare technical report - £7950
ES chapter - £2726
</t>
        </r>
        <r>
          <rPr>
            <b/>
            <sz val="9"/>
            <color indexed="81"/>
            <rFont val="Tahoma"/>
            <family val="2"/>
          </rPr>
          <t xml:space="preserve">Invoice 708753
</t>
        </r>
        <r>
          <rPr>
            <sz val="9"/>
            <color indexed="81"/>
            <rFont val="Tahoma"/>
            <family val="2"/>
          </rPr>
          <t>Technical support (category 3s?) - £1312</t>
        </r>
      </text>
    </comment>
    <comment ref="AR37" authorId="0" shapeId="0" xr:uid="{32EF0065-EC9F-4857-B835-A86393D92A7D}">
      <text>
        <r>
          <rPr>
            <b/>
            <sz val="9"/>
            <color indexed="81"/>
            <rFont val="Tahoma"/>
            <family val="2"/>
          </rPr>
          <t>Eve Browning:</t>
        </r>
        <r>
          <rPr>
            <sz val="9"/>
            <color indexed="81"/>
            <rFont val="Tahoma"/>
            <family val="2"/>
          </rPr>
          <t xml:space="preserve">
Invoice 709185
Technical support (RR and SoCG) - £1312</t>
        </r>
      </text>
    </comment>
    <comment ref="AS37" authorId="0" shapeId="0" xr:uid="{408F7299-0462-4E70-BDB7-8ED25E252C98}">
      <text>
        <r>
          <rPr>
            <b/>
            <sz val="9"/>
            <color indexed="81"/>
            <rFont val="Tahoma"/>
            <family val="2"/>
          </rPr>
          <t>Eve Browning:</t>
        </r>
        <r>
          <rPr>
            <sz val="9"/>
            <color indexed="81"/>
            <rFont val="Tahoma"/>
            <family val="2"/>
          </rPr>
          <t xml:space="preserve">
Invoice 709218
Relevant reps and SoCG £1325
</t>
        </r>
      </text>
    </comment>
    <comment ref="AT37" authorId="0" shapeId="0" xr:uid="{CF11F56B-280B-4BBC-810C-D73C5CC88747}">
      <text>
        <r>
          <rPr>
            <b/>
            <sz val="9"/>
            <color indexed="81"/>
            <rFont val="Tahoma"/>
            <family val="2"/>
          </rPr>
          <t>Eve Browning:</t>
        </r>
        <r>
          <rPr>
            <sz val="9"/>
            <color indexed="81"/>
            <rFont val="Tahoma"/>
            <family val="2"/>
          </rPr>
          <t xml:space="preserve">
Further RR and SoCG - £1325</t>
        </r>
      </text>
    </comment>
    <comment ref="AY37" authorId="0" shapeId="0" xr:uid="{F12ECB04-B55F-4402-813C-1BE5349513D6}">
      <text>
        <r>
          <rPr>
            <b/>
            <sz val="9"/>
            <color indexed="81"/>
            <rFont val="Tahoma"/>
            <family val="2"/>
          </rPr>
          <t>Eve Browning:</t>
        </r>
        <r>
          <rPr>
            <sz val="9"/>
            <color indexed="81"/>
            <rFont val="Tahoma"/>
            <family val="2"/>
          </rPr>
          <t xml:space="preserve">
Invoice 709595
Technical support during examination - £662.50
</t>
        </r>
      </text>
    </comment>
    <comment ref="BA37" authorId="0" shapeId="0" xr:uid="{9B0D796C-29B0-4990-9749-7F6DC071EDDD}">
      <text>
        <r>
          <rPr>
            <b/>
            <sz val="9"/>
            <color indexed="81"/>
            <rFont val="Tahoma"/>
            <family val="2"/>
          </rPr>
          <t>Eve Browning:</t>
        </r>
        <r>
          <rPr>
            <sz val="9"/>
            <color indexed="81"/>
            <rFont val="Tahoma"/>
            <family val="2"/>
          </rPr>
          <t xml:space="preserve">
</t>
        </r>
        <r>
          <rPr>
            <b/>
            <sz val="9"/>
            <color indexed="81"/>
            <rFont val="Tahoma"/>
            <family val="2"/>
          </rPr>
          <t>Invoice 709742</t>
        </r>
        <r>
          <rPr>
            <sz val="9"/>
            <color indexed="81"/>
            <rFont val="Tahoma"/>
            <family val="2"/>
          </rPr>
          <t xml:space="preserve">
Technical support for West Burton Solar Project (examination phase) - £441.66
</t>
        </r>
        <r>
          <rPr>
            <b/>
            <sz val="9"/>
            <color indexed="81"/>
            <rFont val="Tahoma"/>
            <family val="2"/>
          </rPr>
          <t>Invoice 709791</t>
        </r>
        <r>
          <rPr>
            <sz val="9"/>
            <color indexed="81"/>
            <rFont val="Tahoma"/>
            <family val="2"/>
          </rPr>
          <t xml:space="preserve">
Technical support for West Burton (Examination responses) - £662.50</t>
        </r>
      </text>
    </comment>
    <comment ref="BB37" authorId="0" shapeId="0" xr:uid="{C1C1C82A-70DD-4607-9F91-677E6A350CC6}">
      <text>
        <r>
          <rPr>
            <b/>
            <sz val="9"/>
            <color indexed="81"/>
            <rFont val="Tahoma"/>
            <family val="2"/>
          </rPr>
          <t>Eve Browning:</t>
        </r>
        <r>
          <rPr>
            <sz val="9"/>
            <color indexed="81"/>
            <rFont val="Tahoma"/>
            <family val="2"/>
          </rPr>
          <t xml:space="preserve">
Examination responses</t>
        </r>
      </text>
    </comment>
    <comment ref="BC37" authorId="0" shapeId="0" xr:uid="{47457C57-54DF-4185-8642-A65E015C812A}">
      <text>
        <r>
          <rPr>
            <b/>
            <sz val="9"/>
            <color indexed="81"/>
            <rFont val="Tahoma"/>
            <family val="2"/>
          </rPr>
          <t>Eve Browning:</t>
        </r>
        <r>
          <rPr>
            <sz val="9"/>
            <color indexed="81"/>
            <rFont val="Tahoma"/>
            <family val="2"/>
          </rPr>
          <t xml:space="preserve">
Attendance at mock hearing - £1325</t>
        </r>
      </text>
    </comment>
    <comment ref="AC38" authorId="0" shapeId="0" xr:uid="{65336E4B-CB97-4B9C-9823-AB05155EDB92}">
      <text>
        <r>
          <rPr>
            <b/>
            <sz val="9"/>
            <color indexed="81"/>
            <rFont val="Tahoma"/>
            <family val="2"/>
          </rPr>
          <t>Eve Browning:</t>
        </r>
        <r>
          <rPr>
            <sz val="9"/>
            <color indexed="81"/>
            <rFont val="Tahoma"/>
            <family val="2"/>
          </rPr>
          <t xml:space="preserve">
6667706</t>
        </r>
      </text>
    </comment>
    <comment ref="AD38" authorId="0" shapeId="0" xr:uid="{5F24EBC4-6FD6-45E2-BAED-92752C7C4A8E}">
      <text>
        <r>
          <rPr>
            <b/>
            <sz val="9"/>
            <color indexed="81"/>
            <rFont val="Tahoma"/>
            <family val="2"/>
          </rPr>
          <t>Eve Browning:</t>
        </r>
        <r>
          <rPr>
            <sz val="9"/>
            <color indexed="81"/>
            <rFont val="Tahoma"/>
            <family val="2"/>
          </rPr>
          <t xml:space="preserve">
Invoice 6673567</t>
        </r>
      </text>
    </comment>
    <comment ref="AE38" authorId="0" shapeId="0" xr:uid="{B6DD0361-326D-472A-8597-6A931ACE6544}">
      <text>
        <r>
          <rPr>
            <b/>
            <sz val="9"/>
            <color indexed="81"/>
            <rFont val="Tahoma"/>
            <family val="2"/>
          </rPr>
          <t>Eve Browning:</t>
        </r>
        <r>
          <rPr>
            <sz val="9"/>
            <color indexed="81"/>
            <rFont val="Tahoma"/>
            <family val="2"/>
          </rPr>
          <t xml:space="preserve">
6682051</t>
        </r>
      </text>
    </comment>
    <comment ref="AF38" authorId="0" shapeId="0" xr:uid="{D29DB67D-BF2C-4229-9203-6138085B4993}">
      <text>
        <r>
          <rPr>
            <b/>
            <sz val="9"/>
            <color indexed="81"/>
            <rFont val="Tahoma"/>
            <family val="2"/>
          </rPr>
          <t xml:space="preserve">Eve Browning:
</t>
        </r>
        <r>
          <rPr>
            <sz val="9"/>
            <color indexed="81"/>
            <rFont val="Tahoma"/>
            <family val="2"/>
          </rPr>
          <t>Invoice 6689143</t>
        </r>
      </text>
    </comment>
    <comment ref="AG38" authorId="0" shapeId="0" xr:uid="{6696562C-A118-4208-90A6-5E5D8977C30B}">
      <text>
        <r>
          <rPr>
            <b/>
            <sz val="9"/>
            <color indexed="81"/>
            <rFont val="Tahoma"/>
            <family val="2"/>
          </rPr>
          <t>Eve Browning:</t>
        </r>
        <r>
          <rPr>
            <sz val="9"/>
            <color indexed="81"/>
            <rFont val="Tahoma"/>
            <family val="2"/>
          </rPr>
          <t xml:space="preserve">
Invoice 6694886</t>
        </r>
      </text>
    </comment>
    <comment ref="AH38" authorId="0" shapeId="0" xr:uid="{0F9ADC41-4B8C-41DB-B14D-9F89EC1F92E2}">
      <text>
        <r>
          <rPr>
            <b/>
            <sz val="9"/>
            <color indexed="81"/>
            <rFont val="Tahoma"/>
            <family val="2"/>
          </rPr>
          <t>Eve Browning:</t>
        </r>
        <r>
          <rPr>
            <sz val="9"/>
            <color indexed="81"/>
            <rFont val="Tahoma"/>
            <family val="2"/>
          </rPr>
          <t xml:space="preserve">
Invoice 6705960</t>
        </r>
      </text>
    </comment>
    <comment ref="AI38" authorId="0" shapeId="0" xr:uid="{6DD4F646-F2EF-4776-8A3B-653E3C04FC3B}">
      <text>
        <r>
          <rPr>
            <b/>
            <sz val="9"/>
            <color indexed="81"/>
            <rFont val="Tahoma"/>
            <family val="2"/>
          </rPr>
          <t>Eve Browning:</t>
        </r>
        <r>
          <rPr>
            <sz val="9"/>
            <color indexed="81"/>
            <rFont val="Tahoma"/>
            <family val="2"/>
          </rPr>
          <t xml:space="preserve">
Invoice 6712960</t>
        </r>
      </text>
    </comment>
    <comment ref="AM38" authorId="0" shapeId="0" xr:uid="{49B5930B-3FF5-4BFC-903E-54DD2770DEC5}">
      <text>
        <r>
          <rPr>
            <b/>
            <sz val="9"/>
            <color indexed="81"/>
            <rFont val="Tahoma"/>
            <family val="2"/>
          </rPr>
          <t>Eve Browning:</t>
        </r>
        <r>
          <rPr>
            <sz val="9"/>
            <color indexed="81"/>
            <rFont val="Tahoma"/>
            <family val="2"/>
          </rPr>
          <t xml:space="preserve">
Invoice GP/691336/07000
Professional fees - £4156.80</t>
        </r>
      </text>
    </comment>
    <comment ref="AN38" authorId="0" shapeId="0" xr:uid="{6033EEE3-19E0-486F-8DCB-81352D3F2E2C}">
      <text>
        <r>
          <rPr>
            <b/>
            <sz val="9"/>
            <color indexed="81"/>
            <rFont val="Tahoma"/>
            <family val="2"/>
          </rPr>
          <t>Eve Browning:</t>
        </r>
        <r>
          <rPr>
            <sz val="9"/>
            <color indexed="81"/>
            <rFont val="Tahoma"/>
            <family val="2"/>
          </rPr>
          <t xml:space="preserve">
Invoice 6737453
Professional fees - £28544.80</t>
        </r>
      </text>
    </comment>
    <comment ref="AO38" authorId="0" shapeId="0" xr:uid="{3C496288-F888-4327-9E99-AADB9C37461C}">
      <text>
        <r>
          <rPr>
            <b/>
            <sz val="9"/>
            <color indexed="81"/>
            <rFont val="Tahoma"/>
            <family val="2"/>
          </rPr>
          <t>Eve Browning:</t>
        </r>
        <r>
          <rPr>
            <sz val="9"/>
            <color indexed="81"/>
            <rFont val="Tahoma"/>
            <family val="2"/>
          </rPr>
          <t xml:space="preserve">
Invoice 6741183
DCO drafting and review - £72837.20</t>
        </r>
      </text>
    </comment>
    <comment ref="AP38" authorId="0" shapeId="0" xr:uid="{8A694953-5305-40F4-83E8-9D0894158283}">
      <text>
        <r>
          <rPr>
            <b/>
            <sz val="9"/>
            <color indexed="81"/>
            <rFont val="Tahoma"/>
            <family val="2"/>
          </rPr>
          <t>Eve Browning:</t>
        </r>
        <r>
          <rPr>
            <sz val="9"/>
            <color indexed="81"/>
            <rFont val="Tahoma"/>
            <family val="2"/>
          </rPr>
          <t xml:space="preserve">
Invoice 6748989
West Burton legal advice - £5900.80</t>
        </r>
      </text>
    </comment>
    <comment ref="AQ38" authorId="0" shapeId="0" xr:uid="{CB3ADA90-A692-4A3B-B107-E2FEB47EFF98}">
      <text>
        <r>
          <rPr>
            <b/>
            <sz val="9"/>
            <color indexed="81"/>
            <rFont val="Tahoma"/>
            <family val="2"/>
          </rPr>
          <t>Eve Browning:</t>
        </r>
        <r>
          <rPr>
            <sz val="9"/>
            <color indexed="81"/>
            <rFont val="Tahoma"/>
            <family val="2"/>
          </rPr>
          <t xml:space="preserve">
Invoice 6758433
DCO legal advice - £2962.00</t>
        </r>
      </text>
    </comment>
    <comment ref="AR38" authorId="0" shapeId="0" xr:uid="{16320783-05B4-4F08-BF99-445A45C7BDA8}">
      <text>
        <r>
          <rPr>
            <b/>
            <sz val="9"/>
            <color indexed="81"/>
            <rFont val="Tahoma"/>
            <family val="2"/>
          </rPr>
          <t>Eve Browning:</t>
        </r>
        <r>
          <rPr>
            <sz val="9"/>
            <color indexed="81"/>
            <rFont val="Tahoma"/>
            <family val="2"/>
          </rPr>
          <t xml:space="preserve">
</t>
        </r>
        <r>
          <rPr>
            <b/>
            <sz val="9"/>
            <color indexed="81"/>
            <rFont val="Tahoma"/>
            <family val="2"/>
          </rPr>
          <t xml:space="preserve">Invoice 6763835
</t>
        </r>
        <r>
          <rPr>
            <sz val="9"/>
            <color indexed="81"/>
            <rFont val="Tahoma"/>
            <family val="2"/>
          </rPr>
          <t xml:space="preserve">DCO advice - £6463.60
</t>
        </r>
        <r>
          <rPr>
            <b/>
            <sz val="9"/>
            <color indexed="81"/>
            <rFont val="Tahoma"/>
            <family val="2"/>
          </rPr>
          <t xml:space="preserve">Invoice 6766250
</t>
        </r>
        <r>
          <rPr>
            <sz val="9"/>
            <color indexed="81"/>
            <rFont val="Tahoma"/>
            <family val="2"/>
          </rPr>
          <t>DCO advice - £3509.20</t>
        </r>
      </text>
    </comment>
    <comment ref="AS38" authorId="0" shapeId="0" xr:uid="{A80DD894-1E21-4374-B292-28F15537AFC6}">
      <text>
        <r>
          <rPr>
            <b/>
            <sz val="9"/>
            <color indexed="81"/>
            <rFont val="Tahoma"/>
            <family val="2"/>
          </rPr>
          <t>Eve Browning:</t>
        </r>
        <r>
          <rPr>
            <sz val="9"/>
            <color indexed="81"/>
            <rFont val="Tahoma"/>
            <family val="2"/>
          </rPr>
          <t xml:space="preserve">
Invoice 6773570
Professional fees - £27693.10</t>
        </r>
      </text>
    </comment>
    <comment ref="AT38" authorId="0" shapeId="0" xr:uid="{8C4BDDA3-70DA-4FEE-BD4C-CC102AB5FE3A}">
      <text>
        <r>
          <rPr>
            <b/>
            <sz val="9"/>
            <color indexed="81"/>
            <rFont val="Tahoma"/>
            <family val="2"/>
          </rPr>
          <t>Eve Browning:</t>
        </r>
        <r>
          <rPr>
            <sz val="9"/>
            <color indexed="81"/>
            <rFont val="Tahoma"/>
            <family val="2"/>
          </rPr>
          <t xml:space="preserve">
</t>
        </r>
        <r>
          <rPr>
            <b/>
            <sz val="9"/>
            <color indexed="81"/>
            <rFont val="Tahoma"/>
            <family val="2"/>
          </rPr>
          <t>Invoice 6777645</t>
        </r>
        <r>
          <rPr>
            <sz val="9"/>
            <color indexed="81"/>
            <rFont val="Tahoma"/>
            <family val="2"/>
          </rPr>
          <t xml:space="preserve">
Professional fees - £75445.10 
Disbursements - £544
</t>
        </r>
        <r>
          <rPr>
            <b/>
            <sz val="9"/>
            <color indexed="81"/>
            <rFont val="Tahoma"/>
            <family val="2"/>
          </rPr>
          <t xml:space="preserve">Invoice 6776258 
</t>
        </r>
        <r>
          <rPr>
            <sz val="9"/>
            <color indexed="81"/>
            <rFont val="Tahoma"/>
            <family val="2"/>
          </rPr>
          <t xml:space="preserve">Professional fees - £17574.40
</t>
        </r>
        <r>
          <rPr>
            <b/>
            <sz val="9"/>
            <color indexed="81"/>
            <rFont val="Tahoma"/>
            <family val="2"/>
          </rPr>
          <t>Invoice 6776260</t>
        </r>
        <r>
          <rPr>
            <sz val="9"/>
            <color indexed="81"/>
            <rFont val="Tahoma"/>
            <family val="2"/>
          </rPr>
          <t xml:space="preserve">
Professional fees - £32514.40
Disbursements - £379.22
</t>
        </r>
        <r>
          <rPr>
            <b/>
            <sz val="9"/>
            <color indexed="81"/>
            <rFont val="Tahoma"/>
            <family val="2"/>
          </rPr>
          <t>Invoice 6776303</t>
        </r>
        <r>
          <rPr>
            <sz val="9"/>
            <color indexed="81"/>
            <rFont val="Tahoma"/>
            <family val="2"/>
          </rPr>
          <t xml:space="preserve">
Professional fees - £11134.80
Disbursements - £162.90</t>
        </r>
      </text>
    </comment>
    <comment ref="BA38" authorId="0" shapeId="0" xr:uid="{25C42A6A-97CB-4348-8028-9AF46D018A62}">
      <text>
        <r>
          <rPr>
            <b/>
            <sz val="9"/>
            <color indexed="81"/>
            <rFont val="Tahoma"/>
            <family val="2"/>
          </rPr>
          <t>Eve Browning:</t>
        </r>
        <r>
          <rPr>
            <sz val="9"/>
            <color indexed="81"/>
            <rFont val="Tahoma"/>
            <family val="2"/>
          </rPr>
          <t xml:space="preserve">
Invoice 6815630
Professional fees - £200000
Copying and other incidental expenses £2,929.00
Travelling &amp; Subsistence £592.22
Travelling expenses £356.44
£203877.66</t>
        </r>
      </text>
    </comment>
    <comment ref="AP39" authorId="0" shapeId="0" xr:uid="{02397CE9-A232-4D69-9353-1ADEC707B6D8}">
      <text>
        <r>
          <rPr>
            <b/>
            <sz val="9"/>
            <color indexed="81"/>
            <rFont val="Tahoma"/>
            <family val="2"/>
          </rPr>
          <t>Eve Browning:</t>
        </r>
        <r>
          <rPr>
            <sz val="9"/>
            <color indexed="81"/>
            <rFont val="Tahoma"/>
            <family val="2"/>
          </rPr>
          <t xml:space="preserve">
Sub-consultant amounts (dependent upon what comes up in relevant reps/examination)
</t>
        </r>
      </text>
    </comment>
    <comment ref="AT39" authorId="0" shapeId="0" xr:uid="{3A6296B3-AD60-4D69-99A1-EE97BC35CC89}">
      <text>
        <r>
          <rPr>
            <b/>
            <sz val="9"/>
            <color indexed="81"/>
            <rFont val="Tahoma"/>
            <family val="2"/>
          </rPr>
          <t>Eve Browning:</t>
        </r>
        <r>
          <rPr>
            <sz val="9"/>
            <color indexed="81"/>
            <rFont val="Tahoma"/>
            <family val="2"/>
          </rPr>
          <t xml:space="preserve">
Counter Context Invoice 204984
- Lincolnshire Showground hire - £2403.25
- Team accommodation - £1358.20
</t>
        </r>
      </text>
    </comment>
    <comment ref="AU39" authorId="0" shapeId="0" xr:uid="{A569A77A-B5D6-4595-B0A0-1C20E45FDEF7}">
      <text>
        <r>
          <rPr>
            <b/>
            <sz val="9"/>
            <color indexed="81"/>
            <rFont val="Tahoma"/>
            <family val="2"/>
          </rPr>
          <t>Eve Browning:</t>
        </r>
        <r>
          <rPr>
            <sz val="9"/>
            <color indexed="81"/>
            <rFont val="Tahoma"/>
            <family val="2"/>
          </rPr>
          <t xml:space="preserve">
Counter Context invoice 205018
Hire of audio visual equipment - £13100</t>
        </r>
      </text>
    </comment>
    <comment ref="AV39" authorId="0" shapeId="0" xr:uid="{B20511E7-72DC-4BCE-BD2E-42092BC6D4F9}">
      <text>
        <r>
          <rPr>
            <b/>
            <sz val="9"/>
            <color indexed="81"/>
            <rFont val="Tahoma"/>
            <family val="2"/>
          </rPr>
          <t>Eve Browning:</t>
        </r>
        <r>
          <rPr>
            <sz val="9"/>
            <color indexed="81"/>
            <rFont val="Tahoma"/>
            <family val="2"/>
          </rPr>
          <t xml:space="preserve">
Counter Context invoice 205069
- Team accommodation - £3560</t>
        </r>
      </text>
    </comment>
    <comment ref="AW39" authorId="0" shapeId="0" xr:uid="{695CD166-8018-4F9D-80D2-BD8370188809}">
      <text>
        <r>
          <rPr>
            <b/>
            <sz val="9"/>
            <color indexed="81"/>
            <rFont val="Tahoma"/>
            <family val="2"/>
          </rPr>
          <t>Eve Browning:</t>
        </r>
        <r>
          <rPr>
            <sz val="9"/>
            <color indexed="81"/>
            <rFont val="Tahoma"/>
            <family val="2"/>
          </rPr>
          <t xml:space="preserve">
Counter Context invoice 205111
Hire of AV equipment - £22900
Team accommodation - £1919</t>
        </r>
      </text>
    </comment>
    <comment ref="AY39" authorId="0" shapeId="0" xr:uid="{D99EE411-7BC6-40A7-87CC-63B734CD3B7D}">
      <text>
        <r>
          <rPr>
            <b/>
            <sz val="9"/>
            <color indexed="81"/>
            <rFont val="Tahoma"/>
            <family val="2"/>
          </rPr>
          <t>Eve Browning:</t>
        </r>
        <r>
          <rPr>
            <sz val="9"/>
            <color indexed="81"/>
            <rFont val="Tahoma"/>
            <family val="2"/>
          </rPr>
          <t xml:space="preserve">
Invoice 205206
Venue hire for Hemswell Court
- Hire of Hemswell Court Ballroom + Breakout Rooms for two
days of Hearings and one day setup
- Lunches and refreshments
£6135
AV supply for Hemswell Court - AV set up for hearings held 23rd and 24th January, including
set up and delivery in line with PINS SLA requirements.
£30592
Accommodation for West Burton Hearings
- Accommodation on behalf of Applicant team at Hilton Doubletree Lincoln for January and February Hearings
£7814.88</t>
        </r>
      </text>
    </comment>
    <comment ref="AZ39" authorId="0" shapeId="0" xr:uid="{CA251F04-27A5-44C6-98D9-BD31E77FBA5A}">
      <text>
        <r>
          <rPr>
            <b/>
            <sz val="9"/>
            <color indexed="81"/>
            <rFont val="Tahoma"/>
            <family val="2"/>
          </rPr>
          <t>Eve Browning:</t>
        </r>
        <r>
          <rPr>
            <sz val="9"/>
            <color indexed="81"/>
            <rFont val="Tahoma"/>
            <family val="2"/>
          </rPr>
          <t xml:space="preserve">
Counter Context invoice 205243
Venue hire for Thonock Park
- Hire of Thonock Park Solheim Suite + Breakout Rooms (Woodland Suite and Thonock Lounge) for four days of Hearings and one day setup
- Refreshments
£5590
AV supply for Thonock Park
- AV set up for hearings to be held at Thonock Park for 5th- 9th February, including set up and delivery in line with PINS SLA requirements.
£42739
Additional accommodation for West Burton Hearings
- Accommodation for Matthew Smith, Stephen Flynn, Daniel
Baird, Neil Fletcher and Robert Roughan on behalf of
Applicant team at Hilton Doubletree Lincoln for February
Hearings
£836</t>
        </r>
      </text>
    </comment>
    <comment ref="BA39" authorId="0" shapeId="0" xr:uid="{45788756-2FA5-46D1-B724-B97B9B7CC8C9}">
      <text>
        <r>
          <rPr>
            <b/>
            <sz val="9"/>
            <color indexed="81"/>
            <rFont val="Tahoma"/>
            <family val="2"/>
          </rPr>
          <t>Eve Browning:</t>
        </r>
        <r>
          <rPr>
            <sz val="9"/>
            <color indexed="81"/>
            <rFont val="Tahoma"/>
            <family val="2"/>
          </rPr>
          <t xml:space="preserve">
Counter Context invoice 205304
Counter Context invoice 205304
AV supply for virtual hearing
- AV set up for hearings to be held virtually for 13th and 14th
March (overflow of ISH5), including set up and delivery in line with PINS SLA requirements.
£9016
</t>
        </r>
      </text>
    </comment>
    <comment ref="BB39" authorId="0" shapeId="0" xr:uid="{24E17F8F-B2E2-4147-9F6B-0AAC4FCECFB2}">
      <text>
        <r>
          <rPr>
            <b/>
            <sz val="9"/>
            <color indexed="81"/>
            <rFont val="Tahoma"/>
            <family val="2"/>
          </rPr>
          <t>Eve Browning:</t>
        </r>
        <r>
          <rPr>
            <sz val="9"/>
            <color indexed="81"/>
            <rFont val="Tahoma"/>
            <family val="2"/>
          </rPr>
          <t xml:space="preserve">
Invoice 205365
AV supply for virtual hearing 
- AV set up for hearings to be held virtually for 23 April (Change Application), including set up and delivery in line with PINS SLA requirements
£4812</t>
        </r>
      </text>
    </comment>
    <comment ref="J40" authorId="0" shapeId="0" xr:uid="{BB548CD6-D225-43C8-A285-886F39EF11BB}">
      <text>
        <r>
          <rPr>
            <b/>
            <sz val="9"/>
            <color indexed="81"/>
            <rFont val="Tahoma"/>
            <family val="2"/>
          </rPr>
          <t>Eve Browning:</t>
        </r>
        <r>
          <rPr>
            <sz val="9"/>
            <color indexed="81"/>
            <rFont val="Tahoma"/>
            <family val="2"/>
          </rPr>
          <t xml:space="preserve">
Counter Context, up to examination stage. Budget assumes £32k at examination stage</t>
        </r>
      </text>
    </comment>
    <comment ref="Y40" authorId="0" shapeId="0" xr:uid="{F64F3BD4-B004-47C9-A466-919629F7104F}">
      <text>
        <r>
          <rPr>
            <b/>
            <sz val="9"/>
            <color indexed="81"/>
            <rFont val="Tahoma"/>
            <family val="2"/>
          </rPr>
          <t>Eve Browning:</t>
        </r>
        <r>
          <rPr>
            <sz val="9"/>
            <color indexed="81"/>
            <rFont val="Tahoma"/>
            <family val="2"/>
          </rPr>
          <t xml:space="preserve">
Invoice 204033</t>
        </r>
      </text>
    </comment>
    <comment ref="AA40" authorId="0" shapeId="0" xr:uid="{F76217B3-5B97-46AB-9333-E1B251576F9A}">
      <text>
        <r>
          <rPr>
            <b/>
            <sz val="9"/>
            <color indexed="81"/>
            <rFont val="Tahoma"/>
            <family val="2"/>
          </rPr>
          <t>Eve Browning:</t>
        </r>
        <r>
          <rPr>
            <sz val="9"/>
            <color indexed="81"/>
            <rFont val="Tahoma"/>
            <family val="2"/>
          </rPr>
          <t xml:space="preserve">
Invoice 204139</t>
        </r>
      </text>
    </comment>
    <comment ref="AC40" authorId="0" shapeId="0" xr:uid="{287F8521-FA86-43BF-A3B5-5AB12B7CD65F}">
      <text>
        <r>
          <rPr>
            <b/>
            <sz val="9"/>
            <color indexed="81"/>
            <rFont val="Tahoma"/>
            <family val="2"/>
          </rPr>
          <t>Eve Browning:</t>
        </r>
        <r>
          <rPr>
            <sz val="9"/>
            <color indexed="81"/>
            <rFont val="Tahoma"/>
            <family val="2"/>
          </rPr>
          <t xml:space="preserve">
Invoice 204187</t>
        </r>
      </text>
    </comment>
    <comment ref="AD40" authorId="0" shapeId="0" xr:uid="{F616A3D1-F3F3-4487-BF4F-F89DD64B70CA}">
      <text>
        <r>
          <rPr>
            <b/>
            <sz val="9"/>
            <color indexed="81"/>
            <rFont val="Tahoma"/>
            <family val="2"/>
          </rPr>
          <t>Eve Browning:</t>
        </r>
        <r>
          <rPr>
            <sz val="9"/>
            <color indexed="81"/>
            <rFont val="Tahoma"/>
            <family val="2"/>
          </rPr>
          <t xml:space="preserve">
Invoice 204213</t>
        </r>
      </text>
    </comment>
    <comment ref="AE40" authorId="0" shapeId="0" xr:uid="{6235E3A1-E98D-4DEA-8F47-2A8C84148E8E}">
      <text>
        <r>
          <rPr>
            <b/>
            <sz val="9"/>
            <color indexed="81"/>
            <rFont val="Tahoma"/>
            <family val="2"/>
          </rPr>
          <t>Eve Browning:</t>
        </r>
        <r>
          <rPr>
            <sz val="9"/>
            <color indexed="81"/>
            <rFont val="Tahoma"/>
            <family val="2"/>
          </rPr>
          <t xml:space="preserve">
Invoice 204308
Includes £34k for statutory notice advertisements</t>
        </r>
      </text>
    </comment>
    <comment ref="AG40" authorId="0" shapeId="0" xr:uid="{781B562A-6511-4765-A2F4-AF6767877BBE}">
      <text>
        <r>
          <rPr>
            <b/>
            <sz val="9"/>
            <color indexed="81"/>
            <rFont val="Tahoma"/>
            <family val="2"/>
          </rPr>
          <t>Eve Browning:</t>
        </r>
        <r>
          <rPr>
            <sz val="9"/>
            <color indexed="81"/>
            <rFont val="Tahoma"/>
            <family val="2"/>
          </rPr>
          <t xml:space="preserve">
Invoice 204340
Ongoing local community and stakeholder
engagement support - £4020
Phase Two consultation Stakeholder Engagement - £595
Drafting and design of consultation and publicity
materials to print ready - £3500
Consultation event preparation and facilitation - £4000
Digital engagement platform - £2500
Formal Section 42,46 and 48 notification requirements - £5500
Hire of consultation event venues - £375
Print and distribution of PEIR - £6500
Phase Two Consultation Leaflet and Feedback Form - £9460
Consultation Event Materials - £1500
June event expenses - £283.63
Invoice 204341
Ongoing local community and stakeholder
engagement support - £4020
Consultation event preparation and facilitation - £2000
ALC consultation extension - £1380
ALC consultation extension - £9550
Upload and hosting of 360 degree digital photography - £275
July event expenses - £34.20</t>
        </r>
      </text>
    </comment>
    <comment ref="AH40" authorId="0" shapeId="0" xr:uid="{72386C74-8F95-43DE-9E2D-1E917E1FC8E2}">
      <text>
        <r>
          <rPr>
            <b/>
            <sz val="9"/>
            <color indexed="81"/>
            <rFont val="Tahoma"/>
            <family val="2"/>
          </rPr>
          <t>Eve Browning:</t>
        </r>
        <r>
          <rPr>
            <sz val="9"/>
            <color indexed="81"/>
            <rFont val="Tahoma"/>
            <family val="2"/>
          </rPr>
          <t xml:space="preserve">
Invoice 204378
- Client liaison, meeting attendance and project management - Weekly media monitoring and reporting
- Management, recording and reporting of all stakeholder enquiries and ongoing community liaison
- Attendance at PINs and stakeholder meetings
- Ad hoc media support</t>
        </r>
      </text>
    </comment>
    <comment ref="AI40" authorId="0" shapeId="0" xr:uid="{4334F7F0-B2D5-4B25-BC12-5F97FDFE6E63}">
      <text>
        <r>
          <rPr>
            <b/>
            <sz val="9"/>
            <color indexed="81"/>
            <rFont val="Tahoma"/>
            <family val="2"/>
          </rPr>
          <t>Eve Browning:</t>
        </r>
        <r>
          <rPr>
            <sz val="9"/>
            <color indexed="81"/>
            <rFont val="Tahoma"/>
            <family val="2"/>
          </rPr>
          <t xml:space="preserve">
Invoice INV-2594 Aberfield Positive Influence - £300 - HSC Benefits statement
Invoice 204467 - Counter Context
- Ongoing local community and stakeholder engagement support - £4020
- Consultation analysis and production of Consultation Summary Report - £3560</t>
        </r>
      </text>
    </comment>
    <comment ref="AJ40" authorId="0" shapeId="0" xr:uid="{3620BD29-8968-495C-B685-BAC9AF322B39}">
      <text>
        <r>
          <rPr>
            <b/>
            <sz val="9"/>
            <color indexed="81"/>
            <rFont val="Tahoma"/>
            <family val="2"/>
          </rPr>
          <t>Eve Browning:</t>
        </r>
        <r>
          <rPr>
            <sz val="9"/>
            <color indexed="81"/>
            <rFont val="Tahoma"/>
            <family val="2"/>
          </rPr>
          <t xml:space="preserve">
Invoice 204469
- Ongoing local community and stakeholder engagement support - £4020
- Consultation Summary Report - £4500
</t>
        </r>
      </text>
    </comment>
    <comment ref="AK40" authorId="0" shapeId="0" xr:uid="{29EB7BF5-12DE-4882-B94A-006E9C5DC46A}">
      <text>
        <r>
          <rPr>
            <b/>
            <sz val="9"/>
            <color indexed="81"/>
            <rFont val="Tahoma"/>
            <family val="2"/>
          </rPr>
          <t>Eve Browning:</t>
        </r>
        <r>
          <rPr>
            <sz val="9"/>
            <color indexed="81"/>
            <rFont val="Tahoma"/>
            <family val="2"/>
          </rPr>
          <t xml:space="preserve">
Invoice 204524
 Ongoing local community and stakeholder engagement support 
- Client liaison, meeting attendance and project management 
- Weekly media monitoring and reporting
- Management, recording and reporting of all stakeholder enquiries and ongoing community liaison
- Attendance at stakeholder meetings
- Ad hoc media support
£4020</t>
        </r>
      </text>
    </comment>
    <comment ref="AL40" authorId="0" shapeId="0" xr:uid="{650EE11A-927E-4DF6-9AA4-343496B9F2B8}">
      <text>
        <r>
          <rPr>
            <b/>
            <sz val="9"/>
            <color indexed="81"/>
            <rFont val="Tahoma"/>
            <family val="2"/>
          </rPr>
          <t>Eve Browning:</t>
        </r>
        <r>
          <rPr>
            <sz val="9"/>
            <color indexed="81"/>
            <rFont val="Tahoma"/>
            <family val="2"/>
          </rPr>
          <t xml:space="preserve">
Invoice 204588
Ongoing local community and stakeholder engagement support 
- Client liaison, meeting attendance and project management - Weekly media monitoring and reporting
- Management, recording and reporting of all stakeholder enquiries and ongoing community liaison
- Attendance at stakeholder meetings
- Ad hoc media support
£2010</t>
        </r>
      </text>
    </comment>
    <comment ref="AN40" authorId="0" shapeId="0" xr:uid="{D7A8454A-EBFE-4A7F-B2FE-6E67DEF077C9}">
      <text>
        <r>
          <rPr>
            <b/>
            <sz val="9"/>
            <color indexed="81"/>
            <rFont val="Tahoma"/>
            <family val="2"/>
          </rPr>
          <t>Eve Browning:</t>
        </r>
        <r>
          <rPr>
            <sz val="9"/>
            <color indexed="81"/>
            <rFont val="Tahoma"/>
            <family val="2"/>
          </rPr>
          <t xml:space="preserve">
Invoice 204712
Consultation report - £9080</t>
        </r>
      </text>
    </comment>
    <comment ref="AO40" authorId="0" shapeId="0" xr:uid="{063706FD-861C-4CF4-AC73-8FD4A0E89A1D}">
      <text>
        <r>
          <rPr>
            <b/>
            <sz val="9"/>
            <color indexed="81"/>
            <rFont val="Tahoma"/>
            <family val="2"/>
          </rPr>
          <t>Eve Browning:</t>
        </r>
        <r>
          <rPr>
            <sz val="9"/>
            <color indexed="81"/>
            <rFont val="Tahoma"/>
            <family val="2"/>
          </rPr>
          <t xml:space="preserve">
Invoice 204760
- Ongoing comms support - £2564
- Development and delivery of acceptance comms strategy and statutory requirements - £1992
- Section 56 print, postage and distribution - £8150
- Placement of S56 notices - £26000
</t>
        </r>
      </text>
    </comment>
    <comment ref="AQ40" authorId="0" shapeId="0" xr:uid="{9EC3F341-5355-488D-9B4A-8AB1D9429200}">
      <text>
        <r>
          <rPr>
            <b/>
            <sz val="9"/>
            <color indexed="81"/>
            <rFont val="Tahoma"/>
            <family val="2"/>
          </rPr>
          <t>Eve Browning:</t>
        </r>
        <r>
          <rPr>
            <sz val="9"/>
            <color indexed="81"/>
            <rFont val="Tahoma"/>
            <family val="2"/>
          </rPr>
          <t xml:space="preserve">
Invoice 204809
Ongoing comms support - £2564.00</t>
        </r>
      </text>
    </comment>
    <comment ref="AR40" authorId="0" shapeId="0" xr:uid="{EF31541C-238E-4758-B861-30E730AA3413}">
      <text>
        <r>
          <rPr>
            <b/>
            <sz val="9"/>
            <color indexed="81"/>
            <rFont val="Tahoma"/>
            <family val="2"/>
          </rPr>
          <t>Eve Browning:</t>
        </r>
        <r>
          <rPr>
            <sz val="9"/>
            <color indexed="81"/>
            <rFont val="Tahoma"/>
            <family val="2"/>
          </rPr>
          <t xml:space="preserve">
Invoice 204867
Ongoing Communications Support, including: 
- Hosting of communications channels (Freephone, freepost, email) 
- Hosting of website
- Meeting attendance and project team liaison
- Support for media enquiries
- Media monitoring</t>
        </r>
      </text>
    </comment>
    <comment ref="AS40" authorId="0" shapeId="0" xr:uid="{E3BB6213-625A-4E0F-8523-3809564759FB}">
      <text>
        <r>
          <rPr>
            <b/>
            <sz val="9"/>
            <color indexed="81"/>
            <rFont val="Tahoma"/>
            <family val="2"/>
          </rPr>
          <t>Eve Browning:</t>
        </r>
        <r>
          <rPr>
            <sz val="9"/>
            <color indexed="81"/>
            <rFont val="Tahoma"/>
            <family val="2"/>
          </rPr>
          <t xml:space="preserve">
Invoice 204921
Ongoing comms support - £2564
Relevant representations - £700</t>
        </r>
      </text>
    </comment>
    <comment ref="AT40" authorId="0" shapeId="0" xr:uid="{40A2C6ED-1BA8-456A-A7E8-7A8584F4F76A}">
      <text>
        <r>
          <rPr>
            <b/>
            <sz val="9"/>
            <color indexed="81"/>
            <rFont val="Tahoma"/>
            <family val="2"/>
          </rPr>
          <t>Eve Browning:</t>
        </r>
        <r>
          <rPr>
            <sz val="9"/>
            <color indexed="81"/>
            <rFont val="Tahoma"/>
            <family val="2"/>
          </rPr>
          <t xml:space="preserve">
Invoice 204984
- Ongoing comms support - £2564
- Drafting of Rule 13(6) Notice - £1540
- Publication of Rule 13(6) Notice - £8150
- Logistical support to organise hearings - £2600
- Travel and subsistence expenses - £31.10
</t>
        </r>
      </text>
    </comment>
    <comment ref="AU40" authorId="0" shapeId="0" xr:uid="{15BC500A-9B57-4C5C-92B8-944F0A12210E}">
      <text>
        <r>
          <rPr>
            <b/>
            <sz val="9"/>
            <color indexed="81"/>
            <rFont val="Tahoma"/>
            <family val="2"/>
          </rPr>
          <t>Eve Browning:</t>
        </r>
        <r>
          <rPr>
            <sz val="9"/>
            <color indexed="81"/>
            <rFont val="Tahoma"/>
            <family val="2"/>
          </rPr>
          <t xml:space="preserve">
Invoice 205018
Ongoing comms support - £2564
Attendance at prelim meeting and hearings - £1260
Car parking - £9.20</t>
        </r>
      </text>
    </comment>
    <comment ref="AV40" authorId="0" shapeId="0" xr:uid="{65F85718-EE86-4219-9A4D-CC90B15D4CF3}">
      <text>
        <r>
          <rPr>
            <b/>
            <sz val="9"/>
            <color indexed="81"/>
            <rFont val="Tahoma"/>
            <family val="2"/>
          </rPr>
          <t>Eve Browning:</t>
        </r>
        <r>
          <rPr>
            <sz val="9"/>
            <color indexed="81"/>
            <rFont val="Tahoma"/>
            <family val="2"/>
          </rPr>
          <t xml:space="preserve">
Invoice 205069
- Ongoing comms support - £2564
- Publication of Rule 13(6) notice - £8150</t>
        </r>
      </text>
    </comment>
    <comment ref="AW40" authorId="0" shapeId="0" xr:uid="{E117A4EC-2A38-42F4-9FC0-F8B973624E2D}">
      <text>
        <r>
          <rPr>
            <b/>
            <sz val="9"/>
            <color indexed="81"/>
            <rFont val="Tahoma"/>
            <family val="2"/>
          </rPr>
          <t>Eve Browning:</t>
        </r>
        <r>
          <rPr>
            <sz val="9"/>
            <color indexed="81"/>
            <rFont val="Tahoma"/>
            <family val="2"/>
          </rPr>
          <t xml:space="preserve">
Invoice 205111
- Ongoing comms support - £2564
- Attendance at hearings - £2448
- Expenses - £127.63</t>
        </r>
      </text>
    </comment>
    <comment ref="AX40" authorId="0" shapeId="0" xr:uid="{DCA1674E-532F-433E-AF40-629C150E8D5B}">
      <text>
        <r>
          <rPr>
            <b/>
            <sz val="9"/>
            <color indexed="81"/>
            <rFont val="Tahoma"/>
            <family val="2"/>
          </rPr>
          <t>Eve Browning:</t>
        </r>
        <r>
          <rPr>
            <sz val="9"/>
            <color indexed="81"/>
            <rFont val="Tahoma"/>
            <family val="2"/>
          </rPr>
          <t xml:space="preserve">
Invoice 205149
Ongoing comms support plus £480 for hearings preparation support and notice drafting - £3044</t>
        </r>
      </text>
    </comment>
    <comment ref="AY40" authorId="0" shapeId="0" xr:uid="{F4FFEC5F-05F2-4547-8229-148D1099ABE6}">
      <text>
        <r>
          <rPr>
            <b/>
            <sz val="9"/>
            <color indexed="81"/>
            <rFont val="Tahoma"/>
            <family val="2"/>
          </rPr>
          <t>Eve Browning:</t>
        </r>
        <r>
          <rPr>
            <sz val="9"/>
            <color indexed="81"/>
            <rFont val="Tahoma"/>
            <family val="2"/>
          </rPr>
          <t xml:space="preserve">
Invoice 205206
Ongoing Communications Support, including: - Hosting of communications channels (Freephone, freepost, email) - Hosting of website
- Meeting attendance and project team liaison
- Support for media enquiries
- Media monitoring
- Drafting and organisation of West Burton Rule 6 Notice
£2564
West Burton Rule 6 Notice
- Placement of Notice for one week in the Lincolnshire Echo
and the Retford Times
- Print and Postage of Notice to local information points
£9224.75
Attendance at Hearings
Account Executive attendance at Hearings. Charged at two days to cover venue check and setup on Monday 22nd, DCO hearing on 23rd and OFH on 24th.
£768
Expenses
- Train tickets for MOS to attend hearings
- Subsistence during hearing days
- Taxi to venue for venue check and setup
£78</t>
        </r>
      </text>
    </comment>
    <comment ref="AZ40" authorId="0" shapeId="0" xr:uid="{9769AD22-6F2A-45AF-ACAD-003309A56024}">
      <text>
        <r>
          <rPr>
            <b/>
            <sz val="9"/>
            <color indexed="81"/>
            <rFont val="Tahoma"/>
            <family val="2"/>
          </rPr>
          <t>Eve Browning:</t>
        </r>
        <r>
          <rPr>
            <sz val="9"/>
            <color indexed="81"/>
            <rFont val="Tahoma"/>
            <family val="2"/>
          </rPr>
          <t xml:space="preserve">
Invoice 205243
Ongoing Communications Support, including: - Hosting of communications channels (Freephone, freepost, email) - Hosting of website
- Meeting attendance and project team liaison
- Support for media enquiries
- Media monitoring
- Drafting and organisation and mailout of West Burton Change Application and Rule 6 Notice
£2948
West Burton Change Application Notice and Cover Letter
- Print and Postage of Notice to identified consultees
- Placement of Notice for one week in the Guardian and the London Gazette
- Placement of Notice for two weeks in the Lincolnshire Echo and the Retford Times
£25796
West Burton Rule 6 Notice
- Placement of Notice for ISH5 (on postponed items of ISH3)
for one week in the Lincolnshire Echo and the Retford Times
- Print and Postage of Notice to local information points
£8250
Attendance at Hearings
Account Executive attendance at Hearings. Charged at three
days to cover venue check and setup on Monday 5th, CAH
hearing on 6th, ISH 3 on 7th and ISH 4 on 8th
£1152
Expenses
- Train tickets for MOS to attend hearings
- Subsistence during hearing days
- Taxi to venue for venue check and setup
£43 </t>
        </r>
      </text>
    </comment>
    <comment ref="BA40" authorId="0" shapeId="0" xr:uid="{59B42079-E7D9-4D7B-98DB-EAE271BCA6C8}">
      <text>
        <r>
          <rPr>
            <b/>
            <sz val="9"/>
            <color indexed="81"/>
            <rFont val="Tahoma"/>
            <family val="2"/>
          </rPr>
          <t>Eve Browning:</t>
        </r>
        <r>
          <rPr>
            <sz val="9"/>
            <color indexed="81"/>
            <rFont val="Tahoma"/>
            <family val="2"/>
          </rPr>
          <t xml:space="preserve">
Invoice 205304
Ongoing Communications Support, including: - Hosting of communications channels (Freephone, freepost, email) - Hosting of website
- Meeting attendance and project team liaison
- Support for media enquiries
- Media monitoring
- Drafting and organisation and mailout of West Burton Change Application Notification of Hearings Notice
-Attendance at Virtual Hearing for West Burton ISH
£2566
West Burton Rule 6 Notice
- Placement of Notice publicising Change Application virtual
hearing for one week in the Lincolnshire Echo and the Retford
Times
- Print and Postage of Notice to local information points
£8300</t>
        </r>
      </text>
    </comment>
    <comment ref="BB40" authorId="0" shapeId="0" xr:uid="{513DFDB4-E0AD-4CD5-969A-43300C459821}">
      <text>
        <r>
          <rPr>
            <b/>
            <sz val="9"/>
            <color indexed="81"/>
            <rFont val="Tahoma"/>
            <family val="2"/>
          </rPr>
          <t>Eve Browning:</t>
        </r>
        <r>
          <rPr>
            <sz val="9"/>
            <color indexed="81"/>
            <rFont val="Tahoma"/>
            <family val="2"/>
          </rPr>
          <t xml:space="preserve">
Invoice 205365
Ongoing Communications Support, including:
- Hosting of communications channels (Freephone, freepost, email)
- Hosting of website
- Meeting attendance and project team liaison
- Support for media enquiries
- Media monitoring
- Attendance at Virtual Hearing for West Burton Change Application
£2566</t>
        </r>
      </text>
    </comment>
    <comment ref="BC40" authorId="0" shapeId="0" xr:uid="{564CD51A-6339-485A-A83D-226BFC59026E}">
      <text>
        <r>
          <rPr>
            <b/>
            <sz val="9"/>
            <color indexed="81"/>
            <rFont val="Tahoma"/>
            <family val="2"/>
          </rPr>
          <t>Eve Browning:</t>
        </r>
        <r>
          <rPr>
            <sz val="9"/>
            <color indexed="81"/>
            <rFont val="Tahoma"/>
            <family val="2"/>
          </rPr>
          <t xml:space="preserve">
Invoice 205445
Single fee for limited support up to determination
decision, including:
- hosting of communications lines (freephone, freepost, email
and website, including renewals where necessary).
- handling of limited enquiries and team liaison.
£1335</t>
        </r>
      </text>
    </comment>
    <comment ref="J41" authorId="0" shapeId="0" xr:uid="{6BA03C3B-CA5C-4AFA-AA35-57D9A94FEF53}">
      <text>
        <r>
          <rPr>
            <b/>
            <sz val="9"/>
            <color indexed="81"/>
            <rFont val="Tahoma"/>
            <family val="2"/>
          </rPr>
          <t>Eve Browning:</t>
        </r>
        <r>
          <rPr>
            <sz val="9"/>
            <color indexed="81"/>
            <rFont val="Tahoma"/>
            <family val="2"/>
          </rPr>
          <t xml:space="preserve">
12 days at £960/day
Additionally up to 10 days required at examination</t>
        </r>
      </text>
    </comment>
    <comment ref="AE41" authorId="0" shapeId="0" xr:uid="{3FB2F354-4A8A-4528-A6AE-C6698F63B1F3}">
      <text>
        <r>
          <rPr>
            <b/>
            <sz val="9"/>
            <color indexed="81"/>
            <rFont val="Tahoma"/>
            <family val="2"/>
          </rPr>
          <t>Eve Browning:</t>
        </r>
        <r>
          <rPr>
            <sz val="9"/>
            <color indexed="81"/>
            <rFont val="Tahoma"/>
            <family val="2"/>
          </rPr>
          <t xml:space="preserve">
Invoice 0923-2206-1</t>
        </r>
      </text>
    </comment>
    <comment ref="AL41" authorId="0" shapeId="0" xr:uid="{5BED6FE7-C17D-4480-9264-1C7E409D603F}">
      <text>
        <r>
          <rPr>
            <b/>
            <sz val="9"/>
            <color indexed="81"/>
            <rFont val="Tahoma"/>
            <family val="2"/>
          </rPr>
          <t>Eve Browning:</t>
        </r>
        <r>
          <rPr>
            <sz val="9"/>
            <color indexed="81"/>
            <rFont val="Tahoma"/>
            <family val="2"/>
          </rPr>
          <t xml:space="preserve">
Invoice 0923-2212-1
Final Statement of Need for DCO submission</t>
        </r>
      </text>
    </comment>
    <comment ref="AT41" authorId="0" shapeId="0" xr:uid="{23A2A570-139F-4B2B-8786-451C1C6A830E}">
      <text>
        <r>
          <rPr>
            <b/>
            <sz val="9"/>
            <color indexed="81"/>
            <rFont val="Tahoma"/>
            <family val="2"/>
          </rPr>
          <t>Eve Browning:</t>
        </r>
        <r>
          <rPr>
            <sz val="9"/>
            <color indexed="81"/>
            <rFont val="Tahoma"/>
            <family val="2"/>
          </rPr>
          <t xml:space="preserve">
Invoice 0923-2309-1
Relevant representation responses - £840</t>
        </r>
      </text>
    </comment>
    <comment ref="AW41" authorId="0" shapeId="0" xr:uid="{A901B747-A9BE-4D1A-BF68-81B4148470C6}">
      <text>
        <r>
          <rPr>
            <b/>
            <sz val="9"/>
            <color indexed="81"/>
            <rFont val="Tahoma"/>
            <family val="2"/>
          </rPr>
          <t>Eve Browning:</t>
        </r>
        <r>
          <rPr>
            <sz val="9"/>
            <color indexed="81"/>
            <rFont val="Tahoma"/>
            <family val="2"/>
          </rPr>
          <t xml:space="preserve">
Invoice 0923-2312-1
Relevant representation responses, Issue Specific Heaing preparation and attendance, written summaries and actions arising - £4080</t>
        </r>
      </text>
    </comment>
    <comment ref="AY41" authorId="0" shapeId="0" xr:uid="{78585386-A7B4-4178-8ABF-F8F130EC4772}">
      <text>
        <r>
          <rPr>
            <b/>
            <sz val="9"/>
            <color indexed="81"/>
            <rFont val="Tahoma"/>
            <family val="2"/>
          </rPr>
          <t>Eve Browning:</t>
        </r>
        <r>
          <rPr>
            <sz val="9"/>
            <color indexed="81"/>
            <rFont val="Tahoma"/>
            <family val="2"/>
          </rPr>
          <t xml:space="preserve">
Invoice 0923-2402-1
West Burton Solar RRs, FWQ, WRs &amp; DL4 responses, ISH 3 preparation &amp; virtual attendance - £3120</t>
        </r>
      </text>
    </comment>
    <comment ref="BC41" authorId="0" shapeId="0" xr:uid="{ED203E39-AD82-4372-95E3-0363D68D396A}">
      <text>
        <r>
          <rPr>
            <b/>
            <sz val="9"/>
            <color indexed="81"/>
            <rFont val="Tahoma"/>
            <family val="2"/>
          </rPr>
          <t>Eve Browning:</t>
        </r>
        <r>
          <rPr>
            <sz val="9"/>
            <color indexed="81"/>
            <rFont val="Tahoma"/>
            <family val="2"/>
          </rPr>
          <t xml:space="preserve">
Invoice 0923-2405-1
West Burton Solar Examination support including DL4 - DL5 submissions and responses ExQs £960</t>
        </r>
      </text>
    </comment>
    <comment ref="J42" authorId="0" shapeId="0" xr:uid="{64F229BC-F51C-495F-94A5-A920B6355575}">
      <text>
        <r>
          <rPr>
            <b/>
            <sz val="9"/>
            <color indexed="81"/>
            <rFont val="Tahoma"/>
            <family val="2"/>
          </rPr>
          <t>Eve Browning:</t>
        </r>
        <r>
          <rPr>
            <sz val="9"/>
            <color indexed="81"/>
            <rFont val="Tahoma"/>
            <family val="2"/>
          </rPr>
          <t xml:space="preserve">
Including Broxholme for £250</t>
        </r>
      </text>
    </comment>
    <comment ref="J44" authorId="0" shapeId="0" xr:uid="{9B64986C-0B75-447A-87F4-256C1529A693}">
      <text>
        <r>
          <rPr>
            <b/>
            <sz val="9"/>
            <color indexed="81"/>
            <rFont val="Tahoma"/>
            <family val="2"/>
          </rPr>
          <t>Eve Browning:</t>
        </r>
        <r>
          <rPr>
            <sz val="9"/>
            <color indexed="81"/>
            <rFont val="Tahoma"/>
            <family val="2"/>
          </rPr>
          <t xml:space="preserve">
Atkins</t>
        </r>
      </text>
    </comment>
    <comment ref="K44" authorId="0" shapeId="0" xr:uid="{79CC77CE-DA13-4285-BF41-8A10365A39FA}">
      <text>
        <r>
          <rPr>
            <b/>
            <sz val="9"/>
            <color indexed="81"/>
            <rFont val="Tahoma"/>
            <family val="2"/>
          </rPr>
          <t>Eve Browning:</t>
        </r>
        <r>
          <rPr>
            <sz val="9"/>
            <color indexed="81"/>
            <rFont val="Tahoma"/>
            <family val="2"/>
          </rPr>
          <t xml:space="preserve">
Centremaps</t>
        </r>
      </text>
    </comment>
    <comment ref="AC44" authorId="0" shapeId="0" xr:uid="{DF514EEF-1152-44F2-885A-ED6DB3E2ED7B}">
      <text>
        <r>
          <rPr>
            <b/>
            <sz val="9"/>
            <color indexed="81"/>
            <rFont val="Tahoma"/>
            <family val="2"/>
          </rPr>
          <t>Eve Browning:</t>
        </r>
        <r>
          <rPr>
            <sz val="9"/>
            <color indexed="81"/>
            <rFont val="Tahoma"/>
            <family val="2"/>
          </rPr>
          <t xml:space="preserve">
Invoice UK-CI-036630</t>
        </r>
      </text>
    </comment>
    <comment ref="J45" authorId="0" shapeId="0" xr:uid="{77EDEDB1-4891-4958-9926-11691B481B6A}">
      <text>
        <r>
          <rPr>
            <b/>
            <sz val="9"/>
            <color indexed="81"/>
            <rFont val="Tahoma"/>
            <family val="2"/>
          </rPr>
          <t>Eve Browning:</t>
        </r>
        <r>
          <rPr>
            <sz val="9"/>
            <color indexed="81"/>
            <rFont val="Tahoma"/>
            <family val="2"/>
          </rPr>
          <t xml:space="preserve">
Pager Power</t>
        </r>
      </text>
    </comment>
    <comment ref="J46" authorId="0" shapeId="0" xr:uid="{DAC747C9-890D-470F-BEF5-86D6CE3BE17B}">
      <text>
        <r>
          <rPr>
            <b/>
            <sz val="9"/>
            <color indexed="81"/>
            <rFont val="Tahoma"/>
            <family val="2"/>
          </rPr>
          <t>Eve Browning:</t>
        </r>
        <r>
          <rPr>
            <sz val="9"/>
            <color indexed="81"/>
            <rFont val="Tahoma"/>
            <family val="2"/>
          </rPr>
          <t xml:space="preserve">
Delta Simons. Excludes cable route and substation site, which will require to be done at a later date</t>
        </r>
      </text>
    </comment>
    <comment ref="AE46" authorId="0" shapeId="0" xr:uid="{D053033A-0809-46A5-9AD9-207F03BE5FBB}">
      <text>
        <r>
          <rPr>
            <b/>
            <sz val="9"/>
            <color indexed="81"/>
            <rFont val="Tahoma"/>
            <family val="2"/>
          </rPr>
          <t>Eve Browning:</t>
        </r>
        <r>
          <rPr>
            <sz val="9"/>
            <color indexed="81"/>
            <rFont val="Tahoma"/>
            <family val="2"/>
          </rPr>
          <t xml:space="preserve">
Invoice DS033209</t>
        </r>
      </text>
    </comment>
    <comment ref="AF46" authorId="0" shapeId="0" xr:uid="{5201B740-8ADE-4CDF-A07A-7AB0E4FCD643}">
      <text>
        <r>
          <rPr>
            <b/>
            <sz val="9"/>
            <color indexed="81"/>
            <rFont val="Tahoma"/>
            <family val="2"/>
          </rPr>
          <t>Eve Browning:</t>
        </r>
        <r>
          <rPr>
            <sz val="9"/>
            <color indexed="81"/>
            <rFont val="Tahoma"/>
            <family val="2"/>
          </rPr>
          <t xml:space="preserve">
West Burton substation and cable search area Envirocheck report and PRA
Invoice DS034022</t>
        </r>
      </text>
    </comment>
    <comment ref="Z47" authorId="0" shapeId="0" xr:uid="{71DE267D-9E51-4989-87D1-333CE205DFDC}">
      <text>
        <r>
          <rPr>
            <b/>
            <sz val="9"/>
            <color indexed="81"/>
            <rFont val="Tahoma"/>
            <family val="2"/>
          </rPr>
          <t>Eve Browning:</t>
        </r>
        <r>
          <rPr>
            <sz val="9"/>
            <color indexed="81"/>
            <rFont val="Tahoma"/>
            <family val="2"/>
          </rPr>
          <t xml:space="preserve">
Savills Invoice INSU00190063</t>
        </r>
      </text>
    </comment>
    <comment ref="AL47" authorId="0" shapeId="0" xr:uid="{D1336D14-0E1B-47A2-8F6E-ECA6BD40ADB2}">
      <text>
        <r>
          <rPr>
            <b/>
            <sz val="9"/>
            <color indexed="81"/>
            <rFont val="Tahoma"/>
            <family val="2"/>
          </rPr>
          <t>Eve Browning:</t>
        </r>
        <r>
          <rPr>
            <sz val="9"/>
            <color indexed="81"/>
            <rFont val="Tahoma"/>
            <family val="2"/>
          </rPr>
          <t xml:space="preserve">
Invoice INSU00292963
Professional fees incurred with The Henry Smith Charity’s land at West Burton 4 for 
the period to 30/09/2022</t>
        </r>
      </text>
    </comment>
    <comment ref="AH48" authorId="0" shapeId="0" xr:uid="{9125A1B9-D8D6-4751-9980-F0A8D4794CD8}">
      <text>
        <r>
          <rPr>
            <b/>
            <sz val="9"/>
            <color indexed="81"/>
            <rFont val="Tahoma"/>
            <family val="2"/>
          </rPr>
          <t>Eve Browning:</t>
        </r>
        <r>
          <rPr>
            <sz val="9"/>
            <color indexed="81"/>
            <rFont val="Tahoma"/>
            <family val="2"/>
          </rPr>
          <t xml:space="preserve">
Invoice 153786</t>
        </r>
      </text>
    </comment>
    <comment ref="AN48" authorId="0" shapeId="0" xr:uid="{E112DE72-DB6B-4D36-82A1-CA338362E6C4}">
      <text>
        <r>
          <rPr>
            <b/>
            <sz val="9"/>
            <color indexed="81"/>
            <rFont val="Tahoma"/>
            <family val="2"/>
          </rPr>
          <t>Eve Browning:</t>
        </r>
        <r>
          <rPr>
            <sz val="9"/>
            <color indexed="81"/>
            <rFont val="Tahoma"/>
            <family val="2"/>
          </rPr>
          <t xml:space="preserve">
Invoice 157399
West Burton DAS advice - £1650</t>
        </r>
      </text>
    </comment>
    <comment ref="AD49" authorId="0" shapeId="0" xr:uid="{27E86A61-23FB-4D70-85F8-221F99897BB9}">
      <text>
        <r>
          <rPr>
            <b/>
            <sz val="9"/>
            <color indexed="81"/>
            <rFont val="Tahoma"/>
            <family val="2"/>
          </rPr>
          <t>Eve Browning:</t>
        </r>
        <r>
          <rPr>
            <sz val="9"/>
            <color indexed="81"/>
            <rFont val="Tahoma"/>
            <family val="2"/>
          </rPr>
          <t xml:space="preserve">
Proforma SF.4032395</t>
        </r>
      </text>
    </comment>
    <comment ref="AF49" authorId="0" shapeId="0" xr:uid="{0CCCA8FB-C7A1-468A-9189-C53E8BCDA59D}">
      <text>
        <r>
          <rPr>
            <b/>
            <sz val="9"/>
            <color indexed="81"/>
            <rFont val="Tahoma"/>
            <family val="2"/>
          </rPr>
          <t>Eve Browning:</t>
        </r>
        <r>
          <rPr>
            <sz val="9"/>
            <color indexed="81"/>
            <rFont val="Tahoma"/>
            <family val="2"/>
          </rPr>
          <t xml:space="preserve">
Meeting attendance
Invoice 22009769</t>
        </r>
      </text>
    </comment>
    <comment ref="AY49" authorId="0" shapeId="0" xr:uid="{0DCC3ED2-E356-4222-BEB4-8D3B9348362C}">
      <text>
        <r>
          <rPr>
            <b/>
            <sz val="9"/>
            <color indexed="81"/>
            <rFont val="Tahoma"/>
            <family val="2"/>
          </rPr>
          <t>Eve Browning:</t>
        </r>
        <r>
          <rPr>
            <sz val="9"/>
            <color indexed="81"/>
            <rFont val="Tahoma"/>
            <family val="2"/>
          </rPr>
          <t xml:space="preserve">
Bureau Veritas invoice 24002226
Daniel Clampin attendance at Issue Specific Hearing for Climate Change - £1935</t>
        </r>
      </text>
    </comment>
    <comment ref="BC49" authorId="0" shapeId="0" xr:uid="{DC0D7A46-D8E9-48E6-99DF-037280335337}">
      <text>
        <r>
          <rPr>
            <b/>
            <sz val="9"/>
            <color indexed="81"/>
            <rFont val="Tahoma"/>
            <family val="2"/>
          </rPr>
          <t>Eve Browning:</t>
        </r>
        <r>
          <rPr>
            <sz val="9"/>
            <color indexed="81"/>
            <rFont val="Tahoma"/>
            <family val="2"/>
          </rPr>
          <t xml:space="preserve">
Invoice 24007112
Daniel Clampin Remote attendance at Issue Specific Hearing 5 for Climate Change - £995</t>
        </r>
      </text>
    </comment>
    <comment ref="AI50" authorId="0" shapeId="0" xr:uid="{0B57605F-B790-492C-B4D8-CF66900CB847}">
      <text>
        <r>
          <rPr>
            <b/>
            <sz val="9"/>
            <color indexed="81"/>
            <rFont val="Tahoma"/>
            <family val="2"/>
          </rPr>
          <t>Eve Browning:</t>
        </r>
        <r>
          <rPr>
            <sz val="9"/>
            <color indexed="81"/>
            <rFont val="Tahoma"/>
            <family val="2"/>
          </rPr>
          <t xml:space="preserve">
JSM invoice SI31555</t>
        </r>
      </text>
    </comment>
    <comment ref="AM50" authorId="0" shapeId="0" xr:uid="{F1A1A80E-611E-4CB0-9780-D9A1A689C8CE}">
      <text>
        <r>
          <rPr>
            <b/>
            <sz val="9"/>
            <color indexed="81"/>
            <rFont val="Tahoma"/>
            <family val="2"/>
          </rPr>
          <t>Eve Browning:</t>
        </r>
        <r>
          <rPr>
            <sz val="9"/>
            <color indexed="81"/>
            <rFont val="Tahoma"/>
            <family val="2"/>
          </rPr>
          <t xml:space="preserve">
Invoice SI400248
Feasibility studies, engineering drawings and advice - £1451.67</t>
        </r>
      </text>
    </comment>
    <comment ref="AN50" authorId="0" shapeId="0" xr:uid="{5621EFBA-B42A-486C-9A1E-EDE05E5A7707}">
      <text>
        <r>
          <rPr>
            <b/>
            <sz val="9"/>
            <color indexed="81"/>
            <rFont val="Tahoma"/>
            <family val="2"/>
          </rPr>
          <t>Eve Browning:</t>
        </r>
        <r>
          <rPr>
            <sz val="9"/>
            <color indexed="81"/>
            <rFont val="Tahoma"/>
            <family val="2"/>
          </rPr>
          <t xml:space="preserve">
Invoice SI400528
Cable route engineering advice - £3660.75</t>
        </r>
      </text>
    </comment>
    <comment ref="AP50" authorId="0" shapeId="0" xr:uid="{EAFD8B70-1B92-410E-A764-0B77744684A2}">
      <text>
        <r>
          <rPr>
            <b/>
            <sz val="9"/>
            <color indexed="81"/>
            <rFont val="Tahoma"/>
            <family val="2"/>
          </rPr>
          <t>Eve Browning:</t>
        </r>
        <r>
          <rPr>
            <sz val="9"/>
            <color indexed="81"/>
            <rFont val="Tahoma"/>
            <family val="2"/>
          </rPr>
          <t xml:space="preserve">
Invoice SI400859
GPR road survey - £9860.80
Ongoing design advice - £2508.49</t>
        </r>
      </text>
    </comment>
    <comment ref="AT50" authorId="0" shapeId="0" xr:uid="{BFD78A46-A78A-4841-AD50-685C21C73403}">
      <text>
        <r>
          <rPr>
            <b/>
            <sz val="9"/>
            <color indexed="81"/>
            <rFont val="Tahoma"/>
            <family val="2"/>
          </rPr>
          <t>Eve Browning:</t>
        </r>
        <r>
          <rPr>
            <sz val="9"/>
            <color indexed="81"/>
            <rFont val="Tahoma"/>
            <family val="2"/>
          </rPr>
          <t xml:space="preserve">
</t>
        </r>
        <r>
          <rPr>
            <b/>
            <sz val="9"/>
            <color indexed="81"/>
            <rFont val="Tahoma"/>
            <family val="2"/>
          </rPr>
          <t>Invoice SI402427</t>
        </r>
        <r>
          <rPr>
            <sz val="9"/>
            <color indexed="81"/>
            <rFont val="Tahoma"/>
            <family val="2"/>
          </rPr>
          <t xml:space="preserve">
Bailey bridge/culvert analysis - £1084.60
</t>
        </r>
        <r>
          <rPr>
            <b/>
            <sz val="9"/>
            <color indexed="81"/>
            <rFont val="Tahoma"/>
            <family val="2"/>
          </rPr>
          <t xml:space="preserve">
Invoice SI402521</t>
        </r>
        <r>
          <rPr>
            <sz val="9"/>
            <color indexed="81"/>
            <rFont val="Tahoma"/>
            <family val="2"/>
          </rPr>
          <t xml:space="preserve">
Feasibility study (May to Aug 2023) - £2169.20
</t>
        </r>
        <r>
          <rPr>
            <b/>
            <sz val="9"/>
            <color indexed="81"/>
            <rFont val="Tahoma"/>
            <family val="2"/>
          </rPr>
          <t xml:space="preserve">
Invoice SI402531</t>
        </r>
        <r>
          <rPr>
            <sz val="9"/>
            <color indexed="81"/>
            <rFont val="Tahoma"/>
            <family val="2"/>
          </rPr>
          <t xml:space="preserve">
Feasibility study (Feb to May 2023) - £1626.90</t>
        </r>
      </text>
    </comment>
    <comment ref="AV50" authorId="0" shapeId="0" xr:uid="{33763951-602E-4A18-A25B-25F43C87B6E5}">
      <text>
        <r>
          <rPr>
            <b/>
            <sz val="9"/>
            <color indexed="81"/>
            <rFont val="Tahoma"/>
            <family val="2"/>
          </rPr>
          <t>Eve Browning:</t>
        </r>
        <r>
          <rPr>
            <sz val="9"/>
            <color indexed="81"/>
            <rFont val="Tahoma"/>
            <family val="2"/>
          </rPr>
          <t xml:space="preserve">
Invoice SI403463
Cable route queries - £271.15</t>
        </r>
      </text>
    </comment>
    <comment ref="AX50" authorId="0" shapeId="0" xr:uid="{04EAA0E3-C6DE-4347-89B8-53A04E258FF1}">
      <text>
        <r>
          <rPr>
            <b/>
            <sz val="9"/>
            <color indexed="81"/>
            <rFont val="Tahoma"/>
            <family val="2"/>
          </rPr>
          <t>Eve Browning:</t>
        </r>
        <r>
          <rPr>
            <sz val="9"/>
            <color indexed="81"/>
            <rFont val="Tahoma"/>
            <family val="2"/>
          </rPr>
          <t xml:space="preserve">
Invoice SI403954
Cable route queries £542.30
</t>
        </r>
      </text>
    </comment>
    <comment ref="BA50" authorId="0" shapeId="0" xr:uid="{CAA5383F-C69A-4782-AD61-ABCF15458B49}">
      <text>
        <r>
          <rPr>
            <b/>
            <sz val="9"/>
            <color indexed="81"/>
            <rFont val="Tahoma"/>
            <family val="2"/>
          </rPr>
          <t>Eve Browning:</t>
        </r>
        <r>
          <rPr>
            <sz val="9"/>
            <color indexed="81"/>
            <rFont val="Tahoma"/>
            <family val="2"/>
          </rPr>
          <t xml:space="preserve">
Invoice SI405312
Cable route advice - connection at West Burton Power Station - £271.15</t>
        </r>
      </text>
    </comment>
    <comment ref="AL51" authorId="0" shapeId="0" xr:uid="{A7D7F7EE-FCDF-4D64-9F10-473881DB0ADC}">
      <text>
        <r>
          <rPr>
            <b/>
            <sz val="9"/>
            <color indexed="81"/>
            <rFont val="Tahoma"/>
            <family val="2"/>
          </rPr>
          <t>Eve Browning:</t>
        </r>
        <r>
          <rPr>
            <sz val="9"/>
            <color indexed="81"/>
            <rFont val="Tahoma"/>
            <family val="2"/>
          </rPr>
          <t xml:space="preserve">
Invoice WBSP-001
Engineering consultancy and advisory service</t>
        </r>
      </text>
    </comment>
    <comment ref="AH52" authorId="0" shapeId="0" xr:uid="{924B7B12-0922-4A93-9A4F-3A3770FB475F}">
      <text>
        <r>
          <rPr>
            <b/>
            <sz val="9"/>
            <color indexed="81"/>
            <rFont val="Tahoma"/>
            <family val="2"/>
          </rPr>
          <t>Eve Browning:</t>
        </r>
        <r>
          <rPr>
            <sz val="9"/>
            <color indexed="81"/>
            <rFont val="Tahoma"/>
            <family val="2"/>
          </rPr>
          <t xml:space="preserve">
Invoice 1860GV003976
Ecology surveys on EDF land £1500 per access, plus £2000 licence entry fee</t>
        </r>
      </text>
    </comment>
    <comment ref="AI53" authorId="0" shapeId="0" xr:uid="{B9D94FEB-382C-4202-A5D7-44CED46B7D1C}">
      <text>
        <r>
          <rPr>
            <b/>
            <sz val="9"/>
            <color indexed="81"/>
            <rFont val="Tahoma"/>
            <family val="2"/>
          </rPr>
          <t>Eve Browning:</t>
        </r>
        <r>
          <rPr>
            <sz val="9"/>
            <color indexed="81"/>
            <rFont val="Tahoma"/>
            <family val="2"/>
          </rPr>
          <t xml:space="preserve">
Invoice INV-3069 Solar Energy UK</t>
        </r>
      </text>
    </comment>
    <comment ref="AT53" authorId="0" shapeId="0" xr:uid="{FDA7E64D-D83E-477B-B04C-0D2639B4FB09}">
      <text>
        <r>
          <rPr>
            <b/>
            <sz val="9"/>
            <color indexed="81"/>
            <rFont val="Tahoma"/>
            <family val="2"/>
          </rPr>
          <t>Eve Browning:</t>
        </r>
        <r>
          <rPr>
            <sz val="9"/>
            <color indexed="81"/>
            <rFont val="Tahoma"/>
            <family val="2"/>
          </rPr>
          <t xml:space="preserve">
Invoice INV-3569
NSIP Forum membership - £10000</t>
        </r>
      </text>
    </comment>
    <comment ref="AI54" authorId="0" shapeId="0" xr:uid="{0187AE80-0015-47A9-9766-5836C07E0A35}">
      <text>
        <r>
          <rPr>
            <b/>
            <sz val="9"/>
            <color indexed="81"/>
            <rFont val="Tahoma"/>
            <family val="2"/>
          </rPr>
          <t>Eve Browning:</t>
        </r>
        <r>
          <rPr>
            <sz val="9"/>
            <color indexed="81"/>
            <rFont val="Tahoma"/>
            <family val="2"/>
          </rPr>
          <t xml:space="preserve">
Paid to Pinsent Masons
NGET
NG Gas
NPG
WPD
Anglian Water
Uniper
All circa £3k each</t>
        </r>
      </text>
    </comment>
    <comment ref="AT54" authorId="0" shapeId="0" xr:uid="{3B0FB381-B6FA-4825-A211-C112964CE586}">
      <text>
        <r>
          <rPr>
            <b/>
            <sz val="9"/>
            <color indexed="81"/>
            <rFont val="Tahoma"/>
            <family val="2"/>
          </rPr>
          <t>Eve Browning:</t>
        </r>
        <r>
          <rPr>
            <sz val="9"/>
            <color indexed="81"/>
            <rFont val="Tahoma"/>
            <family val="2"/>
          </rPr>
          <t xml:space="preserve">
£2158.20 Canal and Rivers Trust authorised</t>
        </r>
      </text>
    </comment>
    <comment ref="AW54" authorId="0" shapeId="0" xr:uid="{45AED9A3-2717-496B-A0C0-03F63D6824B7}">
      <text>
        <r>
          <rPr>
            <b/>
            <sz val="9"/>
            <color indexed="81"/>
            <rFont val="Tahoma"/>
            <family val="2"/>
          </rPr>
          <t>Eve Browning:</t>
        </r>
        <r>
          <rPr>
            <sz val="9"/>
            <color indexed="81"/>
            <rFont val="Tahoma"/>
            <family val="2"/>
          </rPr>
          <t xml:space="preserve">
Gross interest paid in - £189.53</t>
        </r>
      </text>
    </comment>
    <comment ref="AX54" authorId="0" shapeId="0" xr:uid="{244D63D8-BFE0-4F0B-AC9B-ED522EF8E86D}">
      <text>
        <r>
          <rPr>
            <b/>
            <sz val="9"/>
            <color indexed="81"/>
            <rFont val="Tahoma"/>
            <family val="2"/>
          </rPr>
          <t>Eve Browning:</t>
        </r>
        <r>
          <rPr>
            <sz val="9"/>
            <color indexed="81"/>
            <rFont val="Tahoma"/>
            <family val="2"/>
          </rPr>
          <t xml:space="preserve">
Gross interest paid in - £66.14</t>
        </r>
      </text>
    </comment>
    <comment ref="AY54" authorId="0" shapeId="0" xr:uid="{9EDD50CD-1017-4D08-9E6D-9A61B46DA2D5}">
      <text>
        <r>
          <rPr>
            <b/>
            <sz val="9"/>
            <color indexed="81"/>
            <rFont val="Tahoma"/>
            <family val="2"/>
          </rPr>
          <t>Eve Browning:</t>
        </r>
        <r>
          <rPr>
            <sz val="9"/>
            <color indexed="81"/>
            <rFont val="Tahoma"/>
            <family val="2"/>
          </rPr>
          <t xml:space="preserve">
Weightmans invoices for negotiating Northern Powergrid's protective provisions:
- 02198118  £623.70
- 02176756 £686.07
- 02160111 £83.16</t>
        </r>
      </text>
    </comment>
    <comment ref="AZ54" authorId="0" shapeId="0" xr:uid="{A4A9EB10-DDDA-4684-8019-F095CFE55F92}">
      <text>
        <r>
          <rPr>
            <b/>
            <sz val="9"/>
            <color indexed="81"/>
            <rFont val="Tahoma"/>
            <family val="2"/>
          </rPr>
          <t>Eve Browning:</t>
        </r>
        <r>
          <rPr>
            <sz val="9"/>
            <color indexed="81"/>
            <rFont val="Tahoma"/>
            <family val="2"/>
          </rPr>
          <t xml:space="preserve">
Cadent protective provisions  Gowling WLG - £1869.70</t>
        </r>
      </text>
    </comment>
    <comment ref="BA54" authorId="0" shapeId="0" xr:uid="{54D04955-339A-490D-93A2-757D86B96A81}">
      <text>
        <r>
          <rPr>
            <b/>
            <sz val="9"/>
            <color indexed="81"/>
            <rFont val="Tahoma"/>
            <family val="2"/>
          </rPr>
          <t>Eve Browning:</t>
        </r>
        <r>
          <rPr>
            <sz val="9"/>
            <color indexed="81"/>
            <rFont val="Tahoma"/>
            <family val="2"/>
          </rPr>
          <t xml:space="preserve">
Pinsent Masons request for payment LO1405
£2000
CMS invoice 1000-0184260
Negotiating EDF protective provisions - £2495.94
CMS invoice 1000-0187466
Negotiating NGET protective provisions - £5922.50
Osborne Clark completion statement AHPK/1236322
Negotiating NGED protective provisions 
£2500</t>
        </r>
      </text>
    </comment>
    <comment ref="BB54" authorId="0" shapeId="0" xr:uid="{F8063696-CF93-4F0B-854D-ADB57368C3CA}">
      <text>
        <r>
          <rPr>
            <b/>
            <sz val="9"/>
            <color indexed="81"/>
            <rFont val="Tahoma"/>
            <family val="2"/>
          </rPr>
          <t>Eve Browning:</t>
        </r>
        <r>
          <rPr>
            <sz val="9"/>
            <color indexed="81"/>
            <rFont val="Tahoma"/>
            <family val="2"/>
          </rPr>
          <t xml:space="preserve">
</t>
        </r>
        <r>
          <rPr>
            <b/>
            <sz val="9"/>
            <color indexed="81"/>
            <rFont val="Tahoma"/>
            <family val="2"/>
          </rPr>
          <t>Burges Salmon invoice 100262713</t>
        </r>
        <r>
          <rPr>
            <sz val="9"/>
            <color indexed="81"/>
            <rFont val="Tahoma"/>
            <family val="2"/>
          </rPr>
          <t xml:space="preserve">
UKAEA protective provisions negotiation £2626
</t>
        </r>
        <r>
          <rPr>
            <b/>
            <sz val="9"/>
            <color indexed="81"/>
            <rFont val="Tahoma"/>
            <family val="2"/>
          </rPr>
          <t>Weightmans invoice 02232691</t>
        </r>
        <r>
          <rPr>
            <sz val="9"/>
            <color indexed="81"/>
            <rFont val="Tahoma"/>
            <family val="2"/>
          </rPr>
          <t xml:space="preserve">
Northern Powergrid (Yorkshire) protective provisions negotiation £1309.50
</t>
        </r>
        <r>
          <rPr>
            <b/>
            <sz val="9"/>
            <color indexed="81"/>
            <rFont val="Tahoma"/>
            <family val="2"/>
          </rPr>
          <t xml:space="preserve">
CMS invoice 1000-0201948</t>
        </r>
        <r>
          <rPr>
            <sz val="9"/>
            <color indexed="81"/>
            <rFont val="Tahoma"/>
            <family val="2"/>
          </rPr>
          <t xml:space="preserve">
Cadent Gas protective provisions negotiation £5299.90</t>
        </r>
      </text>
    </comment>
    <comment ref="BC54" authorId="0" shapeId="0" xr:uid="{F14B2A09-C115-4E9F-9547-6F4265686D67}">
      <text>
        <r>
          <rPr>
            <b/>
            <sz val="9"/>
            <color indexed="81"/>
            <rFont val="Tahoma"/>
            <family val="2"/>
          </rPr>
          <t>Eve Browning:</t>
        </r>
        <r>
          <rPr>
            <sz val="9"/>
            <color indexed="81"/>
            <rFont val="Tahoma"/>
            <family val="2"/>
          </rPr>
          <t xml:space="preserve">
</t>
        </r>
        <r>
          <rPr>
            <b/>
            <sz val="9"/>
            <color indexed="81"/>
            <rFont val="Tahoma"/>
            <family val="2"/>
          </rPr>
          <t>CMS Cameron McKenna Nabarro Olswang LLP invoice 1000-0201774</t>
        </r>
        <r>
          <rPr>
            <sz val="9"/>
            <color indexed="81"/>
            <rFont val="Tahoma"/>
            <family val="2"/>
          </rPr>
          <t xml:space="preserve">
Negotiation of EDF protective provisions £629.34
</t>
        </r>
        <r>
          <rPr>
            <b/>
            <sz val="9"/>
            <color indexed="81"/>
            <rFont val="Tahoma"/>
            <family val="2"/>
          </rPr>
          <t>Weightmans LLP invoice 02253177</t>
        </r>
        <r>
          <rPr>
            <sz val="9"/>
            <color indexed="81"/>
            <rFont val="Tahoma"/>
            <family val="2"/>
          </rPr>
          <t xml:space="preserve">
Negotiation of Northern Powergrid protective provisions £395.01
</t>
        </r>
        <r>
          <rPr>
            <b/>
            <sz val="9"/>
            <color indexed="81"/>
            <rFont val="Tahoma"/>
            <family val="2"/>
          </rPr>
          <t xml:space="preserve">CMS Cameron McKenna Nabarro Olswang LLP invoice 1000-0206509
</t>
        </r>
        <r>
          <rPr>
            <sz val="9"/>
            <color indexed="81"/>
            <rFont val="Tahoma"/>
            <family val="2"/>
          </rPr>
          <t>Negotiation of NGET protective provisions and side agreement £5299.90</t>
        </r>
      </text>
    </comment>
    <comment ref="BD54" authorId="0" shapeId="0" xr:uid="{D9BB44C4-972D-441C-9F07-6F3508EFD3D4}">
      <text>
        <r>
          <rPr>
            <b/>
            <sz val="9"/>
            <color indexed="81"/>
            <rFont val="Tahoma"/>
            <family val="2"/>
          </rPr>
          <t>Eve Browning:</t>
        </r>
        <r>
          <rPr>
            <sz val="9"/>
            <color indexed="81"/>
            <rFont val="Tahoma"/>
            <family val="2"/>
          </rPr>
          <t xml:space="preserve">
</t>
        </r>
        <r>
          <rPr>
            <b/>
            <sz val="9"/>
            <color indexed="81"/>
            <rFont val="Tahoma"/>
            <family val="2"/>
          </rPr>
          <t>CMS Cameron McKenna Nabarro Olswang LLP invoice 1000-0206509</t>
        </r>
        <r>
          <rPr>
            <sz val="9"/>
            <color indexed="81"/>
            <rFont val="Tahoma"/>
            <family val="2"/>
          </rPr>
          <t xml:space="preserve">
Fees for negotiation of NGET protective provisions - £5299.90
Further cost of £3000 agreed to take up to completion</t>
        </r>
      </text>
    </comment>
    <comment ref="BE54" authorId="0" shapeId="0" xr:uid="{9C65E794-57D0-436F-BF2A-7A5682081470}">
      <text>
        <r>
          <rPr>
            <b/>
            <sz val="9"/>
            <color indexed="81"/>
            <rFont val="Tahoma"/>
            <family val="2"/>
          </rPr>
          <t>Eve Browning:</t>
        </r>
        <r>
          <rPr>
            <sz val="9"/>
            <color indexed="81"/>
            <rFont val="Tahoma"/>
            <family val="2"/>
          </rPr>
          <t xml:space="preserve">
Pinsents request for payment LO1448
UKAEA legal costs - £25000</t>
        </r>
      </text>
    </comment>
    <comment ref="AQ55" authorId="0" shapeId="0" xr:uid="{4EA2AAB5-0401-4686-AA66-28BE28DB8FC7}">
      <text>
        <r>
          <rPr>
            <b/>
            <sz val="9"/>
            <color indexed="81"/>
            <rFont val="Tahoma"/>
            <family val="2"/>
          </rPr>
          <t>Eve Browning:</t>
        </r>
        <r>
          <rPr>
            <sz val="9"/>
            <color indexed="81"/>
            <rFont val="Tahoma"/>
            <family val="2"/>
          </rPr>
          <t xml:space="preserve">
Invoice INV-2021 (Dalcour Maclaren)
Initial payment request for works associated with West Burton Substation - £5344.32 - Subsequently refunded as not required
</t>
        </r>
      </text>
    </comment>
    <comment ref="AK56" authorId="0" shapeId="0" xr:uid="{AF9A871A-A21C-4155-8147-347BB230C8CE}">
      <text>
        <r>
          <rPr>
            <b/>
            <sz val="9"/>
            <color indexed="81"/>
            <rFont val="Tahoma"/>
            <family val="2"/>
          </rPr>
          <t>Eve Browning:</t>
        </r>
        <r>
          <rPr>
            <sz val="9"/>
            <color indexed="81"/>
            <rFont val="Tahoma"/>
            <family val="2"/>
          </rPr>
          <t xml:space="preserve">
Invoice 6722956</t>
        </r>
      </text>
    </comment>
    <comment ref="AX57" authorId="0" shapeId="0" xr:uid="{F3275B93-93AF-401E-8733-E463BAA90925}">
      <text>
        <r>
          <rPr>
            <b/>
            <sz val="9"/>
            <color indexed="81"/>
            <rFont val="Tahoma"/>
            <family val="2"/>
          </rPr>
          <t>Eve Browning:</t>
        </r>
        <r>
          <rPr>
            <sz val="9"/>
            <color indexed="81"/>
            <rFont val="Tahoma"/>
            <family val="2"/>
          </rPr>
          <t xml:space="preserve">
Invoice 1533
- Technical review of battery fire safety
management plan. Review process includes meetings, document analysis (OBSSMP + Fire note), content recommendations &amp; amendments (OBSSMP + Fire note), ERP content template for OBSSMP £1400
- Expert witness content preparation £600
Total £2000</t>
        </r>
      </text>
    </comment>
    <comment ref="AY57" authorId="0" shapeId="0" xr:uid="{BCDDA661-158C-418B-AB13-D224ADF7CD1E}">
      <text>
        <r>
          <rPr>
            <b/>
            <sz val="9"/>
            <color indexed="81"/>
            <rFont val="Tahoma"/>
            <family val="2"/>
          </rPr>
          <t>Eve Browning:</t>
        </r>
        <r>
          <rPr>
            <sz val="9"/>
            <color indexed="81"/>
            <rFont val="Tahoma"/>
            <family val="2"/>
          </rPr>
          <t xml:space="preserve">
Invoice 1537
Expert witness content preparation Hours x West Burton DCO written submission content preparation, DCO hearing preparation and FRS engagement and meeting - £2200</t>
        </r>
      </text>
    </comment>
    <comment ref="AZ57" authorId="0" shapeId="0" xr:uid="{35B3F236-A07E-4A86-BADE-06BED7CBB804}">
      <text>
        <r>
          <rPr>
            <b/>
            <sz val="9"/>
            <color indexed="81"/>
            <rFont val="Tahoma"/>
            <family val="2"/>
          </rPr>
          <t>Eve Browning:</t>
        </r>
        <r>
          <rPr>
            <sz val="9"/>
            <color indexed="81"/>
            <rFont val="Tahoma"/>
            <family val="2"/>
          </rPr>
          <t xml:space="preserve">
Invoice 1543
- Flat rate for DCO hearing attendance - £1600
- Mileage - £121.95
- 2 Hours x DCO meeting, submissions and hearing content provision - £400
- Review process includes FRS meeting, FRS
engagement, site design review for FRS access and
safety requirements - £800
Total £2921.95
</t>
        </r>
      </text>
    </comment>
    <comment ref="BA57" authorId="0" shapeId="0" xr:uid="{D06A1375-B5F1-42C2-AF3A-23B06323D2F7}">
      <text>
        <r>
          <rPr>
            <b/>
            <sz val="9"/>
            <color indexed="81"/>
            <rFont val="Tahoma"/>
            <family val="2"/>
          </rPr>
          <t>Eve Browning:</t>
        </r>
        <r>
          <rPr>
            <sz val="9"/>
            <color indexed="81"/>
            <rFont val="Tahoma"/>
            <family val="2"/>
          </rPr>
          <t xml:space="preserve">
DCO content provision - £4000
Ad hoc provision - £1600</t>
        </r>
      </text>
    </comment>
    <comment ref="AA59" authorId="0" shapeId="0" xr:uid="{9045A818-DECD-403C-A48B-5FA829531ACF}">
      <text>
        <r>
          <rPr>
            <b/>
            <sz val="9"/>
            <color indexed="81"/>
            <rFont val="Tahoma"/>
            <family val="2"/>
          </rPr>
          <t>Eve Browning:</t>
        </r>
        <r>
          <rPr>
            <sz val="9"/>
            <color indexed="81"/>
            <rFont val="Tahoma"/>
            <family val="2"/>
          </rPr>
          <t xml:space="preserve">
PROW searches</t>
        </r>
      </text>
    </comment>
    <comment ref="AZ60" authorId="0" shapeId="0" xr:uid="{C0309233-DE8B-4AC4-A498-A647F4119573}">
      <text>
        <r>
          <rPr>
            <b/>
            <sz val="9"/>
            <color indexed="81"/>
            <rFont val="Tahoma"/>
            <family val="2"/>
          </rPr>
          <t>Eve Browning:</t>
        </r>
        <r>
          <rPr>
            <sz val="9"/>
            <color indexed="81"/>
            <rFont val="Tahoma"/>
            <family val="2"/>
          </rPr>
          <t xml:space="preserve">
Arch (GeoPhys)   £          539.28 
Arch (Trial Trenching) £       5,625.21 
Arch (Landowner Fees) £       1,513.62 
Arch (LIDAR) £          260.76 
Total £      7,938.87
</t>
        </r>
      </text>
    </comment>
    <comment ref="J61" authorId="0" shapeId="0" xr:uid="{420A6768-A9EE-473F-A12C-EF4619CBCBEB}">
      <text>
        <r>
          <rPr>
            <b/>
            <sz val="9"/>
            <color indexed="81"/>
            <rFont val="Tahoma"/>
            <family val="2"/>
          </rPr>
          <t>Eve Browning:</t>
        </r>
        <r>
          <rPr>
            <sz val="9"/>
            <color indexed="81"/>
            <rFont val="Tahoma"/>
            <family val="2"/>
          </rPr>
          <t xml:space="preserve">
Dalcour Maclaren, quote includes expenses and post DCO submission work. Added on 20.10.21 secondary quote for further works + £650 for highways searches + half of addional quote 12.11.21 +12472 additional predicted spend (Rob Jones budget review email)</t>
        </r>
      </text>
    </comment>
    <comment ref="K61" authorId="0" shapeId="0" xr:uid="{566B56D6-017D-43BB-A9CE-36651C43BCB9}">
      <text>
        <r>
          <rPr>
            <b/>
            <sz val="9"/>
            <color indexed="81"/>
            <rFont val="Tahoma"/>
            <family val="2"/>
          </rPr>
          <t>Eve Browning:</t>
        </r>
        <r>
          <rPr>
            <sz val="9"/>
            <color indexed="81"/>
            <rFont val="Tahoma"/>
            <family val="2"/>
          </rPr>
          <t xml:space="preserve">
RSK estimated between £103k to £188k for each project, this figure is in the middle. Based upon new cable routes</t>
        </r>
      </text>
    </comment>
    <comment ref="Y61" authorId="0" shapeId="0" xr:uid="{2BA71BF5-2696-4D70-9002-CD04A2638271}">
      <text>
        <r>
          <rPr>
            <b/>
            <sz val="9"/>
            <color indexed="81"/>
            <rFont val="Tahoma"/>
            <family val="2"/>
          </rPr>
          <t>Eve Browning:</t>
        </r>
        <r>
          <rPr>
            <sz val="9"/>
            <color indexed="81"/>
            <rFont val="Tahoma"/>
            <family val="2"/>
          </rPr>
          <t xml:space="preserve">
Invoice no: UK-CI_006084</t>
        </r>
      </text>
    </comment>
    <comment ref="AC61" authorId="0" shapeId="0" xr:uid="{2E25E438-A74C-43DA-8A28-C84B70781048}">
      <text>
        <r>
          <rPr>
            <b/>
            <sz val="9"/>
            <color indexed="81"/>
            <rFont val="Tahoma"/>
            <family val="2"/>
          </rPr>
          <t>Eve Browning:</t>
        </r>
        <r>
          <rPr>
            <sz val="9"/>
            <color indexed="81"/>
            <rFont val="Tahoma"/>
            <family val="2"/>
          </rPr>
          <t xml:space="preserve">
Invoice UK-CI-036630</t>
        </r>
      </text>
    </comment>
    <comment ref="AE61" authorId="0" shapeId="0" xr:uid="{DDB9B72C-6762-4323-B59A-9FB4C438455D}">
      <text>
        <r>
          <rPr>
            <b/>
            <sz val="9"/>
            <color indexed="81"/>
            <rFont val="Tahoma"/>
            <family val="2"/>
          </rPr>
          <t>Eve Browning:</t>
        </r>
        <r>
          <rPr>
            <sz val="9"/>
            <color indexed="81"/>
            <rFont val="Tahoma"/>
            <family val="2"/>
          </rPr>
          <t xml:space="preserve">
Invoice UK-CI-049776</t>
        </r>
      </text>
    </comment>
    <comment ref="AF61" authorId="0" shapeId="0" xr:uid="{0545F7A4-7987-44F9-BC39-E4C1E64A79A8}">
      <text>
        <r>
          <rPr>
            <b/>
            <sz val="9"/>
            <color indexed="81"/>
            <rFont val="Tahoma"/>
            <family val="2"/>
          </rPr>
          <t>Eve Browning:</t>
        </r>
        <r>
          <rPr>
            <sz val="9"/>
            <color indexed="81"/>
            <rFont val="Tahoma"/>
            <family val="2"/>
          </rPr>
          <t xml:space="preserve">
Invoice UK-CI-058026</t>
        </r>
      </text>
    </comment>
    <comment ref="AG61" authorId="0" shapeId="0" xr:uid="{EC6E8418-965C-47B5-B84B-B71C9AFAC71D}">
      <text>
        <r>
          <rPr>
            <b/>
            <sz val="9"/>
            <color indexed="81"/>
            <rFont val="Tahoma"/>
            <family val="2"/>
          </rPr>
          <t>Eve Browning:</t>
        </r>
        <r>
          <rPr>
            <sz val="9"/>
            <color indexed="81"/>
            <rFont val="Tahoma"/>
            <family val="2"/>
          </rPr>
          <t xml:space="preserve">
Invoice UK-CI-065076</t>
        </r>
      </text>
    </comment>
    <comment ref="AH61" authorId="0" shapeId="0" xr:uid="{2E40A761-AE11-41CA-96C7-4B132CC872FF}">
      <text>
        <r>
          <rPr>
            <b/>
            <sz val="9"/>
            <color indexed="81"/>
            <rFont val="Tahoma"/>
            <family val="2"/>
          </rPr>
          <t>Eve Browning:</t>
        </r>
        <r>
          <rPr>
            <sz val="9"/>
            <color indexed="81"/>
            <rFont val="Tahoma"/>
            <family val="2"/>
          </rPr>
          <t xml:space="preserve">
Invoice UK-CI-069024</t>
        </r>
      </text>
    </comment>
    <comment ref="AI61" authorId="0" shapeId="0" xr:uid="{D153B51C-E7ED-417A-AEB3-841CD71EDA8B}">
      <text>
        <r>
          <rPr>
            <b/>
            <sz val="9"/>
            <color indexed="81"/>
            <rFont val="Tahoma"/>
            <family val="2"/>
          </rPr>
          <t>Eve Browning:</t>
        </r>
        <r>
          <rPr>
            <sz val="9"/>
            <color indexed="81"/>
            <rFont val="Tahoma"/>
            <family val="2"/>
          </rPr>
          <t xml:space="preserve">
Invoice UK-CI-079050</t>
        </r>
      </text>
    </comment>
    <comment ref="AJ61" authorId="0" shapeId="0" xr:uid="{F3BA9F57-85D3-4185-AA8F-ED7A4D15602E}">
      <text>
        <r>
          <rPr>
            <b/>
            <sz val="9"/>
            <color indexed="81"/>
            <rFont val="Tahoma"/>
            <family val="2"/>
          </rPr>
          <t>Eve Browning:</t>
        </r>
        <r>
          <rPr>
            <sz val="9"/>
            <color indexed="81"/>
            <rFont val="Tahoma"/>
            <family val="2"/>
          </rPr>
          <t xml:space="preserve">
Invoice UK-CI-084174 - £3000
</t>
        </r>
      </text>
    </comment>
    <comment ref="AK61" authorId="0" shapeId="0" xr:uid="{B310779A-3146-4713-9819-DD06FA9AAE8C}">
      <text>
        <r>
          <rPr>
            <b/>
            <sz val="9"/>
            <color indexed="81"/>
            <rFont val="Tahoma"/>
            <family val="2"/>
          </rPr>
          <t>Eve Browning:</t>
        </r>
        <r>
          <rPr>
            <sz val="9"/>
            <color indexed="81"/>
            <rFont val="Tahoma"/>
            <family val="2"/>
          </rPr>
          <t xml:space="preserve">
Invoice UK-CI-094476</t>
        </r>
      </text>
    </comment>
    <comment ref="AL61" authorId="0" shapeId="0" xr:uid="{B438E62B-0F08-4435-815B-4FCE8554BD81}">
      <text>
        <r>
          <rPr>
            <b/>
            <sz val="9"/>
            <color indexed="81"/>
            <rFont val="Tahoma"/>
            <family val="2"/>
          </rPr>
          <t>Eve Browning:</t>
        </r>
        <r>
          <rPr>
            <sz val="9"/>
            <color indexed="81"/>
            <rFont val="Tahoma"/>
            <family val="2"/>
          </rPr>
          <t xml:space="preserve">
Invoice UK-CI-099120
Land agency services - £2783.15</t>
        </r>
      </text>
    </comment>
    <comment ref="AM61" authorId="0" shapeId="0" xr:uid="{4648E422-8FE4-40B9-A00B-823B7A021A0E}">
      <text>
        <r>
          <rPr>
            <b/>
            <sz val="9"/>
            <color indexed="81"/>
            <rFont val="Tahoma"/>
            <family val="2"/>
          </rPr>
          <t>Eve Browning:</t>
        </r>
        <r>
          <rPr>
            <sz val="9"/>
            <color indexed="81"/>
            <rFont val="Tahoma"/>
            <family val="2"/>
          </rPr>
          <t xml:space="preserve">
Invoice UK-CI-109728
Land agency services - £18247.71</t>
        </r>
      </text>
    </comment>
    <comment ref="AN61" authorId="0" shapeId="0" xr:uid="{D966DA3F-3030-4C86-A8F9-C5945D15D6DE}">
      <text>
        <r>
          <rPr>
            <b/>
            <sz val="9"/>
            <color indexed="81"/>
            <rFont val="Tahoma"/>
            <family val="2"/>
          </rPr>
          <t>Eve Browning:</t>
        </r>
        <r>
          <rPr>
            <sz val="9"/>
            <color indexed="81"/>
            <rFont val="Tahoma"/>
            <family val="2"/>
          </rPr>
          <t xml:space="preserve">
</t>
        </r>
        <r>
          <rPr>
            <b/>
            <sz val="9"/>
            <color indexed="81"/>
            <rFont val="Tahoma"/>
            <family val="2"/>
          </rPr>
          <t>Invoice UK-CI-115170</t>
        </r>
        <r>
          <rPr>
            <sz val="9"/>
            <color indexed="81"/>
            <rFont val="Tahoma"/>
            <family val="2"/>
          </rPr>
          <t xml:space="preserve">
Book of reference preparation - £27978.75
</t>
        </r>
        <r>
          <rPr>
            <b/>
            <sz val="9"/>
            <color indexed="81"/>
            <rFont val="Tahoma"/>
            <family val="2"/>
          </rPr>
          <t>Invoice UK-CI-126240</t>
        </r>
        <r>
          <rPr>
            <sz val="9"/>
            <color indexed="81"/>
            <rFont val="Tahoma"/>
            <family val="2"/>
          </rPr>
          <t xml:space="preserve">
Land agency services - £15111.92</t>
        </r>
      </text>
    </comment>
    <comment ref="AP61" authorId="0" shapeId="0" xr:uid="{1A6CBB27-CABF-4765-9851-5D7C2FFBCBD4}">
      <text>
        <r>
          <rPr>
            <b/>
            <sz val="9"/>
            <color indexed="81"/>
            <rFont val="Tahoma"/>
            <family val="2"/>
          </rPr>
          <t>Eve Browning:</t>
        </r>
        <r>
          <rPr>
            <sz val="9"/>
            <color indexed="81"/>
            <rFont val="Tahoma"/>
            <family val="2"/>
          </rPr>
          <t xml:space="preserve">
Invoice UK-CI-130452
Land agency services - £4129.35</t>
        </r>
      </text>
    </comment>
    <comment ref="AQ61" authorId="0" shapeId="0" xr:uid="{ACAF6ADD-0277-4853-9E98-BC1E4FC783B6}">
      <text>
        <r>
          <rPr>
            <b/>
            <sz val="9"/>
            <color indexed="81"/>
            <rFont val="Tahoma"/>
            <family val="2"/>
          </rPr>
          <t>Eve Browning:</t>
        </r>
        <r>
          <rPr>
            <sz val="9"/>
            <color indexed="81"/>
            <rFont val="Tahoma"/>
            <family val="2"/>
          </rPr>
          <t xml:space="preserve">
Invoice UK-CI-138000
Land agency services - £6319.55</t>
        </r>
      </text>
    </comment>
    <comment ref="AR61" authorId="0" shapeId="0" xr:uid="{16A1A37F-5BCC-49D7-B02C-3903E7AF230F}">
      <text>
        <r>
          <rPr>
            <b/>
            <sz val="9"/>
            <color indexed="81"/>
            <rFont val="Tahoma"/>
            <family val="2"/>
          </rPr>
          <t>Eve Browning:</t>
        </r>
        <r>
          <rPr>
            <sz val="9"/>
            <color indexed="81"/>
            <rFont val="Tahoma"/>
            <family val="2"/>
          </rPr>
          <t xml:space="preserve">
Invoice UK-CI-147336
Land agency services - £1695.35</t>
        </r>
      </text>
    </comment>
    <comment ref="AS61" authorId="0" shapeId="0" xr:uid="{17617C8C-FA76-40DA-A04E-5F2CFC3A9909}">
      <text>
        <r>
          <rPr>
            <b/>
            <sz val="9"/>
            <color indexed="81"/>
            <rFont val="Tahoma"/>
            <family val="2"/>
          </rPr>
          <t>Eve Browning:</t>
        </r>
        <r>
          <rPr>
            <sz val="9"/>
            <color indexed="81"/>
            <rFont val="Tahoma"/>
            <family val="2"/>
          </rPr>
          <t xml:space="preserve">
Invoice UK-CI-155274
Land agency services - £1121.25</t>
        </r>
      </text>
    </comment>
    <comment ref="AT61" authorId="0" shapeId="0" xr:uid="{97E5E268-8BFA-486E-8261-E684739C4ABB}">
      <text>
        <r>
          <rPr>
            <b/>
            <sz val="9"/>
            <color indexed="81"/>
            <rFont val="Tahoma"/>
            <family val="2"/>
          </rPr>
          <t>Eve Browning:</t>
        </r>
        <r>
          <rPr>
            <sz val="9"/>
            <color indexed="81"/>
            <rFont val="Tahoma"/>
            <family val="2"/>
          </rPr>
          <t xml:space="preserve">
Invoice UK-CI-163056
Land agency services - £1952.25</t>
        </r>
      </text>
    </comment>
    <comment ref="AU61" authorId="0" shapeId="0" xr:uid="{25537D66-D783-4F58-BD12-35447F03A616}">
      <text>
        <r>
          <rPr>
            <b/>
            <sz val="9"/>
            <color indexed="81"/>
            <rFont val="Tahoma"/>
            <family val="2"/>
          </rPr>
          <t>Eve Browning:</t>
        </r>
        <r>
          <rPr>
            <sz val="9"/>
            <color indexed="81"/>
            <rFont val="Tahoma"/>
            <family val="2"/>
          </rPr>
          <t xml:space="preserve">
Invoice UK-CI-171402
Land agency services - £1751.75</t>
        </r>
      </text>
    </comment>
    <comment ref="AV61" authorId="0" shapeId="0" xr:uid="{C4FC9026-BECA-4AC2-BB92-C8DAC2ED765C}">
      <text>
        <r>
          <rPr>
            <b/>
            <sz val="9"/>
            <color indexed="81"/>
            <rFont val="Tahoma"/>
            <family val="2"/>
          </rPr>
          <t>Eve Browning:</t>
        </r>
        <r>
          <rPr>
            <sz val="9"/>
            <color indexed="81"/>
            <rFont val="Tahoma"/>
            <family val="2"/>
          </rPr>
          <t xml:space="preserve">
Invoice UK-CI-179844
Land agency services - £4513.50</t>
        </r>
      </text>
    </comment>
    <comment ref="AW61" authorId="0" shapeId="0" xr:uid="{84703D28-0654-421F-96DF-5756050FA04D}">
      <text>
        <r>
          <rPr>
            <b/>
            <sz val="9"/>
            <color indexed="81"/>
            <rFont val="Tahoma"/>
            <family val="2"/>
          </rPr>
          <t>Eve Browning:</t>
        </r>
        <r>
          <rPr>
            <sz val="9"/>
            <color indexed="81"/>
            <rFont val="Tahoma"/>
            <family val="2"/>
          </rPr>
          <t xml:space="preserve">
Invoice UK-CI-185634
Land referencing including Book of Reference refresh for deadlines - £6884.01</t>
        </r>
      </text>
    </comment>
    <comment ref="AX61" authorId="0" shapeId="0" xr:uid="{864FC57A-5725-47AC-A628-F8037A786682}">
      <text>
        <r>
          <rPr>
            <b/>
            <sz val="9"/>
            <color indexed="81"/>
            <rFont val="Tahoma"/>
            <family val="2"/>
          </rPr>
          <t>Eve Browning:</t>
        </r>
        <r>
          <rPr>
            <sz val="9"/>
            <color indexed="81"/>
            <rFont val="Tahoma"/>
            <family val="2"/>
          </rPr>
          <t xml:space="preserve">
Invoice UK-CI-194028
Land agency services - £5287.04</t>
        </r>
      </text>
    </comment>
    <comment ref="AY61" authorId="0" shapeId="0" xr:uid="{ED2BBAF3-28AC-4804-B22B-6EDD5F8585DC}">
      <text>
        <r>
          <rPr>
            <b/>
            <sz val="9"/>
            <color indexed="81"/>
            <rFont val="Tahoma"/>
            <family val="2"/>
          </rPr>
          <t>Eve Browning:</t>
        </r>
        <r>
          <rPr>
            <sz val="9"/>
            <color indexed="81"/>
            <rFont val="Tahoma"/>
            <family val="2"/>
          </rPr>
          <t xml:space="preserve">
Invoice UK-CI-200220
Land agency services - £9489.11</t>
        </r>
      </text>
    </comment>
    <comment ref="AZ61" authorId="0" shapeId="0" xr:uid="{91F3D37F-FA3C-44D0-8417-DB1C0742AAD6}">
      <text>
        <r>
          <rPr>
            <b/>
            <sz val="9"/>
            <color indexed="81"/>
            <rFont val="Tahoma"/>
            <family val="2"/>
          </rPr>
          <t>Eve Browning:</t>
        </r>
        <r>
          <rPr>
            <sz val="9"/>
            <color indexed="81"/>
            <rFont val="Tahoma"/>
            <family val="2"/>
          </rPr>
          <t xml:space="preserve">
Invoice UK-CI-208896
Land agency services - £5782.06</t>
        </r>
      </text>
    </comment>
    <comment ref="BA61" authorId="0" shapeId="0" xr:uid="{F6BA0F32-8445-451D-9D2B-1B4479DACE73}">
      <text>
        <r>
          <rPr>
            <b/>
            <sz val="9"/>
            <color indexed="81"/>
            <rFont val="Tahoma"/>
            <family val="2"/>
          </rPr>
          <t>Eve Browning:</t>
        </r>
        <r>
          <rPr>
            <sz val="9"/>
            <color indexed="81"/>
            <rFont val="Tahoma"/>
            <family val="2"/>
          </rPr>
          <t xml:space="preserve">
Invoice UK-CI-216186
Land agency services £2158.81</t>
        </r>
      </text>
    </comment>
    <comment ref="BB61" authorId="0" shapeId="0" xr:uid="{6597719E-1B0C-4964-867C-D5042F632BE7}">
      <text>
        <r>
          <rPr>
            <b/>
            <sz val="9"/>
            <color indexed="81"/>
            <rFont val="Tahoma"/>
            <family val="2"/>
          </rPr>
          <t>Eve Browning:</t>
        </r>
        <r>
          <rPr>
            <sz val="9"/>
            <color indexed="81"/>
            <rFont val="Tahoma"/>
            <family val="2"/>
          </rPr>
          <t xml:space="preserve">
Invoice UK-CI-225510
Atkins Utility refresh - £3388
Land referencing and expenses - £4259.42</t>
        </r>
      </text>
    </comment>
    <comment ref="BC61" authorId="0" shapeId="0" xr:uid="{3FE8E724-A05A-4763-A7EF-7947D1076522}">
      <text>
        <r>
          <rPr>
            <b/>
            <sz val="9"/>
            <color indexed="81"/>
            <rFont val="Tahoma"/>
            <family val="2"/>
          </rPr>
          <t>Eve Browning:</t>
        </r>
        <r>
          <rPr>
            <sz val="9"/>
            <color indexed="81"/>
            <rFont val="Tahoma"/>
            <family val="2"/>
          </rPr>
          <t xml:space="preserve">
Invoice UK-CI-234444
Land agency services - £1422.53</t>
        </r>
      </text>
    </comment>
    <comment ref="BI61" authorId="0" shapeId="0" xr:uid="{532A5110-D05E-4D1D-9ACE-E909892CBF19}">
      <text>
        <r>
          <rPr>
            <b/>
            <sz val="9"/>
            <color indexed="81"/>
            <rFont val="Tahoma"/>
            <family val="2"/>
          </rPr>
          <t>Eve Browning:</t>
        </r>
        <r>
          <rPr>
            <sz val="9"/>
            <color indexed="81"/>
            <rFont val="Tahoma"/>
            <family val="2"/>
          </rPr>
          <t xml:space="preserve">
Thank you for contacting us regarding the service of your s134 Notices. We have reviewed the Section’s requirements and detail our quote below:
• HMLR Title Refresh and Registered Company Address checks
• Mail merge of s134 documents, including a letter and s134 Notice
• Quality assurance reviews of the statutory documents prior to posting
• Preparation of site notices
• Erection of site notices
• Maintenance of site notices for 6 weeks
• Removal of site notices
• Project management including meetings
Our quote assumes that the s134 Notice and associated letter templates will be provided to us. We would use the same notice locations as those at s56 (no more than 5km apart is good practice) and a site notice will be erected for all unregistered land.
The cost to prepare and issue the above documentation is £7300.00 excluding expenses.
Expenses will include:
• HM Land Registry costs
• External printing
• Postage costs (we would recommend sending recorded)
• Mileage
Expenses estimate £2700</t>
        </r>
      </text>
    </comment>
    <comment ref="AC62" authorId="0" shapeId="0" xr:uid="{4DA80EC3-4ED9-4EFD-BD7B-6C77DB0C2957}">
      <text>
        <r>
          <rPr>
            <b/>
            <sz val="9"/>
            <color indexed="81"/>
            <rFont val="Tahoma"/>
            <family val="2"/>
          </rPr>
          <t>Eve Browning:</t>
        </r>
        <r>
          <rPr>
            <sz val="9"/>
            <color indexed="81"/>
            <rFont val="Tahoma"/>
            <family val="2"/>
          </rPr>
          <t xml:space="preserve">
Invoice: INSU00215674</t>
        </r>
      </text>
    </comment>
    <comment ref="AD62" authorId="0" shapeId="0" xr:uid="{AB4A4379-EAF5-4296-A1B0-C09C005A83A5}">
      <text>
        <r>
          <rPr>
            <b/>
            <sz val="9"/>
            <color indexed="81"/>
            <rFont val="Tahoma"/>
            <family val="2"/>
          </rPr>
          <t>Eve Browning:</t>
        </r>
        <r>
          <rPr>
            <sz val="9"/>
            <color indexed="81"/>
            <rFont val="Tahoma"/>
            <family val="2"/>
          </rPr>
          <t xml:space="preserve">
Invoice INSU00223397</t>
        </r>
      </text>
    </comment>
    <comment ref="AE62" authorId="0" shapeId="0" xr:uid="{1C43BCEA-3431-472E-A888-1FA5ADA42B13}">
      <text>
        <r>
          <rPr>
            <b/>
            <sz val="9"/>
            <color indexed="81"/>
            <rFont val="Tahoma"/>
            <family val="2"/>
          </rPr>
          <t>Eve Browning:</t>
        </r>
        <r>
          <rPr>
            <sz val="9"/>
            <color indexed="81"/>
            <rFont val="Tahoma"/>
            <family val="2"/>
          </rPr>
          <t xml:space="preserve">
Invoice INSU00230104</t>
        </r>
      </text>
    </comment>
    <comment ref="AF62" authorId="0" shapeId="0" xr:uid="{A6933765-68D8-4925-B2A5-953CC48F1EB2}">
      <text>
        <r>
          <rPr>
            <b/>
            <sz val="9"/>
            <color indexed="81"/>
            <rFont val="Tahoma"/>
            <family val="2"/>
          </rPr>
          <t>Eve Browning:</t>
        </r>
        <r>
          <rPr>
            <sz val="9"/>
            <color indexed="81"/>
            <rFont val="Tahoma"/>
            <family val="2"/>
          </rPr>
          <t xml:space="preserve">
Invoice INSU00241063
Land agency work, project management, mileage</t>
        </r>
      </text>
    </comment>
    <comment ref="AG62" authorId="0" shapeId="0" xr:uid="{E5C5B239-B6B3-496C-9AD6-8BBE74ADC03C}">
      <text>
        <r>
          <rPr>
            <b/>
            <sz val="9"/>
            <color indexed="81"/>
            <rFont val="Tahoma"/>
            <family val="2"/>
          </rPr>
          <t>Eve Browning:</t>
        </r>
        <r>
          <rPr>
            <sz val="9"/>
            <color indexed="81"/>
            <rFont val="Tahoma"/>
            <family val="2"/>
          </rPr>
          <t xml:space="preserve">
Invoice INSU00246662</t>
        </r>
      </text>
    </comment>
    <comment ref="AH62" authorId="0" shapeId="0" xr:uid="{DF23B06C-4D28-45EF-B760-1082F39F8684}">
      <text>
        <r>
          <rPr>
            <b/>
            <sz val="9"/>
            <color indexed="81"/>
            <rFont val="Tahoma"/>
            <family val="2"/>
          </rPr>
          <t>Eve Browning:</t>
        </r>
        <r>
          <rPr>
            <sz val="9"/>
            <color indexed="81"/>
            <rFont val="Tahoma"/>
            <family val="2"/>
          </rPr>
          <t xml:space="preserve">
Invoice INSU00254912
Land agency and project management</t>
        </r>
      </text>
    </comment>
    <comment ref="AI62" authorId="0" shapeId="0" xr:uid="{FDE2BBF7-5EB5-4815-9AB7-109F551147B3}">
      <text>
        <r>
          <rPr>
            <b/>
            <sz val="9"/>
            <color indexed="81"/>
            <rFont val="Tahoma"/>
            <family val="2"/>
          </rPr>
          <t>Eve Browning:</t>
        </r>
        <r>
          <rPr>
            <sz val="9"/>
            <color indexed="81"/>
            <rFont val="Tahoma"/>
            <family val="2"/>
          </rPr>
          <t xml:space="preserve">
Invoice INSU00263959</t>
        </r>
      </text>
    </comment>
    <comment ref="AJ62" authorId="0" shapeId="0" xr:uid="{051A572D-6AAC-46D8-B984-64A8D1A7F0DC}">
      <text>
        <r>
          <rPr>
            <b/>
            <sz val="9"/>
            <color indexed="81"/>
            <rFont val="Tahoma"/>
            <family val="2"/>
          </rPr>
          <t>Eve Browning:</t>
        </r>
        <r>
          <rPr>
            <sz val="9"/>
            <color indexed="81"/>
            <rFont val="Tahoma"/>
            <family val="2"/>
          </rPr>
          <t xml:space="preserve">
Payment Request for licences - 2022/002WB - £3000
Invoice INSU00273529 - £1957.50</t>
        </r>
      </text>
    </comment>
    <comment ref="AK62" authorId="0" shapeId="0" xr:uid="{4DC8BAFD-B8C2-4365-BA31-B2FA27CAAD03}">
      <text>
        <r>
          <rPr>
            <b/>
            <sz val="9"/>
            <color indexed="81"/>
            <rFont val="Tahoma"/>
            <family val="2"/>
          </rPr>
          <t>Eve Browning:</t>
        </r>
        <r>
          <rPr>
            <sz val="9"/>
            <color indexed="81"/>
            <rFont val="Tahoma"/>
            <family val="2"/>
          </rPr>
          <t xml:space="preserve">
Invoice INSU00293463
Land agency services - £1335</t>
        </r>
      </text>
    </comment>
    <comment ref="AL62" authorId="0" shapeId="0" xr:uid="{F386932D-A581-43FA-9A8C-B2596429B11F}">
      <text>
        <r>
          <rPr>
            <b/>
            <sz val="9"/>
            <color indexed="81"/>
            <rFont val="Tahoma"/>
            <family val="2"/>
          </rPr>
          <t>Eve Browning:</t>
        </r>
        <r>
          <rPr>
            <sz val="9"/>
            <color indexed="81"/>
            <rFont val="Tahoma"/>
            <family val="2"/>
          </rPr>
          <t xml:space="preserve">
Invoice INSU00298578
Land agency services - £792.5</t>
        </r>
      </text>
    </comment>
    <comment ref="AM62" authorId="0" shapeId="0" xr:uid="{08E1AB9E-ECDA-4258-AE4F-9DC956322C96}">
      <text>
        <r>
          <rPr>
            <b/>
            <sz val="9"/>
            <color indexed="81"/>
            <rFont val="Tahoma"/>
            <family val="2"/>
          </rPr>
          <t>Eve Browning:</t>
        </r>
        <r>
          <rPr>
            <sz val="9"/>
            <color indexed="81"/>
            <rFont val="Tahoma"/>
            <family val="2"/>
          </rPr>
          <t xml:space="preserve">
Invoice INSU00300886 (Savills)
Land agency services - £451.25
Invoice UAI-23-08804 (Bruton Knowles)
HoTs negotiations - £1211.65</t>
        </r>
      </text>
    </comment>
    <comment ref="AN62" authorId="0" shapeId="0" xr:uid="{BDE73281-D4BD-4CB2-A037-027481CF052D}">
      <text>
        <r>
          <rPr>
            <b/>
            <sz val="9"/>
            <color indexed="81"/>
            <rFont val="Tahoma"/>
            <family val="2"/>
          </rPr>
          <t>Eve Browning:</t>
        </r>
        <r>
          <rPr>
            <sz val="9"/>
            <color indexed="81"/>
            <rFont val="Tahoma"/>
            <family val="2"/>
          </rPr>
          <t xml:space="preserve">
Invoice UAI-23-09052 (Bruton Knowles)
HoTs issue to landowners - £6903.69</t>
        </r>
      </text>
    </comment>
    <comment ref="AO62" authorId="0" shapeId="0" xr:uid="{171C0C95-B3E8-4CFC-A7C9-C9379E271A69}">
      <text>
        <r>
          <rPr>
            <b/>
            <sz val="9"/>
            <color indexed="81"/>
            <rFont val="Tahoma"/>
            <family val="2"/>
          </rPr>
          <t>Eve Browning:</t>
        </r>
        <r>
          <rPr>
            <sz val="9"/>
            <color indexed="81"/>
            <rFont val="Tahoma"/>
            <family val="2"/>
          </rPr>
          <t xml:space="preserve">
Invoice UAI-23-09335
HOTs data processing and plan production - £5898.75</t>
        </r>
      </text>
    </comment>
    <comment ref="AP62" authorId="0" shapeId="0" xr:uid="{2546251D-92A0-4D11-BB5D-32DCE132308B}">
      <text>
        <r>
          <rPr>
            <b/>
            <sz val="9"/>
            <color indexed="81"/>
            <rFont val="Tahoma"/>
            <family val="2"/>
          </rPr>
          <t>Eve Browning:</t>
        </r>
        <r>
          <rPr>
            <sz val="9"/>
            <color indexed="81"/>
            <rFont val="Tahoma"/>
            <family val="2"/>
          </rPr>
          <t xml:space="preserve">
Invoice UAI-23-09871 (Bruton Knowles)
HoTs negotiation - £4356.50</t>
        </r>
      </text>
    </comment>
    <comment ref="AQ62" authorId="0" shapeId="0" xr:uid="{C041384C-289C-4D68-8BE0-350B7041153A}">
      <text>
        <r>
          <rPr>
            <b/>
            <sz val="9"/>
            <color indexed="81"/>
            <rFont val="Tahoma"/>
            <family val="2"/>
          </rPr>
          <t>Eve Browning:</t>
        </r>
        <r>
          <rPr>
            <sz val="9"/>
            <color indexed="81"/>
            <rFont val="Tahoma"/>
            <family val="2"/>
          </rPr>
          <t xml:space="preserve">
Invoice UAI-23-09873
HoTs negotiation - £4900.25</t>
        </r>
      </text>
    </comment>
    <comment ref="AR62" authorId="0" shapeId="0" xr:uid="{1E35A25A-C81B-4CEF-B2B1-0A6DA63ED874}">
      <text>
        <r>
          <rPr>
            <b/>
            <sz val="9"/>
            <color indexed="81"/>
            <rFont val="Tahoma"/>
            <family val="2"/>
          </rPr>
          <t>Eve Browning:</t>
        </r>
        <r>
          <rPr>
            <sz val="9"/>
            <color indexed="81"/>
            <rFont val="Tahoma"/>
            <family val="2"/>
          </rPr>
          <t xml:space="preserve">
Invoice UAI-24-10185
HoTs negotiation - £6160.50</t>
        </r>
      </text>
    </comment>
    <comment ref="AS62" authorId="0" shapeId="0" xr:uid="{C598E8B5-1D52-4CCB-9C26-1A528508E667}">
      <text>
        <r>
          <rPr>
            <b/>
            <sz val="9"/>
            <color indexed="81"/>
            <rFont val="Tahoma"/>
            <family val="2"/>
          </rPr>
          <t>Eve Browning:</t>
        </r>
        <r>
          <rPr>
            <sz val="9"/>
            <color indexed="81"/>
            <rFont val="Tahoma"/>
            <family val="2"/>
          </rPr>
          <t xml:space="preserve">
Invoice UAI-24-10536 Bruton Knowles 
HoTs negotiation - £5160</t>
        </r>
      </text>
    </comment>
    <comment ref="AT62" authorId="0" shapeId="0" xr:uid="{425977CD-8A32-4CF1-8AE8-F73BDB3E7913}">
      <text>
        <r>
          <rPr>
            <b/>
            <sz val="9"/>
            <color indexed="81"/>
            <rFont val="Tahoma"/>
            <family val="2"/>
          </rPr>
          <t>Eve Browning:</t>
        </r>
        <r>
          <rPr>
            <sz val="9"/>
            <color indexed="81"/>
            <rFont val="Tahoma"/>
            <family val="2"/>
          </rPr>
          <t xml:space="preserve">
Invoice UAI-24-10792
HoTs negotiations - £7191.25</t>
        </r>
      </text>
    </comment>
    <comment ref="AU62" authorId="0" shapeId="0" xr:uid="{371718C2-88E9-48DF-BF63-474AA9961A10}">
      <text>
        <r>
          <rPr>
            <b/>
            <sz val="9"/>
            <color indexed="81"/>
            <rFont val="Tahoma"/>
            <family val="2"/>
          </rPr>
          <t>Eve Browning:</t>
        </r>
        <r>
          <rPr>
            <sz val="9"/>
            <color indexed="81"/>
            <rFont val="Tahoma"/>
            <family val="2"/>
          </rPr>
          <t xml:space="preserve">
Invoice UAI-24-10962
Cable route land negotiations - £5752.50</t>
        </r>
      </text>
    </comment>
    <comment ref="AV62" authorId="0" shapeId="0" xr:uid="{D981A7A3-0547-45AE-A20B-BDF71A9018E5}">
      <text>
        <r>
          <rPr>
            <b/>
            <sz val="9"/>
            <color indexed="81"/>
            <rFont val="Tahoma"/>
            <family val="2"/>
          </rPr>
          <t>Eve Browning:</t>
        </r>
        <r>
          <rPr>
            <sz val="9"/>
            <color indexed="81"/>
            <rFont val="Tahoma"/>
            <family val="2"/>
          </rPr>
          <t xml:space="preserve">
Invoice UAI-24-11213
HoTs negotiation - £4375
Expenses - £12</t>
        </r>
      </text>
    </comment>
    <comment ref="AW62" authorId="0" shapeId="0" xr:uid="{EF6178C4-1080-45D0-B350-1E83A0620863}">
      <text>
        <r>
          <rPr>
            <b/>
            <sz val="9"/>
            <color indexed="81"/>
            <rFont val="Tahoma"/>
            <family val="2"/>
          </rPr>
          <t>Eve Browning:</t>
        </r>
        <r>
          <rPr>
            <sz val="9"/>
            <color indexed="81"/>
            <rFont val="Tahoma"/>
            <family val="2"/>
          </rPr>
          <t xml:space="preserve">
Invoice UAI-24-11581
Cable route negotiations and access licences - £7578.75</t>
        </r>
      </text>
    </comment>
    <comment ref="AX62" authorId="0" shapeId="0" xr:uid="{99B22AA1-5167-4F3F-B4A8-005F6C4FAA92}">
      <text>
        <r>
          <rPr>
            <b/>
            <sz val="9"/>
            <color indexed="81"/>
            <rFont val="Tahoma"/>
            <family val="2"/>
          </rPr>
          <t>Eve Browning:</t>
        </r>
        <r>
          <rPr>
            <sz val="9"/>
            <color indexed="81"/>
            <rFont val="Tahoma"/>
            <family val="2"/>
          </rPr>
          <t xml:space="preserve">
Bruton Knowles invoice UAI-24-11878
Cable route landowner negotiations - £2208.75</t>
        </r>
      </text>
    </comment>
    <comment ref="AY62" authorId="0" shapeId="0" xr:uid="{177779DC-8D71-431C-841B-D81F0F9B3107}">
      <text>
        <r>
          <rPr>
            <b/>
            <sz val="9"/>
            <color indexed="81"/>
            <rFont val="Tahoma"/>
            <family val="2"/>
          </rPr>
          <t>Eve Browning:</t>
        </r>
        <r>
          <rPr>
            <sz val="9"/>
            <color indexed="81"/>
            <rFont val="Tahoma"/>
            <family val="2"/>
          </rPr>
          <t xml:space="preserve">
Invoice UAI-24-12438
Land agency services - £7889
Expenses - £3</t>
        </r>
      </text>
    </comment>
    <comment ref="AZ62" authorId="0" shapeId="0" xr:uid="{5BDFDA01-A6FA-4ED5-9065-3CEB385EA0DF}">
      <text>
        <r>
          <rPr>
            <b/>
            <sz val="9"/>
            <color indexed="81"/>
            <rFont val="Tahoma"/>
            <family val="2"/>
          </rPr>
          <t>Eve Browning:</t>
        </r>
        <r>
          <rPr>
            <sz val="9"/>
            <color indexed="81"/>
            <rFont val="Tahoma"/>
            <family val="2"/>
          </rPr>
          <t xml:space="preserve">
</t>
        </r>
        <r>
          <rPr>
            <b/>
            <sz val="9"/>
            <color indexed="81"/>
            <rFont val="Tahoma"/>
            <family val="2"/>
          </rPr>
          <t>Bruton Knowles Invoice UAI-24-12605</t>
        </r>
        <r>
          <rPr>
            <sz val="9"/>
            <color indexed="81"/>
            <rFont val="Tahoma"/>
            <family val="2"/>
          </rPr>
          <t xml:space="preserve">
Land agency services - £6990.75
</t>
        </r>
        <r>
          <rPr>
            <b/>
            <sz val="9"/>
            <color indexed="81"/>
            <rFont val="Tahoma"/>
            <family val="2"/>
          </rPr>
          <t xml:space="preserve">Savills refund from client account
</t>
        </r>
        <r>
          <rPr>
            <sz val="9"/>
            <color indexed="81"/>
            <rFont val="Tahoma"/>
            <family val="2"/>
          </rPr>
          <t>Unused money for survey access payments returned from client account - £5387.34</t>
        </r>
      </text>
    </comment>
    <comment ref="BA62" authorId="0" shapeId="0" xr:uid="{86A1458F-BDE2-4775-B2A2-63FB7D490505}">
      <text>
        <r>
          <rPr>
            <b/>
            <sz val="9"/>
            <color indexed="81"/>
            <rFont val="Tahoma"/>
            <family val="2"/>
          </rPr>
          <t>Eve Browning:</t>
        </r>
        <r>
          <rPr>
            <sz val="9"/>
            <color indexed="81"/>
            <rFont val="Tahoma"/>
            <family val="2"/>
          </rPr>
          <t xml:space="preserve">
Invoice UAI-24-13027
Land agency services £3269</t>
        </r>
      </text>
    </comment>
    <comment ref="BB62" authorId="0" shapeId="0" xr:uid="{EFC962BA-77C0-4F5E-8E7F-A1C559096494}">
      <text>
        <r>
          <rPr>
            <b/>
            <sz val="9"/>
            <color indexed="81"/>
            <rFont val="Tahoma"/>
            <family val="2"/>
          </rPr>
          <t>Eve Browning:</t>
        </r>
        <r>
          <rPr>
            <sz val="9"/>
            <color indexed="81"/>
            <rFont val="Tahoma"/>
            <family val="2"/>
          </rPr>
          <t xml:space="preserve">
Invoice UAI-24-13303
Land agency services £1840</t>
        </r>
      </text>
    </comment>
    <comment ref="BC62" authorId="0" shapeId="0" xr:uid="{A79B039C-87BD-4A4F-BFC4-A0BA25150E7F}">
      <text>
        <r>
          <rPr>
            <b/>
            <sz val="9"/>
            <color indexed="81"/>
            <rFont val="Tahoma"/>
            <family val="2"/>
          </rPr>
          <t>Eve Browning:</t>
        </r>
        <r>
          <rPr>
            <sz val="9"/>
            <color indexed="81"/>
            <rFont val="Tahoma"/>
            <family val="2"/>
          </rPr>
          <t xml:space="preserve">
Invoice  UAI-24-13641
Easement negotiations, project meetings - £1922.50</t>
        </r>
      </text>
    </comment>
    <comment ref="BD62" authorId="0" shapeId="0" xr:uid="{1E0A7D70-622F-4B86-877C-A4C6C8EC6EE7}">
      <text>
        <r>
          <rPr>
            <b/>
            <sz val="9"/>
            <color indexed="81"/>
            <rFont val="Tahoma"/>
            <charset val="1"/>
          </rPr>
          <t>Eve Browning:</t>
        </r>
        <r>
          <rPr>
            <sz val="9"/>
            <color indexed="81"/>
            <rFont val="Tahoma"/>
            <charset val="1"/>
          </rPr>
          <t xml:space="preserve">
Invoice UAI-24-13885
Land agency services - £3132.75
Expenses - 119.25
Total - £3252</t>
        </r>
      </text>
    </comment>
    <comment ref="AC63" authorId="0" shapeId="0" xr:uid="{90E1BE7E-4809-4569-B594-4393EDC125CE}">
      <text>
        <r>
          <rPr>
            <b/>
            <sz val="9"/>
            <color indexed="81"/>
            <rFont val="Tahoma"/>
            <family val="2"/>
          </rPr>
          <t>Eve Browning:</t>
        </r>
        <r>
          <rPr>
            <sz val="9"/>
            <color indexed="81"/>
            <rFont val="Tahoma"/>
            <family val="2"/>
          </rPr>
          <t xml:space="preserve">
Paid to Savills client account after Request for Payment</t>
        </r>
      </text>
    </comment>
    <comment ref="AJ63" authorId="0" shapeId="0" xr:uid="{F278DE33-6570-4FB0-9C00-89A4DF03BDCB}">
      <text>
        <r>
          <rPr>
            <b/>
            <sz val="9"/>
            <color indexed="81"/>
            <rFont val="Tahoma"/>
            <family val="2"/>
          </rPr>
          <t>Eve Browning:</t>
        </r>
        <r>
          <rPr>
            <sz val="9"/>
            <color indexed="81"/>
            <rFont val="Tahoma"/>
            <family val="2"/>
          </rPr>
          <t xml:space="preserve">
Payment Request: 
Landowner access payments (surveys and access licences)</t>
        </r>
      </text>
    </comment>
    <comment ref="AN63" authorId="0" shapeId="0" xr:uid="{82BC1B5A-3191-4B1E-AAE3-B9A601C830E1}">
      <text>
        <r>
          <rPr>
            <b/>
            <sz val="9"/>
            <color indexed="81"/>
            <rFont val="Tahoma"/>
            <family val="2"/>
          </rPr>
          <t>Eve Browning:</t>
        </r>
        <r>
          <rPr>
            <sz val="9"/>
            <color indexed="81"/>
            <rFont val="Tahoma"/>
            <family val="2"/>
          </rPr>
          <t xml:space="preserve">
JAS Martin &amp; Co invoice RDS/sab/V0882
HoTs incentive payment for:
- Ann Marie Lobley - £500
</t>
        </r>
      </text>
    </comment>
    <comment ref="AQ63" authorId="0" shapeId="0" xr:uid="{5E619625-5160-48CB-9DDE-A832CD68B968}">
      <text>
        <r>
          <rPr>
            <b/>
            <sz val="9"/>
            <color indexed="81"/>
            <rFont val="Tahoma"/>
            <family val="2"/>
          </rPr>
          <t>Eve Browning:</t>
        </r>
        <r>
          <rPr>
            <sz val="9"/>
            <color indexed="81"/>
            <rFont val="Tahoma"/>
            <family val="2"/>
          </rPr>
          <t xml:space="preserve">
Invoice EM/SR/S.59 Perkins George Mawer &amp; Co
Option incentive fee - 1.0/2.0 Thomas Carl Sutcliffe</t>
        </r>
      </text>
    </comment>
    <comment ref="AU63" authorId="0" shapeId="0" xr:uid="{10F5B5D4-B63C-411A-BA09-A495E0EC8207}">
      <text>
        <r>
          <rPr>
            <b/>
            <sz val="9"/>
            <color indexed="81"/>
            <rFont val="Tahoma"/>
            <family val="2"/>
          </rPr>
          <t>Eve Browning:</t>
        </r>
        <r>
          <rPr>
            <sz val="9"/>
            <color indexed="81"/>
            <rFont val="Tahoma"/>
            <family val="2"/>
          </rPr>
          <t xml:space="preserve">
FGP Chartered Surveyors Invoice 25242
16.0 Canal and River Trust - agent fee - £1200
</t>
        </r>
      </text>
    </comment>
    <comment ref="AX63" authorId="0" shapeId="0" xr:uid="{E7B40F7D-942A-4FCC-A8CB-8651F8E559FC}">
      <text>
        <r>
          <rPr>
            <b/>
            <sz val="9"/>
            <color indexed="81"/>
            <rFont val="Tahoma"/>
            <family val="2"/>
          </rPr>
          <t>Eve Browning:</t>
        </r>
        <r>
          <rPr>
            <sz val="9"/>
            <color indexed="81"/>
            <rFont val="Tahoma"/>
            <family val="2"/>
          </rPr>
          <t xml:space="preserve">
Fisher German Invoice 2125111
Ref: 15.0 Cottam Farming
Agent fees £1418.85
Mileage £56.25
Total £1475.10</t>
        </r>
      </text>
    </comment>
    <comment ref="AY63" authorId="0" shapeId="0" xr:uid="{8DF6EEE1-EBA2-434C-8A40-2F64C286A5F3}">
      <text>
        <r>
          <rPr>
            <b/>
            <sz val="9"/>
            <color indexed="81"/>
            <rFont val="Tahoma"/>
            <family val="2"/>
          </rPr>
          <t>Eve Browning:</t>
        </r>
        <r>
          <rPr>
            <sz val="9"/>
            <color indexed="81"/>
            <rFont val="Tahoma"/>
            <family val="2"/>
          </rPr>
          <t xml:space="preserve">
</t>
        </r>
        <r>
          <rPr>
            <b/>
            <sz val="9"/>
            <color indexed="81"/>
            <rFont val="Tahoma"/>
            <family val="2"/>
          </rPr>
          <t>Invoice 1800050950
27.0 Church Commissioners</t>
        </r>
        <r>
          <rPr>
            <sz val="9"/>
            <color indexed="81"/>
            <rFont val="Tahoma"/>
            <family val="2"/>
          </rPr>
          <t xml:space="preserve">
Incentive for signing the Heads of Terms £1000
</t>
        </r>
        <r>
          <rPr>
            <b/>
            <sz val="9"/>
            <color indexed="81"/>
            <rFont val="Tahoma"/>
            <family val="2"/>
          </rPr>
          <t xml:space="preserve">Invoice 1800050949
21.0 Church Commissioners
</t>
        </r>
        <r>
          <rPr>
            <sz val="9"/>
            <color indexed="81"/>
            <rFont val="Tahoma"/>
            <family val="2"/>
          </rPr>
          <t>Incentive for signing the Heads of Terms - £1000</t>
        </r>
        <r>
          <rPr>
            <sz val="9"/>
            <color indexed="81"/>
            <rFont val="Tahoma"/>
            <family val="2"/>
          </rPr>
          <t xml:space="preserve">
</t>
        </r>
      </text>
    </comment>
    <comment ref="AQ64" authorId="0" shapeId="0" xr:uid="{71E0BB90-CF04-4653-9F24-B051B16D2543}">
      <text>
        <r>
          <rPr>
            <b/>
            <sz val="9"/>
            <color indexed="81"/>
            <rFont val="Tahoma"/>
            <family val="2"/>
          </rPr>
          <t>Eve Browning:</t>
        </r>
        <r>
          <rPr>
            <sz val="9"/>
            <color indexed="81"/>
            <rFont val="Tahoma"/>
            <family val="2"/>
          </rPr>
          <t xml:space="preserve">
Invoice 3145405 - Walker Morris
Counsel’s fees incurred for provision of an opinion letter on the Cottam/West Burton cable route - £3300</t>
        </r>
      </text>
    </comment>
    <comment ref="AZ64" authorId="0" shapeId="0" xr:uid="{50D23561-6BD1-4040-AF56-0F4B51C20A13}">
      <text>
        <r>
          <rPr>
            <b/>
            <sz val="9"/>
            <color indexed="81"/>
            <rFont val="Tahoma"/>
            <family val="2"/>
          </rPr>
          <t>Eve Browning:</t>
        </r>
        <r>
          <rPr>
            <sz val="9"/>
            <color indexed="81"/>
            <rFont val="Tahoma"/>
            <family val="2"/>
          </rPr>
          <t xml:space="preserve">
Walker Morris invoice 316319
- Cable reporting - £6500
- Disbursements
      - Index map search - £52
      - Office copy entries - £105</t>
        </r>
      </text>
    </comment>
    <comment ref="BA64" authorId="0" shapeId="0" xr:uid="{03B698A4-7697-43F5-9C32-DEDE93B5ED82}">
      <text>
        <r>
          <rPr>
            <b/>
            <sz val="9"/>
            <color indexed="81"/>
            <rFont val="Tahoma"/>
            <family val="2"/>
          </rPr>
          <t>Eve Browning:</t>
        </r>
        <r>
          <rPr>
            <sz val="9"/>
            <color indexed="81"/>
            <rFont val="Tahoma"/>
            <family val="2"/>
          </rPr>
          <t xml:space="preserve">
Pinsent Masons quote for Network Rail property agreements</t>
        </r>
      </text>
    </comment>
    <comment ref="C65" authorId="1" shapeId="0" xr:uid="{952FF44D-59AF-4F5F-B31B-C114AE3BC68E}">
      <text>
        <r>
          <rPr>
            <b/>
            <sz val="9"/>
            <color indexed="81"/>
            <rFont val="Tahoma"/>
            <family val="2"/>
          </rPr>
          <t>David Elvin:</t>
        </r>
        <r>
          <rPr>
            <sz val="9"/>
            <color indexed="81"/>
            <rFont val="Tahoma"/>
            <family val="2"/>
          </rPr>
          <t xml:space="preserve">
Doesn't include costs to date 08/07/21</t>
        </r>
      </text>
    </comment>
    <comment ref="D65" authorId="2" shapeId="0" xr:uid="{163B7C80-A6EE-476C-9867-383E4795FD83}">
      <text>
        <t>[Threaded comment]
Your version of Excel allows you to read this threaded comment; however, any edits to it will get removed if the file is opened in a newer version of Excel. Learn more: https://go.microsoft.com/fwlink/?linkid=870924
Comment:
    Forsight contingency</t>
      </text>
    </comment>
    <comment ref="AM67" authorId="0" shapeId="0" xr:uid="{2E28D503-EC60-4771-BC23-420EE0188266}">
      <text>
        <r>
          <rPr>
            <b/>
            <sz val="9"/>
            <color indexed="81"/>
            <rFont val="Tahoma"/>
            <family val="2"/>
          </rPr>
          <t>Eve Browning:</t>
        </r>
        <r>
          <rPr>
            <sz val="9"/>
            <color indexed="81"/>
            <rFont val="Tahoma"/>
            <family val="2"/>
          </rPr>
          <t xml:space="preserve">
Blick Rothenburg invoice 2063633
Annual charge for the year to 31 December 2023 in respect of company registrar services, including maintenance of the companys statutory books, preparation and filing with the Registrar of Companies of the Confirmation Statement and notifications of any changes in respect of the companys officers and registered office, in accordance with the information and particulars supplied to us - £500
Annual confirmation statement filing fee - £13</t>
        </r>
      </text>
    </comment>
    <comment ref="AX67" authorId="0" shapeId="0" xr:uid="{D5A990F2-1208-43E7-AAB7-17321A48FCA2}">
      <text>
        <r>
          <rPr>
            <b/>
            <sz val="9"/>
            <color indexed="81"/>
            <rFont val="Tahoma"/>
            <family val="2"/>
          </rPr>
          <t>Eve Browning:</t>
        </r>
        <r>
          <rPr>
            <sz val="9"/>
            <color indexed="81"/>
            <rFont val="Tahoma"/>
            <family val="2"/>
          </rPr>
          <t xml:space="preserve">
Shakespeare Martineau invoice 100161055
Professional Charges for 
preparing and filing a UK Trade Mark 
Application for the WEST BURTON 
SOLAR PROJECT device - £900
</t>
        </r>
      </text>
    </comment>
    <comment ref="D69" authorId="1" shapeId="0" xr:uid="{E711DF9F-6F65-46A5-95C4-326DB9F26A3A}">
      <text>
        <r>
          <rPr>
            <b/>
            <sz val="9"/>
            <color indexed="81"/>
            <rFont val="Tahoma"/>
            <family val="2"/>
          </rPr>
          <t>David Elvin:</t>
        </r>
        <r>
          <rPr>
            <sz val="9"/>
            <color indexed="81"/>
            <rFont val="Tahoma"/>
            <family val="2"/>
          </rPr>
          <t xml:space="preserve">
Forsight total incl contingency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Eve Browning</author>
    <author>David Elvin</author>
  </authors>
  <commentList>
    <comment ref="M6" authorId="0" shapeId="0" xr:uid="{308EB88C-CCAA-4501-B4B3-EEAAD00A468B}">
      <text>
        <r>
          <rPr>
            <b/>
            <sz val="9"/>
            <color indexed="81"/>
            <rFont val="Tahoma"/>
            <family val="2"/>
          </rPr>
          <t>Eve Browning:</t>
        </r>
        <r>
          <rPr>
            <sz val="9"/>
            <color indexed="81"/>
            <rFont val="Tahoma"/>
            <family val="2"/>
          </rPr>
          <t xml:space="preserve">
Omnia quote for stages 1-3, half for each project</t>
        </r>
      </text>
    </comment>
    <comment ref="AE6" authorId="0" shapeId="0" xr:uid="{4B9ADB7D-4197-4F60-9083-B40711ECFB23}">
      <text>
        <r>
          <rPr>
            <b/>
            <sz val="9"/>
            <color indexed="81"/>
            <rFont val="Tahoma"/>
            <family val="2"/>
          </rPr>
          <t>Eve Browning:</t>
        </r>
        <r>
          <rPr>
            <sz val="9"/>
            <color indexed="81"/>
            <rFont val="Tahoma"/>
            <family val="2"/>
          </rPr>
          <t xml:space="preserve">
Invoice INV-6632</t>
        </r>
      </text>
    </comment>
    <comment ref="AF6" authorId="0" shapeId="0" xr:uid="{7AEB51ED-A697-42E4-88E3-C70969B1D514}">
      <text>
        <r>
          <rPr>
            <b/>
            <sz val="9"/>
            <color indexed="81"/>
            <rFont val="Tahoma"/>
            <family val="2"/>
          </rPr>
          <t>Eve Browning:</t>
        </r>
        <r>
          <rPr>
            <sz val="9"/>
            <color indexed="81"/>
            <rFont val="Tahoma"/>
            <family val="2"/>
          </rPr>
          <t xml:space="preserve">
INV-6790</t>
        </r>
      </text>
    </comment>
    <comment ref="AG6" authorId="0" shapeId="0" xr:uid="{DFE7B4C0-BD13-47DA-B663-CC9598C33D2B}">
      <text>
        <r>
          <rPr>
            <b/>
            <sz val="9"/>
            <color indexed="81"/>
            <rFont val="Tahoma"/>
            <family val="2"/>
          </rPr>
          <t>Eve Browning:</t>
        </r>
        <r>
          <rPr>
            <sz val="9"/>
            <color indexed="81"/>
            <rFont val="Tahoma"/>
            <family val="2"/>
          </rPr>
          <t xml:space="preserve">
Invoice INV-6938</t>
        </r>
      </text>
    </comment>
    <comment ref="AH6" authorId="0" shapeId="0" xr:uid="{F5E48526-CD17-4355-9E26-347B519E8CE5}">
      <text>
        <r>
          <rPr>
            <b/>
            <sz val="9"/>
            <color indexed="81"/>
            <rFont val="Tahoma"/>
            <family val="2"/>
          </rPr>
          <t>Eve Browning:</t>
        </r>
        <r>
          <rPr>
            <sz val="9"/>
            <color indexed="81"/>
            <rFont val="Tahoma"/>
            <family val="2"/>
          </rPr>
          <t xml:space="preserve">
Invoice INV-7103</t>
        </r>
      </text>
    </comment>
    <comment ref="AI6" authorId="0" shapeId="0" xr:uid="{E8A7F442-F0B3-42BC-8D66-14B510362024}">
      <text>
        <r>
          <rPr>
            <b/>
            <sz val="9"/>
            <color indexed="81"/>
            <rFont val="Tahoma"/>
            <family val="2"/>
          </rPr>
          <t>Eve Browning:</t>
        </r>
        <r>
          <rPr>
            <sz val="9"/>
            <color indexed="81"/>
            <rFont val="Tahoma"/>
            <family val="2"/>
          </rPr>
          <t xml:space="preserve">
Invoice INV-7291</t>
        </r>
      </text>
    </comment>
    <comment ref="AJ6" authorId="0" shapeId="0" xr:uid="{63220ACD-7190-4BF5-A1F6-84D6168E84A5}">
      <text>
        <r>
          <rPr>
            <b/>
            <sz val="9"/>
            <color indexed="81"/>
            <rFont val="Tahoma"/>
            <family val="2"/>
          </rPr>
          <t>Eve Browning:</t>
        </r>
        <r>
          <rPr>
            <sz val="9"/>
            <color indexed="81"/>
            <rFont val="Tahoma"/>
            <family val="2"/>
          </rPr>
          <t xml:space="preserve">
Invoice INV-7433</t>
        </r>
      </text>
    </comment>
    <comment ref="AK6" authorId="0" shapeId="0" xr:uid="{9E76C6E5-1AAD-4792-9871-CD7A6C5492F2}">
      <text>
        <r>
          <rPr>
            <b/>
            <sz val="9"/>
            <color indexed="81"/>
            <rFont val="Tahoma"/>
            <family val="2"/>
          </rPr>
          <t>Eve Browning:</t>
        </r>
        <r>
          <rPr>
            <sz val="9"/>
            <color indexed="81"/>
            <rFont val="Tahoma"/>
            <family val="2"/>
          </rPr>
          <t xml:space="preserve">
Invoice INV-7611</t>
        </r>
      </text>
    </comment>
    <comment ref="AL6" authorId="0" shapeId="0" xr:uid="{D01FFEE2-6897-43A9-8CD4-385C5102AF6A}">
      <text>
        <r>
          <rPr>
            <b/>
            <sz val="9"/>
            <color indexed="81"/>
            <rFont val="Tahoma"/>
            <family val="2"/>
          </rPr>
          <t>Eve Browning:</t>
        </r>
        <r>
          <rPr>
            <sz val="9"/>
            <color indexed="81"/>
            <rFont val="Tahoma"/>
            <family val="2"/>
          </rPr>
          <t xml:space="preserve">
Invoice INV-7844</t>
        </r>
      </text>
    </comment>
    <comment ref="AM6" authorId="0" shapeId="0" xr:uid="{40D09909-B971-4A61-BF62-3200C95461A4}">
      <text>
        <r>
          <rPr>
            <b/>
            <sz val="9"/>
            <color indexed="81"/>
            <rFont val="Tahoma"/>
            <family val="2"/>
          </rPr>
          <t>Eve Browning:</t>
        </r>
        <r>
          <rPr>
            <sz val="9"/>
            <color indexed="81"/>
            <rFont val="Tahoma"/>
            <family val="2"/>
          </rPr>
          <t xml:space="preserve">
Invoice INV-8242
</t>
        </r>
      </text>
    </comment>
    <comment ref="AN6" authorId="0" shapeId="0" xr:uid="{028508EA-681B-484D-8E26-6C96401A8720}">
      <text>
        <r>
          <rPr>
            <b/>
            <sz val="9"/>
            <color indexed="81"/>
            <rFont val="Tahoma"/>
            <family val="2"/>
          </rPr>
          <t>Eve Browning:</t>
        </r>
        <r>
          <rPr>
            <sz val="9"/>
            <color indexed="81"/>
            <rFont val="Tahoma"/>
            <family val="2"/>
          </rPr>
          <t xml:space="preserve">
Invoice INV-8286</t>
        </r>
      </text>
    </comment>
    <comment ref="AP6" authorId="0" shapeId="0" xr:uid="{F1645C86-7580-4FC2-8263-85BFE4843835}">
      <text>
        <r>
          <rPr>
            <b/>
            <sz val="9"/>
            <color indexed="81"/>
            <rFont val="Tahoma"/>
            <family val="2"/>
          </rPr>
          <t>Eve Browning:</t>
        </r>
        <r>
          <rPr>
            <sz val="9"/>
            <color indexed="81"/>
            <rFont val="Tahoma"/>
            <family val="2"/>
          </rPr>
          <t xml:space="preserve">
Invoice INV-2212-133
Cottam 3b substation drawing update, advice on building spec - £163.13</t>
        </r>
      </text>
    </comment>
    <comment ref="AR6" authorId="0" shapeId="0" xr:uid="{339EA544-998B-439E-A734-5E67673AB023}">
      <text>
        <r>
          <rPr>
            <b/>
            <sz val="9"/>
            <color indexed="81"/>
            <rFont val="Tahoma"/>
            <family val="2"/>
          </rPr>
          <t>Eve Browning:</t>
        </r>
        <r>
          <rPr>
            <sz val="9"/>
            <color indexed="81"/>
            <rFont val="Tahoma"/>
            <family val="2"/>
          </rPr>
          <t xml:space="preserve">
Invoice INV-2302-052
SLD updates - £947.01</t>
        </r>
      </text>
    </comment>
    <comment ref="AS6" authorId="0" shapeId="0" xr:uid="{D1787705-F846-4892-99C9-365660526B13}">
      <text>
        <r>
          <rPr>
            <b/>
            <sz val="9"/>
            <color indexed="81"/>
            <rFont val="Tahoma"/>
            <family val="2"/>
          </rPr>
          <t>Eve Browning:</t>
        </r>
        <r>
          <rPr>
            <sz val="9"/>
            <color indexed="81"/>
            <rFont val="Tahoma"/>
            <family val="2"/>
          </rPr>
          <t xml:space="preserve">
Invoice INV-2303-054
Lessons learned telcon - £113.25</t>
        </r>
      </text>
    </comment>
    <comment ref="AT6" authorId="0" shapeId="0" xr:uid="{5AED5A76-D236-44D6-934E-4AB56E0B11F5}">
      <text>
        <r>
          <rPr>
            <b/>
            <sz val="9"/>
            <color indexed="81"/>
            <rFont val="Tahoma"/>
            <family val="2"/>
          </rPr>
          <t>Eve Browning:</t>
        </r>
        <r>
          <rPr>
            <sz val="9"/>
            <color indexed="81"/>
            <rFont val="Tahoma"/>
            <family val="2"/>
          </rPr>
          <t xml:space="preserve">
Invoice INV-2304-110
Grid connection cost advice - £56.63</t>
        </r>
      </text>
    </comment>
    <comment ref="AV6" authorId="0" shapeId="0" xr:uid="{E33CEF3D-F139-4F93-95BD-39769A085212}">
      <text>
        <r>
          <rPr>
            <b/>
            <sz val="9"/>
            <color indexed="81"/>
            <rFont val="Tahoma"/>
            <family val="2"/>
          </rPr>
          <t>Eve Browning:</t>
        </r>
        <r>
          <rPr>
            <sz val="9"/>
            <color indexed="81"/>
            <rFont val="Tahoma"/>
            <family val="2"/>
          </rPr>
          <t xml:space="preserve">
Invoice INV-2306-103
Site visit - £459.30</t>
        </r>
      </text>
    </comment>
    <comment ref="AW6" authorId="0" shapeId="0" xr:uid="{1DCD378C-D246-490E-A00B-9981688E52B1}">
      <text>
        <r>
          <rPr>
            <b/>
            <sz val="9"/>
            <color indexed="81"/>
            <rFont val="Tahoma"/>
            <family val="2"/>
          </rPr>
          <t>Eve Browning:</t>
        </r>
        <r>
          <rPr>
            <sz val="9"/>
            <color indexed="81"/>
            <rFont val="Tahoma"/>
            <family val="2"/>
          </rPr>
          <t xml:space="preserve">
Invoice INV-2307-106
Grid connection advice - £119.55</t>
        </r>
      </text>
    </comment>
    <comment ref="AX6" authorId="0" shapeId="0" xr:uid="{D132BC3C-EC1A-42AD-8001-C6C09C370F30}">
      <text>
        <r>
          <rPr>
            <b/>
            <sz val="9"/>
            <color indexed="81"/>
            <rFont val="Tahoma"/>
            <family val="2"/>
          </rPr>
          <t>Eve Browning:</t>
        </r>
        <r>
          <rPr>
            <sz val="9"/>
            <color indexed="81"/>
            <rFont val="Tahoma"/>
            <family val="2"/>
          </rPr>
          <t xml:space="preserve">
Invoice INV-2308-130
Front end engineering design advice - £56.63
Credit for mileage incorrectly charged - £6.30</t>
        </r>
      </text>
    </comment>
    <comment ref="BC6" authorId="0" shapeId="0" xr:uid="{4D28B5BB-F0DC-4632-91E1-7A6CF5F1DECF}">
      <text>
        <r>
          <rPr>
            <b/>
            <sz val="9"/>
            <color indexed="81"/>
            <rFont val="Tahoma"/>
            <family val="2"/>
          </rPr>
          <t>Eve Browning:</t>
        </r>
        <r>
          <rPr>
            <sz val="9"/>
            <color indexed="81"/>
            <rFont val="Tahoma"/>
            <family val="2"/>
          </rPr>
          <t xml:space="preserve">
Invoice INV-2401-136
Electrical design advice - £116.19</t>
        </r>
      </text>
    </comment>
    <comment ref="C7" authorId="0" shapeId="0" xr:uid="{36FC8B9E-37C5-4CD7-963C-AC4F862A268F}">
      <text>
        <r>
          <rPr>
            <b/>
            <sz val="9"/>
            <color indexed="81"/>
            <rFont val="Tahoma"/>
            <family val="2"/>
          </rPr>
          <t>Eve Browning:</t>
        </r>
        <r>
          <rPr>
            <sz val="9"/>
            <color indexed="81"/>
            <rFont val="Tahoma"/>
            <family val="2"/>
          </rPr>
          <t xml:space="preserve">
EB to confirm with Sam expectations on this</t>
        </r>
      </text>
    </comment>
    <comment ref="AH7" authorId="0" shapeId="0" xr:uid="{867004B7-E94E-4897-8865-ECC2130AAF33}">
      <text>
        <r>
          <rPr>
            <b/>
            <sz val="9"/>
            <color indexed="81"/>
            <rFont val="Tahoma"/>
            <family val="2"/>
          </rPr>
          <t>Eve Browning:</t>
        </r>
        <r>
          <rPr>
            <sz val="9"/>
            <color indexed="81"/>
            <rFont val="Tahoma"/>
            <family val="2"/>
          </rPr>
          <t xml:space="preserve">
Mod app
Invoice 1135/80203028</t>
        </r>
      </text>
    </comment>
    <comment ref="AS7" authorId="0" shapeId="0" xr:uid="{10AB8A75-FE5F-46D3-B3C9-B7AE21733859}">
      <text>
        <r>
          <rPr>
            <b/>
            <sz val="9"/>
            <color indexed="81"/>
            <rFont val="Tahoma"/>
            <family val="2"/>
          </rPr>
          <t>Eve Browning:</t>
        </r>
        <r>
          <rPr>
            <sz val="9"/>
            <color indexed="81"/>
            <rFont val="Tahoma"/>
            <family val="2"/>
          </rPr>
          <t xml:space="preserve">
Remittance from NG ESO Ltd
Ref 0080048096
Invoice 0080203028
£60885</t>
        </r>
      </text>
    </comment>
    <comment ref="AK8" authorId="0" shapeId="0" xr:uid="{9DB88FE2-C4F5-40FB-BBE7-1B53701B1BB6}">
      <text>
        <r>
          <rPr>
            <b/>
            <sz val="9"/>
            <color indexed="81"/>
            <rFont val="Tahoma"/>
            <family val="2"/>
          </rPr>
          <t>Eve Browning:</t>
        </r>
        <r>
          <rPr>
            <sz val="9"/>
            <color indexed="81"/>
            <rFont val="Tahoma"/>
            <family val="2"/>
          </rPr>
          <t xml:space="preserve">
Invoice 40089052
Cottam 1</t>
        </r>
      </text>
    </comment>
    <comment ref="AL8" authorId="0" shapeId="0" xr:uid="{EAE39976-C3C3-4147-B530-6D3FA7E19EE0}">
      <text>
        <r>
          <rPr>
            <b/>
            <sz val="9"/>
            <color indexed="81"/>
            <rFont val="Tahoma"/>
            <family val="2"/>
          </rPr>
          <t>Eve Browning:</t>
        </r>
        <r>
          <rPr>
            <sz val="9"/>
            <color indexed="81"/>
            <rFont val="Tahoma"/>
            <family val="2"/>
          </rPr>
          <t xml:space="preserve">
Invoice 40089353
Corringham (Cottam 2) aux connection application - £300
Invoice 40089354
Blyton (Cottam 3) aux grid application - £300</t>
        </r>
      </text>
    </comment>
    <comment ref="BI8" authorId="0" shapeId="0" xr:uid="{EFA64655-65F2-4842-93F8-B55B66C3F72B}">
      <text>
        <r>
          <rPr>
            <b/>
            <sz val="9"/>
            <color indexed="81"/>
            <rFont val="Tahoma"/>
            <family val="2"/>
          </rPr>
          <t>Eve Browning:</t>
        </r>
        <r>
          <rPr>
            <sz val="9"/>
            <color indexed="81"/>
            <rFont val="Tahoma"/>
            <family val="2"/>
          </rPr>
          <t xml:space="preserve">
Network Rail legal costs
EB estimate</t>
        </r>
      </text>
    </comment>
    <comment ref="BJ8" authorId="0" shapeId="0" xr:uid="{3FABBBC5-770D-497F-8CAE-D9B934F84544}">
      <text>
        <r>
          <rPr>
            <b/>
            <sz val="9"/>
            <color indexed="81"/>
            <rFont val="Tahoma"/>
            <family val="2"/>
          </rPr>
          <t>Eve Browning:</t>
        </r>
        <r>
          <rPr>
            <sz val="9"/>
            <color indexed="81"/>
            <rFont val="Tahoma"/>
            <family val="2"/>
          </rPr>
          <t xml:space="preserve">
Based upon 10% of NR easement fee being payable upon option signing - £630/MW across whole project</t>
        </r>
      </text>
    </comment>
    <comment ref="AJ9" authorId="0" shapeId="0" xr:uid="{13DB412D-3930-4EAA-AF6F-1A6232C3EC80}">
      <text>
        <r>
          <rPr>
            <b/>
            <sz val="9"/>
            <color indexed="81"/>
            <rFont val="Tahoma"/>
            <family val="2"/>
          </rPr>
          <t>Eve Browning:</t>
        </r>
        <r>
          <rPr>
            <sz val="9"/>
            <color indexed="81"/>
            <rFont val="Tahoma"/>
            <family val="2"/>
          </rPr>
          <t xml:space="preserve">
Blyton BAPA</t>
        </r>
      </text>
    </comment>
    <comment ref="AL9" authorId="0" shapeId="0" xr:uid="{0D1250A6-37F3-4706-9C46-D8F12FCE5AE1}">
      <text>
        <r>
          <rPr>
            <b/>
            <sz val="9"/>
            <color indexed="81"/>
            <rFont val="Tahoma"/>
            <family val="2"/>
          </rPr>
          <t>Eve Browning:</t>
        </r>
        <r>
          <rPr>
            <sz val="9"/>
            <color indexed="81"/>
            <rFont val="Tahoma"/>
            <family val="2"/>
          </rPr>
          <t xml:space="preserve">
Exceptional payment - Blyton Network Rail BAPA VAT - £2977.34
Payment reference: WB70591 VAT
Exceptional payment - Blyton Clearance Costs - £1500 +VAT = £1800
Payment reference: WB70591
Exceptional payment - Cottam Power Station Clearance Costs - £1500 +VAT = £1800
Payment reference: IGP Cottam Power Station crossing
Exceptional payment - Marton Clearance Costs - £1500 +VAT = £1800
Payment reference: WB70592</t>
        </r>
      </text>
    </comment>
    <comment ref="AR9" authorId="0" shapeId="0" xr:uid="{D1E4C76F-CF63-4009-8881-711B73E64F28}">
      <text>
        <r>
          <rPr>
            <b/>
            <sz val="9"/>
            <color indexed="81"/>
            <rFont val="Tahoma"/>
            <family val="2"/>
          </rPr>
          <t>Eve Browning:</t>
        </r>
        <r>
          <rPr>
            <sz val="9"/>
            <color indexed="81"/>
            <rFont val="Tahoma"/>
            <family val="2"/>
          </rPr>
          <t xml:space="preserve">
Exceptional payment Marton crossing - £24356.93 + VAT = £29228.32</t>
        </r>
      </text>
    </comment>
    <comment ref="AX9" authorId="0" shapeId="0" xr:uid="{B660FB4B-AF2D-4F1E-8B69-7C99A9357C46}">
      <text>
        <r>
          <rPr>
            <b/>
            <sz val="9"/>
            <color indexed="81"/>
            <rFont val="Tahoma"/>
            <family val="2"/>
          </rPr>
          <t>Eve Browning:</t>
        </r>
        <r>
          <rPr>
            <sz val="9"/>
            <color indexed="81"/>
            <rFont val="Tahoma"/>
            <family val="2"/>
          </rPr>
          <t xml:space="preserve">
BAPA - Cottam Power Station (exceptional payment) £30223.65 + VAT = £36268.38</t>
        </r>
      </text>
    </comment>
    <comment ref="R10" authorId="0" shapeId="0" xr:uid="{8DA2F4CF-8F3C-41DF-A30A-A760C9829F8C}">
      <text>
        <r>
          <rPr>
            <b/>
            <sz val="9"/>
            <color indexed="81"/>
            <rFont val="Tahoma"/>
            <family val="2"/>
          </rPr>
          <t>Eve Browning:</t>
        </r>
        <r>
          <rPr>
            <sz val="9"/>
            <color indexed="81"/>
            <rFont val="Tahoma"/>
            <family val="2"/>
          </rPr>
          <t xml:space="preserve">
Pinsent Masons:
Property advice - £5820.26
Property advice - £30460.43
Undertakings - £24,000</t>
        </r>
      </text>
    </comment>
    <comment ref="AD10" authorId="0" shapeId="0" xr:uid="{2D69E0CF-D3C7-4EA9-B7EA-B3FD4B689262}">
      <text>
        <r>
          <rPr>
            <b/>
            <sz val="9"/>
            <color indexed="81"/>
            <rFont val="Tahoma"/>
            <family val="2"/>
          </rPr>
          <t>Eve Browning:</t>
        </r>
        <r>
          <rPr>
            <sz val="9"/>
            <color indexed="81"/>
            <rFont val="Tahoma"/>
            <family val="2"/>
          </rPr>
          <t xml:space="preserve">
Blyton option variations and assignment</t>
        </r>
      </text>
    </comment>
    <comment ref="AF10" authorId="0" shapeId="0" xr:uid="{57DF5DA2-CD03-4280-AD01-218A11595510}">
      <text>
        <r>
          <rPr>
            <b/>
            <sz val="9"/>
            <color indexed="81"/>
            <rFont val="Tahoma"/>
            <family val="2"/>
          </rPr>
          <t>Eve Browning:</t>
        </r>
        <r>
          <rPr>
            <sz val="9"/>
            <color indexed="81"/>
            <rFont val="Tahoma"/>
            <family val="2"/>
          </rPr>
          <t xml:space="preserve">
Wilkin Chapman option - 2486800</t>
        </r>
      </text>
    </comment>
    <comment ref="AG10" authorId="0" shapeId="0" xr:uid="{CD378E4E-2E61-4C00-B53F-248918C17CC8}">
      <text>
        <r>
          <rPr>
            <b/>
            <sz val="9"/>
            <color indexed="81"/>
            <rFont val="Tahoma"/>
            <family val="2"/>
          </rPr>
          <t>Eve Browning:</t>
        </r>
        <r>
          <rPr>
            <sz val="9"/>
            <color indexed="81"/>
            <rFont val="Tahoma"/>
            <family val="2"/>
          </rPr>
          <t xml:space="preserve">
Pinsent Masons</t>
        </r>
      </text>
    </comment>
    <comment ref="AI10" authorId="0" shapeId="0" xr:uid="{4216AD2C-FD16-48DA-BD6C-EC3B27B05BFB}">
      <text>
        <r>
          <rPr>
            <b/>
            <sz val="9"/>
            <color indexed="81"/>
            <rFont val="Tahoma"/>
            <family val="2"/>
          </rPr>
          <t>Eve Browning:</t>
        </r>
        <r>
          <rPr>
            <sz val="9"/>
            <color indexed="81"/>
            <rFont val="Tahoma"/>
            <family val="2"/>
          </rPr>
          <t xml:space="preserve">
Invoice 6683352
Pinsent Masons property advice re: Coates</t>
        </r>
      </text>
    </comment>
    <comment ref="AK10" authorId="0" shapeId="0" xr:uid="{36D20C32-7B03-44F4-9218-01226BDCB200}">
      <text>
        <r>
          <rPr>
            <b/>
            <sz val="9"/>
            <color indexed="81"/>
            <rFont val="Tahoma"/>
            <family val="2"/>
          </rPr>
          <t>Eve Browning:</t>
        </r>
        <r>
          <rPr>
            <sz val="9"/>
            <color indexed="81"/>
            <rFont val="Tahoma"/>
            <family val="2"/>
          </rPr>
          <t xml:space="preserve">
Pinsent Masons</t>
        </r>
      </text>
    </comment>
    <comment ref="AR10" authorId="0" shapeId="0" xr:uid="{F0492A64-D940-4172-8280-7C1B74C6BA10}">
      <text>
        <r>
          <rPr>
            <b/>
            <sz val="9"/>
            <color indexed="81"/>
            <rFont val="Tahoma"/>
            <family val="2"/>
          </rPr>
          <t>Eve Browning:</t>
        </r>
        <r>
          <rPr>
            <sz val="9"/>
            <color indexed="81"/>
            <rFont val="Tahoma"/>
            <family val="2"/>
          </rPr>
          <t xml:space="preserve">
Pinsent Masons Invoice 6737922
Professional services - £5464.40</t>
        </r>
      </text>
    </comment>
    <comment ref="C11" authorId="0" shapeId="0" xr:uid="{DE2D206A-1FD2-4C17-B175-AFD9121E0DA7}">
      <text>
        <r>
          <rPr>
            <b/>
            <sz val="9"/>
            <color indexed="81"/>
            <rFont val="Tahoma"/>
            <family val="2"/>
          </rPr>
          <t>Eve Browning:</t>
        </r>
        <r>
          <rPr>
            <sz val="9"/>
            <color indexed="81"/>
            <rFont val="Tahoma"/>
            <family val="2"/>
          </rPr>
          <t xml:space="preserve">
Note: Lanpro issue different invoices for their 'planning', 'landscape' (LVIA) and 'heritage' teams so we get three separate monthly invoices from them. This row is just for planning costs
Low Carbon and Tillbridge to invoice for two different sets of Aecom work - amounts being questioned but feature in amounts for Jan 24 </t>
        </r>
      </text>
    </comment>
    <comment ref="I11" authorId="1" shapeId="0" xr:uid="{EC2E94A6-44EF-461F-A548-7FCDA57211BF}">
      <text>
        <r>
          <rPr>
            <b/>
            <sz val="9"/>
            <color indexed="81"/>
            <rFont val="Tahoma"/>
            <family val="2"/>
          </rPr>
          <t>David Elvin:</t>
        </r>
        <r>
          <rPr>
            <sz val="9"/>
            <color indexed="81"/>
            <rFont val="Tahoma"/>
            <family val="2"/>
          </rPr>
          <t xml:space="preserve">
Plus examination costs
</t>
        </r>
      </text>
    </comment>
    <comment ref="AE11" authorId="0" shapeId="0" xr:uid="{9DBD1B26-36AA-4433-9CD5-1B54459297A4}">
      <text>
        <r>
          <rPr>
            <b/>
            <sz val="9"/>
            <color indexed="81"/>
            <rFont val="Tahoma"/>
            <family val="2"/>
          </rPr>
          <t>Eve Browning:</t>
        </r>
        <r>
          <rPr>
            <sz val="9"/>
            <color indexed="81"/>
            <rFont val="Tahoma"/>
            <family val="2"/>
          </rPr>
          <t xml:space="preserve">
Invoice 005230</t>
        </r>
      </text>
    </comment>
    <comment ref="AG11" authorId="0" shapeId="0" xr:uid="{4052F4F8-B783-41F2-9681-5E812518A720}">
      <text>
        <r>
          <rPr>
            <b/>
            <sz val="9"/>
            <color indexed="81"/>
            <rFont val="Tahoma"/>
            <family val="2"/>
          </rPr>
          <t>Eve Browning:</t>
        </r>
        <r>
          <rPr>
            <sz val="9"/>
            <color indexed="81"/>
            <rFont val="Tahoma"/>
            <family val="2"/>
          </rPr>
          <t xml:space="preserve">
Invoice 005468 for £17685, invoice 005515 for £1377.38 expenses</t>
        </r>
      </text>
    </comment>
    <comment ref="AH11" authorId="0" shapeId="0" xr:uid="{9A9A39B5-3A11-4C41-910B-14933A557C7A}">
      <text>
        <r>
          <rPr>
            <b/>
            <sz val="9"/>
            <color indexed="81"/>
            <rFont val="Tahoma"/>
            <family val="2"/>
          </rPr>
          <t>Eve Browning:</t>
        </r>
        <r>
          <rPr>
            <sz val="9"/>
            <color indexed="81"/>
            <rFont val="Tahoma"/>
            <family val="2"/>
          </rPr>
          <t xml:space="preserve">
Invoice 005639 and 005642 (includes monthly expenses)</t>
        </r>
      </text>
    </comment>
    <comment ref="AI11" authorId="0" shapeId="0" xr:uid="{91B04068-2976-4418-9B13-740C5E22C6BB}">
      <text>
        <r>
          <rPr>
            <b/>
            <sz val="9"/>
            <color indexed="81"/>
            <rFont val="Tahoma"/>
            <family val="2"/>
          </rPr>
          <t>Eve Browning:</t>
        </r>
        <r>
          <rPr>
            <sz val="9"/>
            <color indexed="81"/>
            <rFont val="Tahoma"/>
            <family val="2"/>
          </rPr>
          <t xml:space="preserve">
Invoice 005823
£10300 
Additional works out of scope:
- Construction Environmental Management Plan
- Decommissioning Statement
- PEIR socio-economic chapter
- PEIR waste chapter
- PEIR Other Environmental Matters Chapter
£12.5k fee discounted by £2.2k budget saving carried forward
Invoice 005818
£19500 
Planning consultancy services</t>
        </r>
      </text>
    </comment>
    <comment ref="AJ11" authorId="0" shapeId="0" xr:uid="{445D8BD7-A0A4-45CF-A82B-877EDE6F32F9}">
      <text>
        <r>
          <rPr>
            <b/>
            <sz val="9"/>
            <color indexed="81"/>
            <rFont val="Tahoma"/>
            <family val="2"/>
          </rPr>
          <t>Eve Browning:</t>
        </r>
        <r>
          <rPr>
            <sz val="9"/>
            <color indexed="81"/>
            <rFont val="Tahoma"/>
            <family val="2"/>
          </rPr>
          <t xml:space="preserve">
Invoice 006088
Planning consultancy services, travel expenses, consultation event attendance</t>
        </r>
      </text>
    </comment>
    <comment ref="AK11" authorId="0" shapeId="0" xr:uid="{F4ED13BC-7300-4291-9C61-BE939419CEAE}">
      <text>
        <r>
          <rPr>
            <b/>
            <sz val="9"/>
            <color indexed="81"/>
            <rFont val="Tahoma"/>
            <family val="2"/>
          </rPr>
          <t>Eve Browning:</t>
        </r>
        <r>
          <rPr>
            <sz val="9"/>
            <color indexed="81"/>
            <rFont val="Tahoma"/>
            <family val="2"/>
          </rPr>
          <t xml:space="preserve">
Invoice 006196</t>
        </r>
      </text>
    </comment>
    <comment ref="AL11" authorId="0" shapeId="0" xr:uid="{1AA3527C-875E-4180-82B1-1C48D8678F93}">
      <text>
        <r>
          <rPr>
            <b/>
            <sz val="9"/>
            <color indexed="81"/>
            <rFont val="Tahoma"/>
            <family val="2"/>
          </rPr>
          <t>Eve Browning:</t>
        </r>
        <r>
          <rPr>
            <sz val="9"/>
            <color indexed="81"/>
            <rFont val="Tahoma"/>
            <family val="2"/>
          </rPr>
          <t xml:space="preserve">
Invoice 006297 - planning consultancy
Invoice 006304 - expenses</t>
        </r>
      </text>
    </comment>
    <comment ref="AM11" authorId="0" shapeId="0" xr:uid="{567033FD-E6F9-4D86-88AD-ECACAFE589FC}">
      <text>
        <r>
          <rPr>
            <b/>
            <sz val="9"/>
            <color indexed="81"/>
            <rFont val="Tahoma"/>
            <family val="2"/>
          </rPr>
          <t>Eve Browning:</t>
        </r>
        <r>
          <rPr>
            <sz val="9"/>
            <color indexed="81"/>
            <rFont val="Tahoma"/>
            <family val="2"/>
          </rPr>
          <t xml:space="preserve">
</t>
        </r>
        <r>
          <rPr>
            <b/>
            <sz val="9"/>
            <color indexed="81"/>
            <rFont val="Tahoma"/>
            <family val="2"/>
          </rPr>
          <t>Invoice 006641</t>
        </r>
        <r>
          <rPr>
            <sz val="9"/>
            <color indexed="81"/>
            <rFont val="Tahoma"/>
            <family val="2"/>
          </rPr>
          <t xml:space="preserve">
Planning consultancy - £19500
</t>
        </r>
        <r>
          <rPr>
            <b/>
            <sz val="9"/>
            <color indexed="81"/>
            <rFont val="Tahoma"/>
            <family val="2"/>
          </rPr>
          <t>Invoice 006650</t>
        </r>
        <r>
          <rPr>
            <sz val="9"/>
            <color indexed="81"/>
            <rFont val="Tahoma"/>
            <family val="2"/>
          </rPr>
          <t xml:space="preserve">
Expenses - 1105.08</t>
        </r>
      </text>
    </comment>
    <comment ref="AN11" authorId="0" shapeId="0" xr:uid="{2B260A1F-B910-4DD4-80A0-309A9FA9987D}">
      <text>
        <r>
          <rPr>
            <b/>
            <sz val="9"/>
            <color indexed="81"/>
            <rFont val="Tahoma"/>
            <family val="2"/>
          </rPr>
          <t>Eve Browning:</t>
        </r>
        <r>
          <rPr>
            <sz val="9"/>
            <color indexed="81"/>
            <rFont val="Tahoma"/>
            <family val="2"/>
          </rPr>
          <t xml:space="preserve">
</t>
        </r>
        <r>
          <rPr>
            <b/>
            <sz val="9"/>
            <color indexed="81"/>
            <rFont val="Tahoma"/>
            <family val="2"/>
          </rPr>
          <t>Invoice 006825</t>
        </r>
        <r>
          <rPr>
            <sz val="9"/>
            <color indexed="81"/>
            <rFont val="Tahoma"/>
            <family val="2"/>
          </rPr>
          <t xml:space="preserve">
GIS Suite of Figures, Abnormal loads, Land ownership, ALC, DCO Works Plans - £6612
</t>
        </r>
        <r>
          <rPr>
            <b/>
            <sz val="9"/>
            <color indexed="81"/>
            <rFont val="Tahoma"/>
            <family val="2"/>
          </rPr>
          <t xml:space="preserve">
Invoice 006827</t>
        </r>
        <r>
          <rPr>
            <sz val="9"/>
            <color indexed="81"/>
            <rFont val="Tahoma"/>
            <family val="2"/>
          </rPr>
          <t xml:space="preserve">
Planning consultancy - £34896.25</t>
        </r>
      </text>
    </comment>
    <comment ref="AO11" authorId="0" shapeId="0" xr:uid="{26B21474-8A68-48A8-85B5-4D906509FC24}">
      <text>
        <r>
          <rPr>
            <b/>
            <sz val="9"/>
            <color indexed="81"/>
            <rFont val="Tahoma"/>
            <family val="2"/>
          </rPr>
          <t>Eve Browning:</t>
        </r>
        <r>
          <rPr>
            <sz val="9"/>
            <color indexed="81"/>
            <rFont val="Tahoma"/>
            <family val="2"/>
          </rPr>
          <t xml:space="preserve">
Invoice 007023
Planning consultancy - £42804.75
</t>
        </r>
      </text>
    </comment>
    <comment ref="AP11" authorId="0" shapeId="0" xr:uid="{BF674182-13A8-4795-BB79-E6CA6936BA30}">
      <text>
        <r>
          <rPr>
            <b/>
            <sz val="9"/>
            <color indexed="81"/>
            <rFont val="Tahoma"/>
            <family val="2"/>
          </rPr>
          <t>Eve Browning:</t>
        </r>
        <r>
          <rPr>
            <sz val="9"/>
            <color indexed="81"/>
            <rFont val="Tahoma"/>
            <family val="2"/>
          </rPr>
          <t xml:space="preserve">
</t>
        </r>
        <r>
          <rPr>
            <b/>
            <sz val="9"/>
            <color indexed="81"/>
            <rFont val="Tahoma"/>
            <family val="2"/>
          </rPr>
          <t xml:space="preserve">Invoice 007066
</t>
        </r>
        <r>
          <rPr>
            <sz val="9"/>
            <color indexed="81"/>
            <rFont val="Tahoma"/>
            <family val="2"/>
          </rPr>
          <t xml:space="preserve">£52709.75
</t>
        </r>
        <r>
          <rPr>
            <b/>
            <sz val="9"/>
            <color indexed="81"/>
            <rFont val="Tahoma"/>
            <family val="2"/>
          </rPr>
          <t>Invoice 007396</t>
        </r>
        <r>
          <rPr>
            <sz val="9"/>
            <color indexed="81"/>
            <rFont val="Tahoma"/>
            <family val="2"/>
          </rPr>
          <t xml:space="preserve">
Expenses - £1027.05
</t>
        </r>
        <r>
          <rPr>
            <b/>
            <sz val="9"/>
            <color indexed="81"/>
            <rFont val="Tahoma"/>
            <family val="2"/>
          </rPr>
          <t>Invoice 007389</t>
        </r>
        <r>
          <rPr>
            <sz val="9"/>
            <color indexed="81"/>
            <rFont val="Tahoma"/>
            <family val="2"/>
          </rPr>
          <t xml:space="preserve">
- Planning consultancy services to submission - £53899</t>
        </r>
      </text>
    </comment>
    <comment ref="AQ11" authorId="0" shapeId="0" xr:uid="{BA248375-936A-4FAF-BF66-767CD758B146}">
      <text>
        <r>
          <rPr>
            <b/>
            <sz val="9"/>
            <color indexed="81"/>
            <rFont val="Tahoma"/>
            <family val="2"/>
          </rPr>
          <t>Eve Browning:</t>
        </r>
        <r>
          <rPr>
            <sz val="9"/>
            <color indexed="81"/>
            <rFont val="Tahoma"/>
            <family val="2"/>
          </rPr>
          <t xml:space="preserve">
</t>
        </r>
        <r>
          <rPr>
            <b/>
            <sz val="9"/>
            <color indexed="81"/>
            <rFont val="Tahoma"/>
            <family val="2"/>
          </rPr>
          <t>Invoice 007389</t>
        </r>
        <r>
          <rPr>
            <sz val="9"/>
            <color indexed="81"/>
            <rFont val="Tahoma"/>
            <family val="2"/>
          </rPr>
          <t xml:space="preserve">
- Planning consultancy services - post-submission - £5500</t>
        </r>
      </text>
    </comment>
    <comment ref="AR11" authorId="0" shapeId="0" xr:uid="{039217A7-1A69-429A-BACF-2E7D33ED6F59}">
      <text>
        <r>
          <rPr>
            <b/>
            <sz val="9"/>
            <color indexed="81"/>
            <rFont val="Tahoma"/>
            <family val="2"/>
          </rPr>
          <t>Eve Browning:</t>
        </r>
        <r>
          <rPr>
            <sz val="9"/>
            <color indexed="81"/>
            <rFont val="Tahoma"/>
            <family val="2"/>
          </rPr>
          <t xml:space="preserve">
Invoice 007618
Planning consultancy services - £18895.50</t>
        </r>
      </text>
    </comment>
    <comment ref="AS11" authorId="0" shapeId="0" xr:uid="{D1F41B5A-A23D-4A85-889E-E35C592D993F}">
      <text>
        <r>
          <rPr>
            <b/>
            <sz val="9"/>
            <color indexed="81"/>
            <rFont val="Tahoma"/>
            <family val="2"/>
          </rPr>
          <t>Eve Browning:</t>
        </r>
        <r>
          <rPr>
            <sz val="9"/>
            <color indexed="81"/>
            <rFont val="Tahoma"/>
            <family val="2"/>
          </rPr>
          <t xml:space="preserve">
Invoice 007679
Pre-examination planning - £9579.25</t>
        </r>
      </text>
    </comment>
    <comment ref="AT11" authorId="0" shapeId="0" xr:uid="{750AC9E1-5C8B-46F6-9303-C9AC539AB243}">
      <text>
        <r>
          <rPr>
            <b/>
            <sz val="9"/>
            <color indexed="81"/>
            <rFont val="Tahoma"/>
            <family val="2"/>
          </rPr>
          <t>Eve Browning:</t>
        </r>
        <r>
          <rPr>
            <sz val="9"/>
            <color indexed="81"/>
            <rFont val="Tahoma"/>
            <family val="2"/>
          </rPr>
          <t xml:space="preserve">
</t>
        </r>
        <r>
          <rPr>
            <b/>
            <sz val="9"/>
            <color indexed="81"/>
            <rFont val="Tahoma"/>
            <family val="2"/>
          </rPr>
          <t>Invoice 8007</t>
        </r>
        <r>
          <rPr>
            <sz val="9"/>
            <color indexed="81"/>
            <rFont val="Tahoma"/>
            <family val="2"/>
          </rPr>
          <t xml:space="preserve">
Planning consultancy - £22580
</t>
        </r>
        <r>
          <rPr>
            <b/>
            <sz val="9"/>
            <color indexed="81"/>
            <rFont val="Tahoma"/>
            <family val="2"/>
          </rPr>
          <t>Lanpro invoice 8012</t>
        </r>
        <r>
          <rPr>
            <sz val="9"/>
            <color indexed="81"/>
            <rFont val="Tahoma"/>
            <family val="2"/>
          </rPr>
          <t xml:space="preserve">
Printing of documents for PINS - £4280.69</t>
        </r>
      </text>
    </comment>
    <comment ref="AU11" authorId="0" shapeId="0" xr:uid="{531FF175-597E-491E-9D36-D3C880B2B36F}">
      <text>
        <r>
          <rPr>
            <b/>
            <sz val="9"/>
            <color indexed="81"/>
            <rFont val="Tahoma"/>
            <family val="2"/>
          </rPr>
          <t>Eve Browning:</t>
        </r>
        <r>
          <rPr>
            <sz val="9"/>
            <color indexed="81"/>
            <rFont val="Tahoma"/>
            <family val="2"/>
          </rPr>
          <t xml:space="preserve">
Invoice 008267
Planning consultancy services - £53054.50
1. Unanticipated tasks:
• ‘Change Application’ (accommodating changes to red line).
• TPO plans; S51 materials.
2. Volume of work required:
• Volume of work to prepare response to Relevant Reps.
• Volume of work preparing draft Statements of Common Ground.
</t>
        </r>
      </text>
    </comment>
    <comment ref="AV11" authorId="0" shapeId="0" xr:uid="{A5CC9D1A-60C3-4C69-A24C-FABDCC6265D8}">
      <text>
        <r>
          <rPr>
            <b/>
            <sz val="9"/>
            <color indexed="81"/>
            <rFont val="Tahoma"/>
            <family val="2"/>
          </rPr>
          <t>Eve Browning:</t>
        </r>
        <r>
          <rPr>
            <sz val="9"/>
            <color indexed="81"/>
            <rFont val="Tahoma"/>
            <family val="2"/>
          </rPr>
          <t xml:space="preserve">
Invoice 008339
Planning consultancy services - £55899.95</t>
        </r>
      </text>
    </comment>
    <comment ref="AW11" authorId="0" shapeId="0" xr:uid="{0CEC050E-1848-44A7-9042-BBC4FD7BB857}">
      <text>
        <r>
          <rPr>
            <b/>
            <sz val="9"/>
            <color indexed="81"/>
            <rFont val="Tahoma"/>
            <family val="2"/>
          </rPr>
          <t>Eve Browning:</t>
        </r>
        <r>
          <rPr>
            <sz val="9"/>
            <color indexed="81"/>
            <rFont val="Tahoma"/>
            <family val="2"/>
          </rPr>
          <t xml:space="preserve">
o Closing out RRs still – outstanding inputs from consultants and responding to Pinsents and IGP 
comments
o Progressing SoCGs – some delays due to consultant inputs and finalising after reviews
o Attending usual client and LPA meetings
o Preparing for examination – looking at programme and resources needed for examination and 
sessions around this.
o Reviewing/progressing revisions and additional documents required as a result of RRs etc.
o Supporting on change application for cable route corridor
£34147.45</t>
        </r>
      </text>
    </comment>
    <comment ref="AX11" authorId="0" shapeId="0" xr:uid="{245F5BC4-5CFD-47C4-9B6D-4644D9EF3B34}">
      <text>
        <r>
          <rPr>
            <b/>
            <sz val="9"/>
            <color indexed="81"/>
            <rFont val="Tahoma"/>
            <family val="2"/>
          </rPr>
          <t>Eve Browning:</t>
        </r>
        <r>
          <rPr>
            <sz val="9"/>
            <color indexed="81"/>
            <rFont val="Tahoma"/>
            <family val="2"/>
          </rPr>
          <t xml:space="preserve">
</t>
        </r>
        <r>
          <rPr>
            <b/>
            <sz val="9"/>
            <color indexed="81"/>
            <rFont val="Tahoma"/>
            <family val="2"/>
          </rPr>
          <t>Invoice 008757</t>
        </r>
        <r>
          <rPr>
            <sz val="9"/>
            <color indexed="81"/>
            <rFont val="Tahoma"/>
            <family val="2"/>
          </rPr>
          <t xml:space="preserve">
• Closing out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 Securing BESS expert on project
£33157.50
</t>
        </r>
        <r>
          <rPr>
            <b/>
            <sz val="9"/>
            <color indexed="81"/>
            <rFont val="Tahoma"/>
            <family val="2"/>
          </rPr>
          <t xml:space="preserve">Invoice 008769
</t>
        </r>
        <r>
          <rPr>
            <sz val="9"/>
            <color indexed="81"/>
            <rFont val="Tahoma"/>
            <family val="2"/>
          </rPr>
          <t>Expenses: Travel for mock trial (June), subsistence, printing, packaging &amp; posting - £1753.22</t>
        </r>
      </text>
    </comment>
    <comment ref="AY11" authorId="0" shapeId="0" xr:uid="{349E6E8A-F67C-4B57-89DE-C4B785A3B38A}">
      <text>
        <r>
          <rPr>
            <b/>
            <sz val="9"/>
            <color indexed="81"/>
            <rFont val="Tahoma"/>
            <family val="2"/>
          </rPr>
          <t>Eve Browning:</t>
        </r>
        <r>
          <rPr>
            <sz val="9"/>
            <color indexed="81"/>
            <rFont val="Tahoma"/>
            <family val="2"/>
          </rPr>
          <t xml:space="preserve">
Invoice 008965
• Closing out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 Securing BESS expert on project
£55206</t>
        </r>
      </text>
    </comment>
    <comment ref="AZ11" authorId="0" shapeId="0" xr:uid="{F00A86F6-4B13-4EC3-8CA4-B14A1C127301}">
      <text>
        <r>
          <rPr>
            <b/>
            <sz val="9"/>
            <color indexed="81"/>
            <rFont val="Tahoma"/>
            <family val="2"/>
          </rPr>
          <t>Eve Browning:</t>
        </r>
        <r>
          <rPr>
            <sz val="9"/>
            <color indexed="81"/>
            <rFont val="Tahoma"/>
            <family val="2"/>
          </rPr>
          <t xml:space="preserve">
Invoice 009167
• Closing out Relevant Reps response
• Progressing SoCGs
• Attending usual client and other project meetings
• Preparing for examination
• Updates to document trackers / actions lists / file structures
• Reviewing/progressing revisions and additional documents required as a result of RR’s
• Supporting on change application for cable route corridor
• Procedural Deadline A correspondence
• Securing BESS expert on project
Stage 5 - Examination £65,389.75 
Travelling Costs £406.01 </t>
        </r>
      </text>
    </comment>
    <comment ref="BA11" authorId="0" shapeId="0" xr:uid="{DB24994B-587C-4455-B7C4-5F961422D32D}">
      <text>
        <r>
          <rPr>
            <b/>
            <sz val="9"/>
            <color indexed="81"/>
            <rFont val="Tahoma"/>
            <family val="2"/>
          </rPr>
          <t>Eve Browning:</t>
        </r>
        <r>
          <rPr>
            <sz val="9"/>
            <color indexed="81"/>
            <rFont val="Tahoma"/>
            <family val="2"/>
          </rPr>
          <t xml:space="preserve">
Invoice 009368
Planning:
- Prep for examination
- Responding to deadline 2 requirements
£55586</t>
        </r>
      </text>
    </comment>
    <comment ref="BB11" authorId="0" shapeId="0" xr:uid="{4C4FA342-645E-4EBC-A31E-BA6CB462BCF9}">
      <text>
        <r>
          <rPr>
            <b/>
            <sz val="9"/>
            <color indexed="81"/>
            <rFont val="Tahoma"/>
            <family val="2"/>
          </rPr>
          <t>Eve Browning:</t>
        </r>
        <r>
          <rPr>
            <sz val="9"/>
            <color indexed="81"/>
            <rFont val="Tahoma"/>
            <family val="2"/>
          </rPr>
          <t xml:space="preserve">
</t>
        </r>
        <r>
          <rPr>
            <b/>
            <sz val="9"/>
            <color indexed="81"/>
            <rFont val="Tahoma"/>
            <family val="2"/>
          </rPr>
          <t>Invoice 09552 Lanpro</t>
        </r>
        <r>
          <rPr>
            <sz val="9"/>
            <color indexed="81"/>
            <rFont val="Tahoma"/>
            <family val="2"/>
          </rPr>
          <t xml:space="preserve">
Planning:
- Responding to Deadline 3
- Cottam hearings
- Regular Project management and meetings
£34736
Travelling costs - £376.20
</t>
        </r>
        <r>
          <rPr>
            <b/>
            <sz val="9"/>
            <color indexed="81"/>
            <rFont val="Tahoma"/>
            <family val="2"/>
          </rPr>
          <t xml:space="preserve">
Invoice SIN2401L064000001 </t>
        </r>
        <r>
          <rPr>
            <sz val="9"/>
            <color indexed="81"/>
            <rFont val="Tahoma"/>
            <family val="2"/>
          </rPr>
          <t xml:space="preserve">Gate Burton Energy Park Limited
£17148.75
Options and interrelationships reports
</t>
        </r>
      </text>
    </comment>
    <comment ref="BC11" authorId="0" shapeId="0" xr:uid="{5A6EC849-7079-4C1A-8D88-F8535AA35830}">
      <text>
        <r>
          <rPr>
            <b/>
            <sz val="9"/>
            <color indexed="81"/>
            <rFont val="Tahoma"/>
            <family val="2"/>
          </rPr>
          <t>Eve Browning:</t>
        </r>
        <r>
          <rPr>
            <sz val="9"/>
            <color indexed="81"/>
            <rFont val="Tahoma"/>
            <family val="2"/>
          </rPr>
          <t xml:space="preserve">
Invoice 009748
Planning:
- Examination preparation for D4
Stage 5 - Examination £34,735.00 
Travelling Costs £295.18
£35030.18
</t>
        </r>
      </text>
    </comment>
    <comment ref="BD11" authorId="0" shapeId="0" xr:uid="{317A61AA-69A1-45E8-AA7C-1F12AF656302}">
      <text>
        <r>
          <rPr>
            <b/>
            <sz val="9"/>
            <color indexed="81"/>
            <rFont val="Tahoma"/>
            <family val="2"/>
          </rPr>
          <t>Eve Browning:</t>
        </r>
        <r>
          <rPr>
            <sz val="9"/>
            <color indexed="81"/>
            <rFont val="Tahoma"/>
            <family val="2"/>
          </rPr>
          <t xml:space="preserve">
</t>
        </r>
        <r>
          <rPr>
            <b/>
            <sz val="9"/>
            <color indexed="81"/>
            <rFont val="Tahoma"/>
            <family val="2"/>
          </rPr>
          <t>Lanpro invoice 009969</t>
        </r>
        <r>
          <rPr>
            <sz val="9"/>
            <color indexed="81"/>
            <rFont val="Tahoma"/>
            <family val="2"/>
          </rPr>
          <t xml:space="preserve">
Planning:
- Examination prep for D5
- Preparation for Cottam change application
- Attendance of meetings, PM, co-ordination of technical disciplines
£50695
Volterra - Socio Economic Review Recharge £12,835.00
</t>
        </r>
        <r>
          <rPr>
            <b/>
            <sz val="9"/>
            <color indexed="81"/>
            <rFont val="Tahoma"/>
            <family val="2"/>
          </rPr>
          <t xml:space="preserve">
Invoice SIN2403L051000001 Low Carbon </t>
        </r>
        <r>
          <rPr>
            <sz val="9"/>
            <color indexed="81"/>
            <rFont val="Tahoma"/>
            <family val="2"/>
          </rPr>
          <t xml:space="preserve">
Inter-relationships and options report final payment - £7581</t>
        </r>
      </text>
    </comment>
    <comment ref="BE11" authorId="0" shapeId="0" xr:uid="{FEEF32EA-960A-42D3-A788-18532D03B64D}">
      <text>
        <r>
          <rPr>
            <b/>
            <sz val="9"/>
            <color indexed="81"/>
            <rFont val="Tahoma"/>
            <family val="2"/>
          </rPr>
          <t>Eve Browning:</t>
        </r>
        <r>
          <rPr>
            <sz val="9"/>
            <color indexed="81"/>
            <rFont val="Tahoma"/>
            <family val="2"/>
          </rPr>
          <t xml:space="preserve">
Invoice 010195
Planning:
- Close out of final submission for D6 for close of Cottam examination including SoCGs, closing 
statements and final deliverables
£15329</t>
        </r>
      </text>
    </comment>
    <comment ref="BI11" authorId="0" shapeId="0" xr:uid="{0FE72D4A-2755-47AB-B78E-D1B4447C324D}">
      <text>
        <r>
          <rPr>
            <b/>
            <sz val="9"/>
            <color indexed="81"/>
            <rFont val="Tahoma"/>
            <charset val="1"/>
          </rPr>
          <t>Eve Browning:</t>
        </r>
        <r>
          <rPr>
            <sz val="9"/>
            <color indexed="81"/>
            <rFont val="Tahoma"/>
            <charset val="1"/>
          </rPr>
          <t xml:space="preserve">
Coordinating, and compiling the fee quotes on requirement discharge for Cottam - £2986.50
SoS response
£10000
</t>
        </r>
      </text>
    </comment>
    <comment ref="C12" authorId="0" shapeId="0" xr:uid="{D0375E58-EE78-4B27-B15B-5D605EFA1A32}">
      <text>
        <r>
          <rPr>
            <b/>
            <sz val="9"/>
            <color indexed="81"/>
            <rFont val="Tahoma"/>
            <family val="2"/>
          </rPr>
          <t>Eve Browning:</t>
        </r>
        <r>
          <rPr>
            <sz val="9"/>
            <color indexed="81"/>
            <rFont val="Tahoma"/>
            <family val="2"/>
          </rPr>
          <t xml:space="preserve">
Budgeted £100k for help throughout the rest of Cottam examination but haven't been invoiced yet for this so don't know how much has been incurred to date</t>
        </r>
      </text>
    </comment>
    <comment ref="C13" authorId="0" shapeId="0" xr:uid="{D9130A23-D04B-4094-A8BB-65ED860B08A8}">
      <text>
        <r>
          <rPr>
            <b/>
            <sz val="9"/>
            <color indexed="81"/>
            <rFont val="Tahoma"/>
            <family val="2"/>
          </rPr>
          <t>Eve Browning:</t>
        </r>
        <r>
          <rPr>
            <sz val="9"/>
            <color indexed="81"/>
            <rFont val="Tahoma"/>
            <family val="2"/>
          </rPr>
          <t xml:space="preserve">
Raise individual POs when they confirm their costs</t>
        </r>
      </text>
    </comment>
    <comment ref="H13" authorId="0" shapeId="0" xr:uid="{97741D31-4E68-44FB-B78E-60141AACD679}">
      <text>
        <r>
          <rPr>
            <b/>
            <sz val="9"/>
            <color indexed="81"/>
            <rFont val="Tahoma"/>
            <family val="2"/>
          </rPr>
          <t>Eve Browning:</t>
        </r>
        <r>
          <rPr>
            <sz val="9"/>
            <color indexed="81"/>
            <rFont val="Tahoma"/>
            <family val="2"/>
          </rPr>
          <t xml:space="preserve">
£10k Notts + £12200 Lincs up to end stat consultation period</t>
        </r>
      </text>
    </comment>
    <comment ref="AH13" authorId="0" shapeId="0" xr:uid="{E492C637-4576-4FF6-AF99-29612F58F7FB}">
      <text>
        <r>
          <rPr>
            <b/>
            <sz val="9"/>
            <color indexed="81"/>
            <rFont val="Tahoma"/>
            <family val="2"/>
          </rPr>
          <t xml:space="preserve">Eve Browning:
</t>
        </r>
        <r>
          <rPr>
            <sz val="9"/>
            <color indexed="81"/>
            <rFont val="Tahoma"/>
            <family val="2"/>
          </rPr>
          <t>LCC invoice 10143931</t>
        </r>
      </text>
    </comment>
    <comment ref="AL13" authorId="0" shapeId="0" xr:uid="{99C00018-AB34-4C19-8F59-74E0759D6934}">
      <text>
        <r>
          <rPr>
            <b/>
            <sz val="9"/>
            <color indexed="81"/>
            <rFont val="Tahoma"/>
            <family val="2"/>
          </rPr>
          <t>Eve Browning:</t>
        </r>
        <r>
          <rPr>
            <sz val="9"/>
            <color indexed="81"/>
            <rFont val="Tahoma"/>
            <family val="2"/>
          </rPr>
          <t xml:space="preserve">
Lincs CC invoice 10150063
Landscape and council officer fees</t>
        </r>
      </text>
    </comment>
    <comment ref="AP13" authorId="0" shapeId="0" xr:uid="{CE399440-3317-4005-99FC-A46996578DEC}">
      <text>
        <r>
          <rPr>
            <b/>
            <sz val="9"/>
            <color indexed="81"/>
            <rFont val="Tahoma"/>
            <family val="2"/>
          </rPr>
          <t>Eve Browning:</t>
        </r>
        <r>
          <rPr>
            <sz val="9"/>
            <color indexed="81"/>
            <rFont val="Tahoma"/>
            <family val="2"/>
          </rPr>
          <t xml:space="preserve">
Lincolnshire County Council - invoice 10157832
Costs to submission - £13437
Nottinghamshire County Council - invoice 92816608
Costs to submission - £5665</t>
        </r>
      </text>
    </comment>
    <comment ref="AY13" authorId="0" shapeId="0" xr:uid="{9C139950-2E41-4608-B3E0-CC82E09857C6}">
      <text>
        <r>
          <rPr>
            <b/>
            <sz val="9"/>
            <color indexed="81"/>
            <rFont val="Tahoma"/>
            <family val="2"/>
          </rPr>
          <t>Eve Browning:</t>
        </r>
        <r>
          <rPr>
            <sz val="9"/>
            <color indexed="81"/>
            <rFont val="Tahoma"/>
            <family val="2"/>
          </rPr>
          <t xml:space="preserve">
LCC invoice 2004369969
- PPA costs January 2023 - October 2023 - £23585
</t>
        </r>
      </text>
    </comment>
    <comment ref="BF13" authorId="0" shapeId="0" xr:uid="{EE7FE31C-B14D-4C8B-9D9E-2763C2E1AA21}">
      <text>
        <r>
          <rPr>
            <b/>
            <sz val="9"/>
            <color indexed="81"/>
            <rFont val="Tahoma"/>
            <family val="2"/>
          </rPr>
          <t>Eve Browning:</t>
        </r>
        <r>
          <rPr>
            <sz val="9"/>
            <color indexed="81"/>
            <rFont val="Tahoma"/>
            <family val="2"/>
          </rPr>
          <t xml:space="preserve">
LCC estimate
- Legal Costs
        - examination period: £5000
- Landscape consultant costs 
    - examination period: £10000
- Council costs 
     - examination: 
               - Ongoing dialogue with lead and technical officers: £24570
               - SoCG: £10620
               - Archaeology: £4590
</t>
        </r>
        <r>
          <rPr>
            <b/>
            <sz val="9"/>
            <color indexed="81"/>
            <rFont val="Tahoma"/>
            <family val="2"/>
          </rPr>
          <t>LCC Invoice 2004382342</t>
        </r>
        <r>
          <rPr>
            <sz val="9"/>
            <color indexed="81"/>
            <rFont val="Tahoma"/>
            <family val="2"/>
          </rPr>
          <t xml:space="preserve">
PPA for examination period (October 2023-March 2024) - £33330
NCC Estimate
- Council costs 
     - pre-examination: 
               - Ongoing dialogue with lead and technical officers: £708
               - SoCG: £354
     - examination: 
               - Ongoing dialogue with lead and technical officers: £708
               - SoCG: £354
               - Attendance and response to hearing sessions: £1416
</t>
        </r>
      </text>
    </comment>
    <comment ref="BG13" authorId="0" shapeId="0" xr:uid="{8C2EE86C-CE3D-4437-A701-5C0610C630C5}">
      <text>
        <r>
          <rPr>
            <b/>
            <sz val="9"/>
            <color indexed="81"/>
            <rFont val="Tahoma"/>
            <family val="2"/>
          </rPr>
          <t>Eve Browning:</t>
        </r>
        <r>
          <rPr>
            <sz val="9"/>
            <color indexed="81"/>
            <rFont val="Tahoma"/>
            <family val="2"/>
          </rPr>
          <t xml:space="preserve">
West Lindsey examination costs?</t>
        </r>
      </text>
    </comment>
    <comment ref="C14" authorId="0" shapeId="0" xr:uid="{53700949-20AE-47BC-884A-9BBF62D8B367}">
      <text>
        <r>
          <rPr>
            <b/>
            <sz val="9"/>
            <color indexed="81"/>
            <rFont val="Tahoma"/>
            <family val="2"/>
          </rPr>
          <t>Eve Browning:</t>
        </r>
        <r>
          <rPr>
            <sz val="9"/>
            <color indexed="81"/>
            <rFont val="Tahoma"/>
            <family val="2"/>
          </rPr>
          <t xml:space="preserve">
Raise individual PO when PINS confirm their cost
</t>
        </r>
      </text>
    </comment>
    <comment ref="AO14" authorId="0" shapeId="0" xr:uid="{2FD71CF7-A290-4D6B-9557-6AA4D9A88F45}">
      <text>
        <r>
          <rPr>
            <b/>
            <sz val="9"/>
            <color indexed="81"/>
            <rFont val="Tahoma"/>
            <family val="2"/>
          </rPr>
          <t>Eve Browning:</t>
        </r>
        <r>
          <rPr>
            <sz val="9"/>
            <color indexed="81"/>
            <rFont val="Tahoma"/>
            <family val="2"/>
          </rPr>
          <t xml:space="preserve">
To be paid by BACS</t>
        </r>
      </text>
    </comment>
    <comment ref="AR14" authorId="0" shapeId="0" xr:uid="{1E1397D5-855A-4235-971E-18B1BC2CEE12}">
      <text>
        <r>
          <rPr>
            <b/>
            <sz val="9"/>
            <color indexed="81"/>
            <rFont val="Tahoma"/>
            <family val="2"/>
          </rPr>
          <t>Eve Browning:</t>
        </r>
        <r>
          <rPr>
            <sz val="9"/>
            <color indexed="81"/>
            <rFont val="Tahoma"/>
            <family val="2"/>
          </rPr>
          <t xml:space="preserve">
Invoice 1800004224
Pre-examination fee - £35844</t>
        </r>
      </text>
    </comment>
    <comment ref="AX14" authorId="0" shapeId="0" xr:uid="{1507239F-BCD7-4CE5-A380-A6AE99BD16A1}">
      <text>
        <r>
          <rPr>
            <b/>
            <sz val="9"/>
            <color indexed="81"/>
            <rFont val="Tahoma"/>
            <family val="2"/>
          </rPr>
          <t>Eve Browning:</t>
        </r>
        <r>
          <rPr>
            <sz val="9"/>
            <color indexed="81"/>
            <rFont val="Tahoma"/>
            <family val="2"/>
          </rPr>
          <t xml:space="preserve">
Invoice 1800004530
Cottam Solar Project initial examination fee - £229,760</t>
        </r>
      </text>
    </comment>
    <comment ref="BD14" authorId="0" shapeId="0" xr:uid="{FC8DF619-6AF0-41E7-9519-75215C386B88}">
      <text>
        <r>
          <rPr>
            <b/>
            <sz val="9"/>
            <color indexed="81"/>
            <rFont val="Tahoma"/>
            <family val="2"/>
          </rPr>
          <t>Eve Browning:</t>
        </r>
        <r>
          <rPr>
            <sz val="9"/>
            <color indexed="81"/>
            <rFont val="Tahoma"/>
            <family val="2"/>
          </rPr>
          <t xml:space="preserve">
Invoice 1800004835
Cottam Solar Project Final Examination Fee - £229760</t>
        </r>
      </text>
    </comment>
    <comment ref="C15" authorId="0" shapeId="0" xr:uid="{A0027160-3912-4F49-A505-B3D3449C9D37}">
      <text>
        <r>
          <rPr>
            <b/>
            <sz val="9"/>
            <color indexed="81"/>
            <rFont val="Tahoma"/>
            <family val="2"/>
          </rPr>
          <t>Eve Browning:</t>
        </r>
        <r>
          <rPr>
            <sz val="9"/>
            <color indexed="81"/>
            <rFont val="Tahoma"/>
            <family val="2"/>
          </rPr>
          <t xml:space="preserve">
Note: Lanpro issue different invoices for their 'planning', 'landscape' (LVIA) and 'heritage' teams so we get three separate monthly invoices from them. This row is just for heritage 
costs</t>
        </r>
      </text>
    </comment>
    <comment ref="AF15" authorId="0" shapeId="0" xr:uid="{434F4309-C0FB-4D28-87C8-76C548A7BEDB}">
      <text>
        <r>
          <rPr>
            <b/>
            <sz val="9"/>
            <color indexed="81"/>
            <rFont val="Tahoma"/>
            <family val="2"/>
          </rPr>
          <t>Eve Browning:</t>
        </r>
        <r>
          <rPr>
            <sz val="9"/>
            <color indexed="81"/>
            <rFont val="Tahoma"/>
            <family val="2"/>
          </rPr>
          <t xml:space="preserve">
Invoice 005232</t>
        </r>
      </text>
    </comment>
    <comment ref="AG15" authorId="0" shapeId="0" xr:uid="{24E20279-9A41-47E7-A156-F9DB91258D78}">
      <text>
        <r>
          <rPr>
            <b/>
            <sz val="9"/>
            <color indexed="81"/>
            <rFont val="Tahoma"/>
            <family val="2"/>
          </rPr>
          <t>Eve Browning:</t>
        </r>
        <r>
          <rPr>
            <sz val="9"/>
            <color indexed="81"/>
            <rFont val="Tahoma"/>
            <family val="2"/>
          </rPr>
          <t xml:space="preserve">
Invoice 005476</t>
        </r>
      </text>
    </comment>
    <comment ref="AH15" authorId="0" shapeId="0" xr:uid="{4E44F90D-7594-46D5-A36C-8187ACA57129}">
      <text>
        <r>
          <rPr>
            <b/>
            <sz val="9"/>
            <color indexed="81"/>
            <rFont val="Tahoma"/>
            <family val="2"/>
          </rPr>
          <t>Eve Browning:</t>
        </r>
        <r>
          <rPr>
            <sz val="9"/>
            <color indexed="81"/>
            <rFont val="Tahoma"/>
            <family val="2"/>
          </rPr>
          <t xml:space="preserve">
Invoice 5641</t>
        </r>
      </text>
    </comment>
    <comment ref="AI15" authorId="0" shapeId="0" xr:uid="{3958B58F-1410-499C-92B3-9F520711F87D}">
      <text>
        <r>
          <rPr>
            <b/>
            <sz val="9"/>
            <color indexed="81"/>
            <rFont val="Tahoma"/>
            <family val="2"/>
          </rPr>
          <t>Eve Browning:</t>
        </r>
        <r>
          <rPr>
            <sz val="9"/>
            <color indexed="81"/>
            <rFont val="Tahoma"/>
            <family val="2"/>
          </rPr>
          <t xml:space="preserve">
Invoice 005948
PEIR/WSI/Cable routes</t>
        </r>
      </text>
    </comment>
    <comment ref="AJ15" authorId="0" shapeId="0" xr:uid="{4BDDB20F-AEB8-4E8A-A853-276D21A47ED6}">
      <text>
        <r>
          <rPr>
            <b/>
            <sz val="9"/>
            <color indexed="81"/>
            <rFont val="Tahoma"/>
            <family val="2"/>
          </rPr>
          <t>Eve Browning:</t>
        </r>
        <r>
          <rPr>
            <sz val="9"/>
            <color indexed="81"/>
            <rFont val="Tahoma"/>
            <family val="2"/>
          </rPr>
          <t xml:space="preserve">
Invoice 006030</t>
        </r>
      </text>
    </comment>
    <comment ref="AK15" authorId="0" shapeId="0" xr:uid="{AFDB7C43-301A-4040-8D53-5BB5839A0368}">
      <text>
        <r>
          <rPr>
            <b/>
            <sz val="9"/>
            <color indexed="81"/>
            <rFont val="Tahoma"/>
            <family val="2"/>
          </rPr>
          <t>Eve Browning:</t>
        </r>
        <r>
          <rPr>
            <sz val="9"/>
            <color indexed="81"/>
            <rFont val="Tahoma"/>
            <family val="2"/>
          </rPr>
          <t xml:space="preserve">
Invoice 006194
Consultancy, ES, WSI and tendering</t>
        </r>
      </text>
    </comment>
    <comment ref="AL15" authorId="0" shapeId="0" xr:uid="{E8DCBAF4-6FE7-4809-AD22-F1E82C66A0D1}">
      <text>
        <r>
          <rPr>
            <b/>
            <sz val="9"/>
            <color indexed="81"/>
            <rFont val="Tahoma"/>
            <family val="2"/>
          </rPr>
          <t>Eve Browning:</t>
        </r>
        <r>
          <rPr>
            <sz val="9"/>
            <color indexed="81"/>
            <rFont val="Tahoma"/>
            <family val="2"/>
          </rPr>
          <t xml:space="preserve">
Lanpro invoice 006288
Alison Deegan aerial photo analysis
Lanpro invoice 006299
Desk Based Assessment £6,500.00 Consultancy £4,750.00 
Environmental Statement Chapter £10,000.00
Heritage Statement Scoping £1,200.00 
Written Scheme of Investigation and Tendering £2,000.00</t>
        </r>
      </text>
    </comment>
    <comment ref="AM15" authorId="0" shapeId="0" xr:uid="{28249370-1995-498A-8A0B-09BEAAE85FF2}">
      <text>
        <r>
          <rPr>
            <b/>
            <sz val="9"/>
            <color indexed="81"/>
            <rFont val="Tahoma"/>
            <family val="2"/>
          </rPr>
          <t>Eve Browning:</t>
        </r>
        <r>
          <rPr>
            <sz val="9"/>
            <color indexed="81"/>
            <rFont val="Tahoma"/>
            <family val="2"/>
          </rPr>
          <t xml:space="preserve">
</t>
        </r>
        <r>
          <rPr>
            <b/>
            <sz val="9"/>
            <color indexed="81"/>
            <rFont val="Tahoma"/>
            <family val="2"/>
          </rPr>
          <t>Invoice 006643</t>
        </r>
        <r>
          <rPr>
            <sz val="9"/>
            <color indexed="81"/>
            <rFont val="Tahoma"/>
            <family val="2"/>
          </rPr>
          <t xml:space="preserve">
Consultancy £3,000.00 
Environmental Statement £4,000.00 
Written Scheme of Investigation and Tendering £2,500.00 
AP &amp; LiDAR Interpretation £3,000.00 </t>
        </r>
      </text>
    </comment>
    <comment ref="AN15" authorId="0" shapeId="0" xr:uid="{1691A3CC-A738-4100-811A-14C9F4F673FF}">
      <text>
        <r>
          <rPr>
            <b/>
            <sz val="9"/>
            <color indexed="81"/>
            <rFont val="Tahoma"/>
            <family val="2"/>
          </rPr>
          <t>Eve Browning:</t>
        </r>
        <r>
          <rPr>
            <sz val="9"/>
            <color indexed="81"/>
            <rFont val="Tahoma"/>
            <family val="2"/>
          </rPr>
          <t xml:space="preserve">
Invoice 006826
AP and LiDAR Interpretation £3,000.00 
Consultancy £1,060.00 
Desk Based Assessments £5,500.00 
Environmental Statement £6,350.00 
Production of Heritage Statements, ES Chapter writing, GIS work, ZTVs, site visits, liaison with landscape team, formulating mitigation strategy and attendance at meetings £17,485.50
Written Scheme of Investigation and Tendering £1,300.00 </t>
        </r>
      </text>
    </comment>
    <comment ref="AO15" authorId="0" shapeId="0" xr:uid="{CFB0FBD2-7AF8-4C8A-853B-E29931D72CE1}">
      <text>
        <r>
          <rPr>
            <b/>
            <sz val="9"/>
            <color indexed="81"/>
            <rFont val="Tahoma"/>
            <family val="2"/>
          </rPr>
          <t>Eve Browning:</t>
        </r>
        <r>
          <rPr>
            <sz val="9"/>
            <color indexed="81"/>
            <rFont val="Tahoma"/>
            <family val="2"/>
          </rPr>
          <t xml:space="preserve">
Invoice 007025
Consultancy - £1173.75
DBAs - £4962.5
Env. Statement - £14947.5
Heritage works - £5399.5
WSI - £3985</t>
        </r>
      </text>
    </comment>
    <comment ref="AP15" authorId="0" shapeId="0" xr:uid="{968E1CBD-F223-459D-B078-B63B170C5BE9}">
      <text>
        <r>
          <rPr>
            <b/>
            <sz val="9"/>
            <color indexed="81"/>
            <rFont val="Tahoma"/>
            <family val="2"/>
          </rPr>
          <t>Eve Browning:</t>
        </r>
        <r>
          <rPr>
            <sz val="9"/>
            <color indexed="81"/>
            <rFont val="Tahoma"/>
            <family val="2"/>
          </rPr>
          <t xml:space="preserve">
</t>
        </r>
        <r>
          <rPr>
            <b/>
            <sz val="9"/>
            <color indexed="81"/>
            <rFont val="Tahoma"/>
            <family val="2"/>
          </rPr>
          <t>Invoice 007064 (Lanpro)</t>
        </r>
        <r>
          <rPr>
            <sz val="9"/>
            <color indexed="81"/>
            <rFont val="Tahoma"/>
            <family val="2"/>
          </rPr>
          <t xml:space="preserve">
Consultancy £487.50 
Environmental Statement £17,922.50
Heritage Works £455.00
Written Scheme of Investigation and Tendering £3,900.00
</t>
        </r>
        <r>
          <rPr>
            <b/>
            <sz val="9"/>
            <color indexed="81"/>
            <rFont val="Tahoma"/>
            <family val="2"/>
          </rPr>
          <t xml:space="preserve">Invoice 26 (Low Carbon)
</t>
        </r>
        <r>
          <rPr>
            <sz val="9"/>
            <color indexed="81"/>
            <rFont val="Tahoma"/>
            <family val="2"/>
          </rPr>
          <t xml:space="preserve">Aerial LIDAR data on the cable route for Gate Burton, West Burton and Cottam - £3520.41
</t>
        </r>
        <r>
          <rPr>
            <b/>
            <sz val="9"/>
            <color indexed="81"/>
            <rFont val="Tahoma"/>
            <family val="2"/>
          </rPr>
          <t>Invoice 007391</t>
        </r>
        <r>
          <rPr>
            <sz val="9"/>
            <color indexed="81"/>
            <rFont val="Tahoma"/>
            <family val="2"/>
          </rPr>
          <t xml:space="preserve">
Consultancy - £75
ES - £9920</t>
        </r>
      </text>
    </comment>
    <comment ref="AR15" authorId="0" shapeId="0" xr:uid="{C3DAE124-FD1B-4F8C-9778-DFEA2386FD3A}">
      <text>
        <r>
          <rPr>
            <b/>
            <sz val="9"/>
            <color indexed="81"/>
            <rFont val="Tahoma"/>
            <family val="2"/>
          </rPr>
          <t>Eve Browning:</t>
        </r>
        <r>
          <rPr>
            <sz val="9"/>
            <color indexed="81"/>
            <rFont val="Tahoma"/>
            <family val="2"/>
          </rPr>
          <t xml:space="preserve">
Invoice 007616
Consultancy and meetings - £3395</t>
        </r>
      </text>
    </comment>
    <comment ref="AS15" authorId="0" shapeId="0" xr:uid="{D17629CD-33FD-44D1-BB44-06F207236742}">
      <text>
        <r>
          <rPr>
            <b/>
            <sz val="9"/>
            <color indexed="81"/>
            <rFont val="Tahoma"/>
            <family val="2"/>
          </rPr>
          <t>Eve Browning:</t>
        </r>
        <r>
          <rPr>
            <sz val="9"/>
            <color indexed="81"/>
            <rFont val="Tahoma"/>
            <family val="2"/>
          </rPr>
          <t xml:space="preserve">
Invoice 007688
SoCG - £5437.50</t>
        </r>
      </text>
    </comment>
    <comment ref="AT15" authorId="0" shapeId="0" xr:uid="{CCF5DC87-5285-45D0-8790-0DB4B7910DAF}">
      <text>
        <r>
          <rPr>
            <b/>
            <sz val="9"/>
            <color indexed="81"/>
            <rFont val="Tahoma"/>
            <family val="2"/>
          </rPr>
          <t>Eve Browning:</t>
        </r>
        <r>
          <rPr>
            <sz val="9"/>
            <color indexed="81"/>
            <rFont val="Tahoma"/>
            <family val="2"/>
          </rPr>
          <t xml:space="preserve">
Invoice 8004
Archaeology/heritage pre-examination works - £8750</t>
        </r>
      </text>
    </comment>
    <comment ref="AU15" authorId="0" shapeId="0" xr:uid="{AFFBD74F-F179-487F-BEBB-A5BC40C96705}">
      <text>
        <r>
          <rPr>
            <b/>
            <sz val="9"/>
            <color indexed="81"/>
            <rFont val="Tahoma"/>
            <family val="2"/>
          </rPr>
          <t>Eve Browning:</t>
        </r>
        <r>
          <rPr>
            <sz val="9"/>
            <color indexed="81"/>
            <rFont val="Tahoma"/>
            <family val="2"/>
          </rPr>
          <t xml:space="preserve">
Invoice 008269
Archaeology/heritage pre-examination works - £8750</t>
        </r>
      </text>
    </comment>
    <comment ref="AV15" authorId="0" shapeId="0" xr:uid="{9C743421-DE82-4574-9ED4-BFC435EAA56F}">
      <text>
        <r>
          <rPr>
            <b/>
            <sz val="9"/>
            <color indexed="81"/>
            <rFont val="Tahoma"/>
            <family val="2"/>
          </rPr>
          <t>Eve Browning:</t>
        </r>
        <r>
          <rPr>
            <sz val="9"/>
            <color indexed="81"/>
            <rFont val="Tahoma"/>
            <family val="2"/>
          </rPr>
          <t xml:space="preserve">
Invoice 008337
Archaeology/heritage pre-examination works - £18685.00</t>
        </r>
      </text>
    </comment>
    <comment ref="AW15" authorId="0" shapeId="0" xr:uid="{FFE167EC-B685-4223-8720-791A52E0D7E2}">
      <text>
        <r>
          <rPr>
            <b/>
            <sz val="9"/>
            <color indexed="81"/>
            <rFont val="Tahoma"/>
            <family val="2"/>
          </rPr>
          <t>Eve Browning:</t>
        </r>
        <r>
          <rPr>
            <sz val="9"/>
            <color indexed="81"/>
            <rFont val="Tahoma"/>
            <family val="2"/>
          </rPr>
          <t xml:space="preserve">
Invoice 008696
Archaeology/heritage pre-examination works - £6825
Environmental sample processing - £13144.50</t>
        </r>
      </text>
    </comment>
    <comment ref="AX15" authorId="0" shapeId="0" xr:uid="{58BAB0F4-AD8D-482E-9E7E-4C8B41D5EB91}">
      <text>
        <r>
          <rPr>
            <b/>
            <sz val="9"/>
            <color indexed="81"/>
            <rFont val="Tahoma"/>
            <family val="2"/>
          </rPr>
          <t>Eve Browning:</t>
        </r>
        <r>
          <rPr>
            <sz val="9"/>
            <color indexed="81"/>
            <rFont val="Tahoma"/>
            <family val="2"/>
          </rPr>
          <t xml:space="preserve">
Invoice 008755
General Project Management (i.e. meetings, comms with Historic England)
Statements of Common Ground
Responses to Relevant Representations
Viewpoint locations for the Inspector 
Review of issued documents (i.e. Rule 6)
Review of other schemes (Tillbridge / Gate Burton)
Review of submitted HE documents
Consolidation / review of counter arguments (i.e. archaeology / heritage issues)
£6654.75</t>
        </r>
      </text>
    </comment>
    <comment ref="AY15" authorId="0" shapeId="0" xr:uid="{B1E3EF24-96A5-4BFB-8DB9-7D7DD3339539}">
      <text>
        <r>
          <rPr>
            <b/>
            <sz val="9"/>
            <color indexed="81"/>
            <rFont val="Tahoma"/>
            <family val="2"/>
          </rPr>
          <t>Eve Browning:</t>
        </r>
        <r>
          <rPr>
            <sz val="9"/>
            <color indexed="81"/>
            <rFont val="Tahoma"/>
            <family val="2"/>
          </rPr>
          <t xml:space="preserve">
Invoice 008967
- General Project Management (i.e. meetings, comms with Historic England)
- SoCG 
- Review of Documents
- Review of Preliminary Meeting 
- Review of issued documents (i.e. Rule 8)
- Review of Report on the interrelationship with other NSIPs
- Review of other schemes
- Shared Cable Route
£6950</t>
        </r>
      </text>
    </comment>
    <comment ref="AZ15" authorId="0" shapeId="0" xr:uid="{2A6300F2-C6CA-4DDC-8825-8E01A3785FEA}">
      <text>
        <r>
          <rPr>
            <b/>
            <sz val="9"/>
            <color indexed="81"/>
            <rFont val="Tahoma"/>
            <family val="2"/>
          </rPr>
          <t>Eve Browning:</t>
        </r>
        <r>
          <rPr>
            <sz val="9"/>
            <color indexed="81"/>
            <rFont val="Tahoma"/>
            <family val="2"/>
          </rPr>
          <t xml:space="preserve">
Invoice 009169
- General Project Management (i.e. meetings, comms with Historic England)
- SoCG 
- Review of Documents
- Review of Preliminary Meeting 
- Review of issued documents (i.e. Rule 8)
- Review of Report on the interrelationship with other NSIPs
- Geophysical Survey Management
Archaeology/Heritage Examination Works £8,656.00
Expenses - Printing &amp; Travel £115.35
</t>
        </r>
      </text>
    </comment>
    <comment ref="BA15" authorId="0" shapeId="0" xr:uid="{2B53A37F-6DE0-4E4F-8F22-B265D7951C4D}">
      <text>
        <r>
          <rPr>
            <b/>
            <sz val="9"/>
            <color indexed="81"/>
            <rFont val="Tahoma"/>
            <family val="2"/>
          </rPr>
          <t>Eve Browning:</t>
        </r>
        <r>
          <rPr>
            <sz val="9"/>
            <color indexed="81"/>
            <rFont val="Tahoma"/>
            <family val="2"/>
          </rPr>
          <t xml:space="preserve">
Invoice 009370
Historic Environment;
- General Project Management
- Liaison with Lincs LPA
- Liaison with Notts LPA
- SoCG
- Review of ES documents
- Deadline 2 documents
- Cable route changes
£16197.50</t>
        </r>
      </text>
    </comment>
    <comment ref="BB15" authorId="0" shapeId="0" xr:uid="{DA81592C-9F32-498E-9E29-FD9F9F13CB61}">
      <text>
        <r>
          <rPr>
            <b/>
            <sz val="9"/>
            <color indexed="81"/>
            <rFont val="Tahoma"/>
            <family val="2"/>
          </rPr>
          <t>Eve Browning:</t>
        </r>
        <r>
          <rPr>
            <sz val="9"/>
            <color indexed="81"/>
            <rFont val="Tahoma"/>
            <family val="2"/>
          </rPr>
          <t xml:space="preserve">
Invoice 009554
- General project management 
- Change of application report
- Prehearing preparation
- ISH2 and ISH3 hearings
- Update to IRR report
- Deadline 3 documents (SoCG, Evaluation Comparison Report etc)
- Review of ISH 2 and 4 summaries 
- Liaison with Lincs LPA
- Update to SoCG
£27675
Printing - £703.46
Total £28378.46</t>
        </r>
      </text>
    </comment>
    <comment ref="BC15" authorId="0" shapeId="0" xr:uid="{193E117C-220D-4B28-82A2-C8E0D3C00D08}">
      <text>
        <r>
          <rPr>
            <b/>
            <sz val="9"/>
            <color indexed="81"/>
            <rFont val="Tahoma"/>
            <family val="2"/>
          </rPr>
          <t>Eve Browning:</t>
        </r>
        <r>
          <rPr>
            <sz val="9"/>
            <color indexed="81"/>
            <rFont val="Tahoma"/>
            <family val="2"/>
          </rPr>
          <t xml:space="preserve">
Invoice 009750
Historic Environment:
- General Project Management
- WSIs
- EX2
- IRR Report
- Statement of common ground
£14250
Printing - £285.06
Total £14535.06</t>
        </r>
      </text>
    </comment>
    <comment ref="BD15" authorId="0" shapeId="0" xr:uid="{5DF9594B-0DA4-4D8C-BBE5-6A94757F4D6D}">
      <text>
        <r>
          <rPr>
            <b/>
            <sz val="9"/>
            <color indexed="81"/>
            <rFont val="Tahoma"/>
            <family val="2"/>
          </rPr>
          <t>Eve Browning:</t>
        </r>
        <r>
          <rPr>
            <sz val="9"/>
            <color indexed="81"/>
            <rFont val="Tahoma"/>
            <family val="2"/>
          </rPr>
          <t xml:space="preserve">
Invoice 009967
Historic Environment;
- General Project Management
- Comms with LHPT
- WSIs
- RRs
- CHPSs / SoCG
- Hearing
£11975</t>
        </r>
      </text>
    </comment>
    <comment ref="BE15" authorId="0" shapeId="0" xr:uid="{1454887A-A718-49AB-BF98-64509E0CFF28}">
      <text>
        <r>
          <rPr>
            <b/>
            <sz val="9"/>
            <color indexed="81"/>
            <rFont val="Tahoma"/>
            <family val="2"/>
          </rPr>
          <t>Eve Browning:</t>
        </r>
        <r>
          <rPr>
            <sz val="9"/>
            <color indexed="81"/>
            <rFont val="Tahoma"/>
            <family val="2"/>
          </rPr>
          <t xml:space="preserve">
Invoice 010197
Historic Environment;
- Close out of final submission for D6 for close of Cottam examination including SoCGs, closing 
statements and final deliverables.
£4090</t>
        </r>
      </text>
    </comment>
    <comment ref="M16" authorId="0" shapeId="0" xr:uid="{D2FE200F-6CF9-44BB-87E2-4A59809218BB}">
      <text>
        <r>
          <rPr>
            <b/>
            <sz val="9"/>
            <color indexed="81"/>
            <rFont val="Tahoma"/>
            <family val="2"/>
          </rPr>
          <t>Eve Browning:</t>
        </r>
        <r>
          <rPr>
            <sz val="9"/>
            <color indexed="81"/>
            <rFont val="Tahoma"/>
            <family val="2"/>
          </rPr>
          <t xml:space="preserve">
SES quote, only complete late October, half of total quote of £58.2k</t>
        </r>
      </text>
    </comment>
    <comment ref="N16" authorId="0" shapeId="0" xr:uid="{57143A0A-F3C5-445D-B0C7-29DBCD5F6681}">
      <text>
        <r>
          <rPr>
            <b/>
            <sz val="9"/>
            <color indexed="81"/>
            <rFont val="Tahoma"/>
            <family val="2"/>
          </rPr>
          <t>Eve Browning:</t>
        </r>
        <r>
          <rPr>
            <sz val="9"/>
            <color indexed="81"/>
            <rFont val="Tahoma"/>
            <family val="2"/>
          </rPr>
          <t xml:space="preserve">
Half of total quote from Ceres Rural - can complete by mid-August, using digger to dig soil pits, and includes all expenses.
Revising quote downwards if third parties used</t>
        </r>
      </text>
    </comment>
    <comment ref="O16" authorId="0" shapeId="0" xr:uid="{04B99366-D6CA-47D1-84C3-47F04D8588A7}">
      <text>
        <r>
          <rPr>
            <b/>
            <sz val="9"/>
            <color indexed="81"/>
            <rFont val="Tahoma"/>
            <family val="2"/>
          </rPr>
          <t>Eve Browning:</t>
        </r>
        <r>
          <rPr>
            <sz val="9"/>
            <color indexed="81"/>
            <rFont val="Tahoma"/>
            <family val="2"/>
          </rPr>
          <t xml:space="preserve">
Quote from LRA, includes battery storage area - six month lead time for completion</t>
        </r>
      </text>
    </comment>
    <comment ref="P16" authorId="0" shapeId="0" xr:uid="{61450E41-96F6-4F53-8F90-1E006221FB3D}">
      <text>
        <r>
          <rPr>
            <b/>
            <sz val="9"/>
            <color indexed="81"/>
            <rFont val="Tahoma"/>
            <family val="2"/>
          </rPr>
          <t>Eve Browning:</t>
        </r>
        <r>
          <rPr>
            <sz val="9"/>
            <color indexed="81"/>
            <rFont val="Tahoma"/>
            <family val="2"/>
          </rPr>
          <t xml:space="preserve">
Amet Property. Includes £1500 expenses. One report available early August, and one early Sept
</t>
        </r>
      </text>
    </comment>
    <comment ref="AF16" authorId="0" shapeId="0" xr:uid="{40073082-3211-4A63-BC7D-9B8F874EC148}">
      <text>
        <r>
          <rPr>
            <b/>
            <sz val="9"/>
            <color indexed="81"/>
            <rFont val="Tahoma"/>
            <family val="2"/>
          </rPr>
          <t>Eve Browning:</t>
        </r>
        <r>
          <rPr>
            <sz val="9"/>
            <color indexed="81"/>
            <rFont val="Tahoma"/>
            <family val="2"/>
          </rPr>
          <t xml:space="preserve">
Invoice INV-0915</t>
        </r>
      </text>
    </comment>
    <comment ref="AH16" authorId="0" shapeId="0" xr:uid="{C054A57B-8902-4E0F-A879-294C4EA6DEA8}">
      <text>
        <r>
          <rPr>
            <b/>
            <sz val="9"/>
            <color indexed="81"/>
            <rFont val="Tahoma"/>
            <family val="2"/>
          </rPr>
          <t>Eve Browning:</t>
        </r>
        <r>
          <rPr>
            <sz val="9"/>
            <color indexed="81"/>
            <rFont val="Tahoma"/>
            <family val="2"/>
          </rPr>
          <t xml:space="preserve">
Additional lab sampling and report updating
Invoice INV-0985</t>
        </r>
      </text>
    </comment>
    <comment ref="AI16" authorId="0" shapeId="0" xr:uid="{5CA8F841-37F6-46A6-80E8-E5BF2A810901}">
      <text>
        <r>
          <rPr>
            <b/>
            <sz val="9"/>
            <color indexed="81"/>
            <rFont val="Tahoma"/>
            <family val="2"/>
          </rPr>
          <t>Eve Browning:</t>
        </r>
        <r>
          <rPr>
            <sz val="9"/>
            <color indexed="81"/>
            <rFont val="Tahoma"/>
            <family val="2"/>
          </rPr>
          <t xml:space="preserve">
Daniel Baird peer review
Invoice INV-0077</t>
        </r>
      </text>
    </comment>
    <comment ref="AP17" authorId="0" shapeId="0" xr:uid="{06FF9330-FE49-4C7F-8BF4-FE8A7B051CD0}">
      <text>
        <r>
          <rPr>
            <b/>
            <sz val="9"/>
            <color indexed="81"/>
            <rFont val="Tahoma"/>
            <family val="2"/>
          </rPr>
          <t>Eve Browning:</t>
        </r>
        <r>
          <rPr>
            <sz val="9"/>
            <color indexed="81"/>
            <rFont val="Tahoma"/>
            <family val="2"/>
          </rPr>
          <t xml:space="preserve">
Invoice INV-0087
Meetings - £1000
ES Chapter - £2000
Farming circumstances baseline - £1000</t>
        </r>
      </text>
    </comment>
    <comment ref="AU17" authorId="0" shapeId="0" xr:uid="{8AEAB861-26FD-4817-975B-4C1A6FFC7F78}">
      <text>
        <r>
          <rPr>
            <b/>
            <sz val="9"/>
            <color indexed="81"/>
            <rFont val="Tahoma"/>
            <family val="2"/>
          </rPr>
          <t>Eve Browning:</t>
        </r>
        <r>
          <rPr>
            <sz val="9"/>
            <color indexed="81"/>
            <rFont val="Tahoma"/>
            <family val="2"/>
          </rPr>
          <t xml:space="preserve">
Invoice INV-097
Relevant Representations in April and May £2,700.00
Practice Hearing £1,350.00
Train £177.00
Meals &amp; Subsistence £10.70</t>
        </r>
      </text>
    </comment>
    <comment ref="M18" authorId="0" shapeId="0" xr:uid="{9FF7F3AB-E8AF-4762-8084-9454991503A0}">
      <text>
        <r>
          <rPr>
            <b/>
            <sz val="9"/>
            <color indexed="81"/>
            <rFont val="Tahoma"/>
            <family val="2"/>
          </rPr>
          <t>Eve Browning:</t>
        </r>
        <r>
          <rPr>
            <sz val="9"/>
            <color indexed="81"/>
            <rFont val="Tahoma"/>
            <family val="2"/>
          </rPr>
          <t xml:space="preserve">
Sensat. Note: £2225 per month to be added for platform from month 4 £12000 added for access point surveys + £3750 added for 3D CAD production</t>
        </r>
      </text>
    </comment>
    <comment ref="N18" authorId="0" shapeId="0" xr:uid="{42A90E1F-F706-490D-A4DA-0B92F0BE19EA}">
      <text>
        <r>
          <rPr>
            <b/>
            <sz val="9"/>
            <color indexed="81"/>
            <rFont val="Tahoma"/>
            <family val="2"/>
          </rPr>
          <t>Eve Browning:</t>
        </r>
        <r>
          <rPr>
            <sz val="9"/>
            <color indexed="81"/>
            <rFont val="Tahoma"/>
            <family val="2"/>
          </rPr>
          <t xml:space="preserve">
Quote from ALS. Drone survey to define project boundaries, site levels and salient features which might affect the design of the
project.
Further surveys may be required at a later date to help complete highways design or inform more detailed
arboricultural/habitat assessments.</t>
        </r>
      </text>
    </comment>
    <comment ref="O18" authorId="0" shapeId="0" xr:uid="{B1F21286-47F1-48D7-89BF-400D11C97152}">
      <text>
        <r>
          <rPr>
            <b/>
            <sz val="9"/>
            <color indexed="81"/>
            <rFont val="Tahoma"/>
            <family val="2"/>
          </rPr>
          <t>Eve Browning:</t>
        </r>
        <r>
          <rPr>
            <sz val="9"/>
            <color indexed="81"/>
            <rFont val="Tahoma"/>
            <family val="2"/>
          </rPr>
          <t xml:space="preserve">
Half of total quote from Flythru, including updated costs to process output into dwg files</t>
        </r>
      </text>
    </comment>
    <comment ref="P18" authorId="0" shapeId="0" xr:uid="{F0A064C2-EB11-4FB2-8E76-D7EF066A8D8D}">
      <text>
        <r>
          <rPr>
            <b/>
            <sz val="9"/>
            <color indexed="81"/>
            <rFont val="Tahoma"/>
            <family val="2"/>
          </rPr>
          <t>Eve Browning:</t>
        </r>
        <r>
          <rPr>
            <sz val="9"/>
            <color indexed="81"/>
            <rFont val="Tahoma"/>
            <family val="2"/>
          </rPr>
          <t xml:space="preserve">
Combined quote from Sumo and AerialCam. Additional £11k estimate for completing terrestrial surveying at a later date
Battery site not included</t>
        </r>
      </text>
    </comment>
    <comment ref="AC18" authorId="0" shapeId="0" xr:uid="{24FD03E6-7434-4061-844C-61382351D723}">
      <text>
        <r>
          <rPr>
            <b/>
            <sz val="9"/>
            <color indexed="81"/>
            <rFont val="Tahoma"/>
            <family val="2"/>
          </rPr>
          <t>Eve Browning:</t>
        </r>
        <r>
          <rPr>
            <sz val="9"/>
            <color indexed="81"/>
            <rFont val="Tahoma"/>
            <family val="2"/>
          </rPr>
          <t xml:space="preserve">
3D CAD</t>
        </r>
      </text>
    </comment>
    <comment ref="AD18" authorId="0" shapeId="0" xr:uid="{4D8225A0-3C7C-4E08-90D5-818DC7FEA988}">
      <text>
        <r>
          <rPr>
            <b/>
            <sz val="9"/>
            <color indexed="81"/>
            <rFont val="Tahoma"/>
            <family val="2"/>
          </rPr>
          <t>Eve Browning:</t>
        </r>
        <r>
          <rPr>
            <sz val="9"/>
            <color indexed="81"/>
            <rFont val="Tahoma"/>
            <family val="2"/>
          </rPr>
          <t xml:space="preserve">
12k access point survey</t>
        </r>
      </text>
    </comment>
    <comment ref="AJ18" authorId="0" shapeId="0" xr:uid="{F7B13DCA-D099-47A7-B621-B0F701C882AA}">
      <text>
        <r>
          <rPr>
            <b/>
            <sz val="9"/>
            <color indexed="81"/>
            <rFont val="Tahoma"/>
            <family val="2"/>
          </rPr>
          <t>Eve Browning:</t>
        </r>
        <r>
          <rPr>
            <sz val="9"/>
            <color indexed="81"/>
            <rFont val="Tahoma"/>
            <family val="2"/>
          </rPr>
          <t xml:space="preserve">
Stow village S bends
Invoice 43553</t>
        </r>
      </text>
    </comment>
    <comment ref="C19" authorId="0" shapeId="0" xr:uid="{BAC3958C-683D-40B2-BEBD-5E9B3824437D}">
      <text>
        <r>
          <rPr>
            <b/>
            <sz val="9"/>
            <color indexed="81"/>
            <rFont val="Tahoma"/>
            <family val="2"/>
          </rPr>
          <t>Eve Browning:</t>
        </r>
        <r>
          <rPr>
            <sz val="9"/>
            <color indexed="81"/>
            <rFont val="Tahoma"/>
            <family val="2"/>
          </rPr>
          <t xml:space="preserve">
Delta Simons also invoice us for contaminated land (ground conditions) work</t>
        </r>
      </text>
    </comment>
    <comment ref="M19" authorId="0" shapeId="0" xr:uid="{7233CB75-6614-4FFB-9BE8-69CB626BFDFB}">
      <text>
        <r>
          <rPr>
            <b/>
            <sz val="9"/>
            <color indexed="81"/>
            <rFont val="Tahoma"/>
            <family val="2"/>
          </rPr>
          <t>Eve Browning:</t>
        </r>
        <r>
          <rPr>
            <sz val="9"/>
            <color indexed="81"/>
            <rFont val="Tahoma"/>
            <family val="2"/>
          </rPr>
          <t xml:space="preserve">
Quote from Delta Simons for initial flood risk screening assessment only is £2700 (Eve added additional £450 for battery site).
Secondary quote for further works comes to £21500. Eve added £2k for battery FRA</t>
        </r>
      </text>
    </comment>
    <comment ref="N19" authorId="0" shapeId="0" xr:uid="{570F352B-8D78-4F3C-8A8D-B28973854E76}">
      <text>
        <r>
          <rPr>
            <b/>
            <sz val="9"/>
            <color indexed="81"/>
            <rFont val="Tahoma"/>
            <family val="2"/>
          </rPr>
          <t>Eve Browning:</t>
        </r>
        <r>
          <rPr>
            <sz val="9"/>
            <color indexed="81"/>
            <rFont val="Tahoma"/>
            <family val="2"/>
          </rPr>
          <t xml:space="preserve">
Quote from Rossi Long</t>
        </r>
      </text>
    </comment>
    <comment ref="AI19" authorId="0" shapeId="0" xr:uid="{AE68A9E5-50E7-4E07-8B39-657B851EC821}">
      <text>
        <r>
          <rPr>
            <b/>
            <sz val="9"/>
            <color indexed="81"/>
            <rFont val="Tahoma"/>
            <family val="2"/>
          </rPr>
          <t>Eve Browning:</t>
        </r>
        <r>
          <rPr>
            <sz val="9"/>
            <color indexed="81"/>
            <rFont val="Tahoma"/>
            <family val="2"/>
          </rPr>
          <t xml:space="preserve">
Invoice DS033519</t>
        </r>
      </text>
    </comment>
    <comment ref="AJ19" authorId="0" shapeId="0" xr:uid="{96B54C08-84F2-4897-A806-2BFD787EB2CA}">
      <text>
        <r>
          <rPr>
            <b/>
            <sz val="9"/>
            <color indexed="81"/>
            <rFont val="Tahoma"/>
            <family val="2"/>
          </rPr>
          <t>Eve Browning:</t>
        </r>
        <r>
          <rPr>
            <sz val="9"/>
            <color indexed="81"/>
            <rFont val="Tahoma"/>
            <family val="2"/>
          </rPr>
          <t xml:space="preserve">
Invoice DS033745
Attendance at public consultation</t>
        </r>
      </text>
    </comment>
    <comment ref="AK19" authorId="0" shapeId="0" xr:uid="{2685C329-F219-4FCD-A552-340D59886325}">
      <text>
        <r>
          <rPr>
            <b/>
            <sz val="9"/>
            <color indexed="81"/>
            <rFont val="Tahoma"/>
            <family val="2"/>
          </rPr>
          <t>Eve Browning:</t>
        </r>
        <r>
          <rPr>
            <sz val="9"/>
            <color indexed="81"/>
            <rFont val="Tahoma"/>
            <family val="2"/>
          </rPr>
          <t xml:space="preserve">
Invoice DS034011</t>
        </r>
      </text>
    </comment>
    <comment ref="AP19" authorId="0" shapeId="0" xr:uid="{0E17A5E6-DB97-4C26-A429-303F2B2BD4D7}">
      <text>
        <r>
          <rPr>
            <b/>
            <sz val="9"/>
            <color indexed="81"/>
            <rFont val="Tahoma"/>
            <family val="2"/>
          </rPr>
          <t>Eve Browning:</t>
        </r>
        <r>
          <rPr>
            <sz val="9"/>
            <color indexed="81"/>
            <rFont val="Tahoma"/>
            <family val="2"/>
          </rPr>
          <t xml:space="preserve">
Invoice 171883
WFD Report - £2200</t>
        </r>
      </text>
    </comment>
    <comment ref="AQ19" authorId="0" shapeId="0" xr:uid="{35F88E31-C352-49D4-B10D-AF51E5D36081}">
      <text>
        <r>
          <rPr>
            <b/>
            <sz val="9"/>
            <color indexed="81"/>
            <rFont val="Tahoma"/>
            <family val="2"/>
          </rPr>
          <t>Eve Browning:</t>
        </r>
        <r>
          <rPr>
            <sz val="9"/>
            <color indexed="81"/>
            <rFont val="Tahoma"/>
            <family val="2"/>
          </rPr>
          <t xml:space="preserve">
Invoice 174708
Meetings £630</t>
        </r>
      </text>
    </comment>
    <comment ref="AV19" authorId="0" shapeId="0" xr:uid="{F68AD9A2-297A-4DF4-B1FF-7D7BD5EF8D02}">
      <text>
        <r>
          <rPr>
            <b/>
            <sz val="9"/>
            <color indexed="81"/>
            <rFont val="Tahoma"/>
            <family val="2"/>
          </rPr>
          <t>Eve Browning:</t>
        </r>
        <r>
          <rPr>
            <sz val="9"/>
            <color indexed="81"/>
            <rFont val="Tahoma"/>
            <family val="2"/>
          </rPr>
          <t xml:space="preserve">
Invoice 91515
SoCG and RR responses - £720</t>
        </r>
      </text>
    </comment>
    <comment ref="AY19" authorId="0" shapeId="0" xr:uid="{4DD46B57-7C5C-40FB-9531-EC3AEAF7729F}">
      <text>
        <r>
          <rPr>
            <b/>
            <sz val="9"/>
            <color indexed="81"/>
            <rFont val="Tahoma"/>
            <family val="2"/>
          </rPr>
          <t>Eve Browning:</t>
        </r>
        <r>
          <rPr>
            <sz val="9"/>
            <color indexed="81"/>
            <rFont val="Tahoma"/>
            <family val="2"/>
          </rPr>
          <t xml:space="preserve">
Invoice 189756
RR and SoCG work - £2875</t>
        </r>
      </text>
    </comment>
    <comment ref="BF19" authorId="0" shapeId="0" xr:uid="{4057F8B8-3708-4C58-AB42-F361469C4674}">
      <text>
        <r>
          <rPr>
            <b/>
            <sz val="9"/>
            <color indexed="81"/>
            <rFont val="Tahoma"/>
            <family val="2"/>
          </rPr>
          <t>Eve Browning:</t>
        </r>
        <r>
          <rPr>
            <sz val="9"/>
            <color indexed="81"/>
            <rFont val="Tahoma"/>
            <family val="2"/>
          </rPr>
          <t xml:space="preserve">
Mabbett invoice 606019
Examination fees £3125</t>
        </r>
      </text>
    </comment>
    <comment ref="BG19" authorId="0" shapeId="0" xr:uid="{C7881191-A7BF-46C0-A40E-ADBD8359FA36}">
      <text>
        <r>
          <rPr>
            <b/>
            <sz val="9"/>
            <color indexed="81"/>
            <rFont val="Tahoma"/>
            <family val="2"/>
          </rPr>
          <t>Eve Browning:</t>
        </r>
        <r>
          <rPr>
            <sz val="9"/>
            <color indexed="81"/>
            <rFont val="Tahoma"/>
            <family val="2"/>
          </rPr>
          <t xml:space="preserve">
Modelling 60 year flood</t>
        </r>
      </text>
    </comment>
    <comment ref="I20" authorId="0" shapeId="0" xr:uid="{D40F4E06-6DEE-49C5-859A-B2846AB289E6}">
      <text>
        <r>
          <rPr>
            <b/>
            <sz val="9"/>
            <color indexed="81"/>
            <rFont val="Tahoma"/>
            <family val="2"/>
          </rPr>
          <t>Eve Browning:</t>
        </r>
        <r>
          <rPr>
            <sz val="9"/>
            <color indexed="81"/>
            <rFont val="Tahoma"/>
            <family val="2"/>
          </rPr>
          <t xml:space="preserve">
£291,600 West Burton quote
Now includes for cable route survey</t>
        </r>
      </text>
    </comment>
    <comment ref="M20" authorId="0" shapeId="0" xr:uid="{2A2E5831-2DE4-4E09-BC99-1C35A853FFA9}">
      <text>
        <r>
          <rPr>
            <b/>
            <sz val="9"/>
            <color indexed="81"/>
            <rFont val="Tahoma"/>
            <family val="2"/>
          </rPr>
          <t>Eve Browning:</t>
        </r>
        <r>
          <rPr>
            <sz val="9"/>
            <color indexed="81"/>
            <rFont val="Tahoma"/>
            <family val="2"/>
          </rPr>
          <t xml:space="preserve">
1145ha at £215 per hectare.
400ha/month surveyed - approx £86k per month for cash flow
</t>
        </r>
      </text>
    </comment>
    <comment ref="N20" authorId="0" shapeId="0" xr:uid="{F6820FD4-26F6-4151-A6A7-D87106311631}">
      <text>
        <r>
          <rPr>
            <b/>
            <sz val="9"/>
            <color indexed="81"/>
            <rFont val="Tahoma"/>
            <family val="2"/>
          </rPr>
          <t>Eve Browning:</t>
        </r>
        <r>
          <rPr>
            <sz val="9"/>
            <color indexed="81"/>
            <rFont val="Tahoma"/>
            <family val="2"/>
          </rPr>
          <t xml:space="preserve">
Latest Lanpro estimate 21/12/21</t>
        </r>
      </text>
    </comment>
    <comment ref="AG20" authorId="0" shapeId="0" xr:uid="{D9DB6F65-3238-47B1-ABC4-02C4B02FD7C2}">
      <text>
        <r>
          <rPr>
            <b/>
            <sz val="9"/>
            <color indexed="81"/>
            <rFont val="Tahoma"/>
            <family val="2"/>
          </rPr>
          <t>Eve Browning:</t>
        </r>
        <r>
          <rPr>
            <sz val="9"/>
            <color indexed="81"/>
            <rFont val="Tahoma"/>
            <family val="2"/>
          </rPr>
          <t xml:space="preserve">
Invoice 005476</t>
        </r>
      </text>
    </comment>
    <comment ref="AH20" authorId="0" shapeId="0" xr:uid="{06180259-4856-45C4-B02D-BD180F99A728}">
      <text>
        <r>
          <rPr>
            <b/>
            <sz val="9"/>
            <color indexed="81"/>
            <rFont val="Tahoma"/>
            <family val="2"/>
          </rPr>
          <t>Eve Browning:</t>
        </r>
        <r>
          <rPr>
            <sz val="9"/>
            <color indexed="81"/>
            <rFont val="Tahoma"/>
            <family val="2"/>
          </rPr>
          <t xml:space="preserve">
005641</t>
        </r>
      </text>
    </comment>
    <comment ref="AI20" authorId="0" shapeId="0" xr:uid="{91B34E51-C8D9-4F7F-8E00-DB1F45291EA0}">
      <text>
        <r>
          <rPr>
            <b/>
            <sz val="9"/>
            <color indexed="81"/>
            <rFont val="Tahoma"/>
            <family val="2"/>
          </rPr>
          <t>Eve Browning:</t>
        </r>
        <r>
          <rPr>
            <sz val="9"/>
            <color indexed="81"/>
            <rFont val="Tahoma"/>
            <family val="2"/>
          </rPr>
          <t xml:space="preserve">
Invoice 005948</t>
        </r>
      </text>
    </comment>
    <comment ref="AJ20" authorId="0" shapeId="0" xr:uid="{FCB4B4D4-AA76-4284-AC2D-94B1C43A008D}">
      <text>
        <r>
          <rPr>
            <b/>
            <sz val="9"/>
            <color indexed="81"/>
            <rFont val="Tahoma"/>
            <family val="2"/>
          </rPr>
          <t>Eve Browning:</t>
        </r>
        <r>
          <rPr>
            <sz val="9"/>
            <color indexed="81"/>
            <rFont val="Tahoma"/>
            <family val="2"/>
          </rPr>
          <t xml:space="preserve">
Invoice 006030 - £387.5
Invoice 006087 - £18805.5</t>
        </r>
      </text>
    </comment>
    <comment ref="AK20" authorId="0" shapeId="0" xr:uid="{11898759-0617-4174-BCE2-C91DBC61B709}">
      <text>
        <r>
          <rPr>
            <b/>
            <sz val="9"/>
            <color indexed="81"/>
            <rFont val="Tahoma"/>
            <family val="2"/>
          </rPr>
          <t>Eve Browning:</t>
        </r>
        <r>
          <rPr>
            <sz val="9"/>
            <color indexed="81"/>
            <rFont val="Tahoma"/>
            <family val="2"/>
          </rPr>
          <t xml:space="preserve">
Invoice 006292</t>
        </r>
      </text>
    </comment>
    <comment ref="AM20" authorId="0" shapeId="0" xr:uid="{CE1C27CE-DD5E-4A7C-BFD8-2AC981345823}">
      <text>
        <r>
          <rPr>
            <b/>
            <sz val="9"/>
            <color indexed="81"/>
            <rFont val="Tahoma"/>
            <family val="2"/>
          </rPr>
          <t>Eve Browning:</t>
        </r>
        <r>
          <rPr>
            <sz val="9"/>
            <color indexed="81"/>
            <rFont val="Tahoma"/>
            <family val="2"/>
          </rPr>
          <t xml:space="preserve">
Invoice 006640</t>
        </r>
      </text>
    </comment>
    <comment ref="AN20" authorId="0" shapeId="0" xr:uid="{3D5E06A6-07B2-4F93-98D4-2EAD716F07F7}">
      <text>
        <r>
          <rPr>
            <b/>
            <sz val="9"/>
            <color indexed="81"/>
            <rFont val="Tahoma"/>
            <family val="2"/>
          </rPr>
          <t>Eve Browning:</t>
        </r>
        <r>
          <rPr>
            <sz val="9"/>
            <color indexed="81"/>
            <rFont val="Tahoma"/>
            <family val="2"/>
          </rPr>
          <t xml:space="preserve">
Invoice 006835</t>
        </r>
      </text>
    </comment>
    <comment ref="AZ20" authorId="0" shapeId="0" xr:uid="{4CF5102D-050F-4EF3-BDC8-4AD54C86A4FC}">
      <text>
        <r>
          <rPr>
            <b/>
            <sz val="9"/>
            <color indexed="81"/>
            <rFont val="Tahoma"/>
            <family val="2"/>
          </rPr>
          <t>Eve Browning:</t>
        </r>
        <r>
          <rPr>
            <sz val="9"/>
            <color indexed="81"/>
            <rFont val="Tahoma"/>
            <family val="2"/>
          </rPr>
          <t xml:space="preserve">
Lanpro invoice Invoice 009169
Geophysical Survey Normanby by Stow £2,025.00</t>
        </r>
      </text>
    </comment>
    <comment ref="AG21" authorId="0" shapeId="0" xr:uid="{51D71F74-3FB3-4DC6-9486-4E63D963C9EF}">
      <text>
        <r>
          <rPr>
            <b/>
            <sz val="9"/>
            <color indexed="81"/>
            <rFont val="Tahoma"/>
            <family val="2"/>
          </rPr>
          <t>Eve Browning:</t>
        </r>
        <r>
          <rPr>
            <sz val="9"/>
            <color indexed="81"/>
            <rFont val="Tahoma"/>
            <family val="2"/>
          </rPr>
          <t xml:space="preserve">
Cable route overlap area. Invoice INV038047</t>
        </r>
      </text>
    </comment>
    <comment ref="AH21" authorId="0" shapeId="0" xr:uid="{F48BFA20-FB73-45A6-B37D-1EAD75E607CD}">
      <text>
        <r>
          <rPr>
            <b/>
            <sz val="9"/>
            <color indexed="81"/>
            <rFont val="Tahoma"/>
            <family val="2"/>
          </rPr>
          <t>Eve Browning:</t>
        </r>
        <r>
          <rPr>
            <sz val="9"/>
            <color indexed="81"/>
            <rFont val="Tahoma"/>
            <family val="2"/>
          </rPr>
          <t xml:space="preserve">
Invoice INV038199</t>
        </r>
      </text>
    </comment>
    <comment ref="AK21" authorId="0" shapeId="0" xr:uid="{9A89822F-E183-4A7E-930A-8FF2C2F0A22D}">
      <text>
        <r>
          <rPr>
            <b/>
            <sz val="9"/>
            <color indexed="81"/>
            <rFont val="Tahoma"/>
            <family val="2"/>
          </rPr>
          <t>Eve Browning:</t>
        </r>
        <r>
          <rPr>
            <sz val="9"/>
            <color indexed="81"/>
            <rFont val="Tahoma"/>
            <family val="2"/>
          </rPr>
          <t xml:space="preserve">
Lanpro invoice 006292 - project management</t>
        </r>
      </text>
    </comment>
    <comment ref="AM21" authorId="0" shapeId="0" xr:uid="{C27C5A2A-7D5F-4273-B03B-138CC0C1FBFD}">
      <text>
        <r>
          <rPr>
            <b/>
            <sz val="9"/>
            <color indexed="81"/>
            <rFont val="Tahoma"/>
            <family val="2"/>
          </rPr>
          <t>Eve Browning:</t>
        </r>
        <r>
          <rPr>
            <sz val="9"/>
            <color indexed="81"/>
            <rFont val="Tahoma"/>
            <family val="2"/>
          </rPr>
          <t xml:space="preserve">
Invoice 006640 - Lanpro
Combined cable route proejct management fee - £3700</t>
        </r>
      </text>
    </comment>
    <comment ref="AN21" authorId="0" shapeId="0" xr:uid="{415E99FA-3323-4142-A49B-8EEE9A3C8074}">
      <text>
        <r>
          <rPr>
            <b/>
            <sz val="9"/>
            <color indexed="81"/>
            <rFont val="Tahoma"/>
            <family val="2"/>
          </rPr>
          <t>Eve Browning:</t>
        </r>
        <r>
          <rPr>
            <sz val="9"/>
            <color indexed="81"/>
            <rFont val="Tahoma"/>
            <family val="2"/>
          </rPr>
          <t xml:space="preserve">
Invoice 006835</t>
        </r>
      </text>
    </comment>
    <comment ref="AO21" authorId="0" shapeId="0" xr:uid="{8B4EA1BA-C699-4249-90CF-6D2C46EF2E99}">
      <text>
        <r>
          <rPr>
            <b/>
            <sz val="9"/>
            <color indexed="81"/>
            <rFont val="Tahoma"/>
            <family val="2"/>
          </rPr>
          <t>Eve Browning:</t>
        </r>
        <r>
          <rPr>
            <sz val="9"/>
            <color indexed="81"/>
            <rFont val="Tahoma"/>
            <family val="2"/>
          </rPr>
          <t xml:space="preserve">
Invoice INV039184</t>
        </r>
      </text>
    </comment>
    <comment ref="M22" authorId="0" shapeId="0" xr:uid="{F5D7895C-40DB-4766-A7C9-572D93A8C554}">
      <text>
        <r>
          <rPr>
            <b/>
            <sz val="9"/>
            <color indexed="81"/>
            <rFont val="Tahoma"/>
            <family val="2"/>
          </rPr>
          <t>Eve Browning:</t>
        </r>
        <r>
          <rPr>
            <sz val="9"/>
            <color indexed="81"/>
            <rFont val="Tahoma"/>
            <family val="2"/>
          </rPr>
          <t xml:space="preserve">
Hoped not to be required until post-planning</t>
        </r>
      </text>
    </comment>
    <comment ref="AK22" authorId="0" shapeId="0" xr:uid="{B20AF7B4-B89B-4C16-BA67-54BF32914BCE}">
      <text>
        <r>
          <rPr>
            <b/>
            <sz val="9"/>
            <color indexed="81"/>
            <rFont val="Tahoma"/>
            <family val="2"/>
          </rPr>
          <t>Eve Browning:</t>
        </r>
        <r>
          <rPr>
            <sz val="9"/>
            <color indexed="81"/>
            <rFont val="Tahoma"/>
            <family val="2"/>
          </rPr>
          <t xml:space="preserve">
Invoice 006193
Trial trenching (208078.7+80770.25) and project management (17600)</t>
        </r>
      </text>
    </comment>
    <comment ref="AL22" authorId="0" shapeId="0" xr:uid="{CC81A754-937C-4011-B7FF-D7C96D97D36A}">
      <text>
        <r>
          <rPr>
            <b/>
            <sz val="9"/>
            <color indexed="81"/>
            <rFont val="Tahoma"/>
            <family val="2"/>
          </rPr>
          <t>Eve Browning:</t>
        </r>
        <r>
          <rPr>
            <sz val="9"/>
            <color indexed="81"/>
            <rFont val="Tahoma"/>
            <family val="2"/>
          </rPr>
          <t xml:space="preserve">
</t>
        </r>
        <r>
          <rPr>
            <b/>
            <sz val="9"/>
            <color indexed="81"/>
            <rFont val="Tahoma"/>
            <family val="2"/>
          </rPr>
          <t>Invoice 006288 - Lanpro</t>
        </r>
        <r>
          <rPr>
            <sz val="9"/>
            <color indexed="81"/>
            <rFont val="Tahoma"/>
            <family val="2"/>
          </rPr>
          <t xml:space="preserve">
Archaeological fieldwork (Sept) and archaeological fieldwork project management (August) (77952.75+15400)
</t>
        </r>
        <r>
          <rPr>
            <b/>
            <sz val="9"/>
            <color indexed="81"/>
            <rFont val="Tahoma"/>
            <family val="2"/>
          </rPr>
          <t xml:space="preserve">Invoice SI8 - Pongo Farms Ltd
</t>
        </r>
        <r>
          <rPr>
            <sz val="9"/>
            <color indexed="81"/>
            <rFont val="Tahoma"/>
            <family val="2"/>
          </rPr>
          <t>Crop loss (Cottam 2) - £53476.33</t>
        </r>
        <r>
          <rPr>
            <sz val="9"/>
            <color indexed="81"/>
            <rFont val="Tahoma"/>
            <family val="2"/>
          </rPr>
          <t xml:space="preserve">
</t>
        </r>
      </text>
    </comment>
    <comment ref="AM22" authorId="0" shapeId="0" xr:uid="{257B108E-EDB9-4483-861E-704B1F137943}">
      <text>
        <r>
          <rPr>
            <b/>
            <sz val="9"/>
            <color indexed="81"/>
            <rFont val="Tahoma"/>
            <family val="2"/>
          </rPr>
          <t>Eve Browning:</t>
        </r>
        <r>
          <rPr>
            <sz val="9"/>
            <color indexed="81"/>
            <rFont val="Tahoma"/>
            <family val="2"/>
          </rPr>
          <t xml:space="preserve">
</t>
        </r>
        <r>
          <rPr>
            <b/>
            <sz val="9"/>
            <color indexed="81"/>
            <rFont val="Tahoma"/>
            <family val="2"/>
          </rPr>
          <t>Invoice GJ/JW/BR-20/115 - DDM Agriculture</t>
        </r>
        <r>
          <rPr>
            <sz val="9"/>
            <color indexed="81"/>
            <rFont val="Tahoma"/>
            <family val="2"/>
          </rPr>
          <t xml:space="preserve">
£182849k for Cottam 1 crop loss
</t>
        </r>
        <r>
          <rPr>
            <b/>
            <sz val="9"/>
            <color indexed="81"/>
            <rFont val="Tahoma"/>
            <family val="2"/>
          </rPr>
          <t xml:space="preserve">
Invoice 006639 - Lanpro</t>
        </r>
        <r>
          <rPr>
            <sz val="9"/>
            <color indexed="81"/>
            <rFont val="Tahoma"/>
            <family val="2"/>
          </rPr>
          <t xml:space="preserve">
Archaeological fieldwork - £3777.75
Arch. Fieldwork project management - £7700
Burial licenses, utility search and liaisons - £1069.5</t>
        </r>
      </text>
    </comment>
    <comment ref="AN22" authorId="0" shapeId="0" xr:uid="{62E8B23C-3635-45C6-A35C-0F9C4C090490}">
      <text>
        <r>
          <rPr>
            <b/>
            <sz val="9"/>
            <color indexed="81"/>
            <rFont val="Tahoma"/>
            <family val="2"/>
          </rPr>
          <t>Eve Browning:</t>
        </r>
        <r>
          <rPr>
            <sz val="9"/>
            <color indexed="81"/>
            <rFont val="Tahoma"/>
            <family val="2"/>
          </rPr>
          <t xml:space="preserve">
Invoice 006830
Archaeological Fieldwork (October Additional) £46,161.00 
Archaeological Fieldwork Project Management £6,450.00 
Cottam 2 - Post-Excavation Management and Interim Report QA £2,050.00 </t>
        </r>
      </text>
    </comment>
    <comment ref="AO22" authorId="0" shapeId="0" xr:uid="{6BDC9DA9-4E46-4942-A0A5-21BF995F2301}">
      <text>
        <r>
          <rPr>
            <b/>
            <sz val="9"/>
            <color indexed="81"/>
            <rFont val="Tahoma"/>
            <family val="2"/>
          </rPr>
          <t>Eve Browning:</t>
        </r>
        <r>
          <rPr>
            <sz val="9"/>
            <color indexed="81"/>
            <rFont val="Tahoma"/>
            <family val="2"/>
          </rPr>
          <t xml:space="preserve">
Invoice 007022
Cottam 1 trenches in C5 - £22465
Project management - £4400
Cottam 1 post-excavation management and report QA - £3150
Cottam 3 - post excavation management and report QA - £2050
</t>
        </r>
      </text>
    </comment>
    <comment ref="AP22" authorId="0" shapeId="0" xr:uid="{E94A5043-80C8-4FDA-B22E-06FB46BB605D}">
      <text>
        <r>
          <rPr>
            <b/>
            <sz val="9"/>
            <color indexed="81"/>
            <rFont val="Tahoma"/>
            <family val="2"/>
          </rPr>
          <t>Eve Browning:</t>
        </r>
        <r>
          <rPr>
            <sz val="9"/>
            <color indexed="81"/>
            <rFont val="Tahoma"/>
            <family val="2"/>
          </rPr>
          <t xml:space="preserve">
Invoice 25 (Low Carbon UK Solar Investment Company Limited)
£75944.17 - Shared cable route trenches - Low Carbon
Invoice 27 (Low Carbon)
Landowner costs e.g. license fee, agent fees, trench compensation, grass reseeding works, drainage repairs.
£20434.93 </t>
        </r>
      </text>
    </comment>
    <comment ref="AY22" authorId="0" shapeId="0" xr:uid="{3740EAA7-1B72-4F1B-A60E-8B8C9AB8DE5F}">
      <text>
        <r>
          <rPr>
            <b/>
            <sz val="9"/>
            <color indexed="81"/>
            <rFont val="Tahoma"/>
            <family val="2"/>
          </rPr>
          <t>Eve Browning:</t>
        </r>
        <r>
          <rPr>
            <sz val="9"/>
            <color indexed="81"/>
            <rFont val="Tahoma"/>
            <family val="2"/>
          </rPr>
          <t xml:space="preserve">
</t>
        </r>
        <r>
          <rPr>
            <b/>
            <sz val="9"/>
            <color indexed="81"/>
            <rFont val="Tahoma"/>
            <family val="2"/>
          </rPr>
          <t xml:space="preserve">Invoice INV041235
</t>
        </r>
        <r>
          <rPr>
            <sz val="9"/>
            <color indexed="81"/>
            <rFont val="Tahoma"/>
            <family val="2"/>
          </rPr>
          <t xml:space="preserve">
Letter of reliance for Wessex trenching land south of Torksey Ferry Road - £500</t>
        </r>
      </text>
    </comment>
    <comment ref="BB22" authorId="0" shapeId="0" xr:uid="{2289F7B3-D152-4BD9-A8D6-644C3130B77F}">
      <text>
        <r>
          <rPr>
            <b/>
            <sz val="9"/>
            <color indexed="81"/>
            <rFont val="Tahoma"/>
            <family val="2"/>
          </rPr>
          <t>Eve Browning:</t>
        </r>
        <r>
          <rPr>
            <sz val="9"/>
            <color indexed="81"/>
            <rFont val="Tahoma"/>
            <family val="2"/>
          </rPr>
          <t xml:space="preserve">
Limestone Farming Company Ltd inoivce 9008
Costs to fill in missed Cottam 1 trenches - £500</t>
        </r>
      </text>
    </comment>
    <comment ref="BK22" authorId="0" shapeId="0" xr:uid="{DA18F9FF-3BD2-42B0-ADE0-B63B8BEEC7CE}">
      <text>
        <r>
          <rPr>
            <b/>
            <sz val="9"/>
            <color indexed="81"/>
            <rFont val="Tahoma"/>
            <family val="2"/>
          </rPr>
          <t>Eve Browning:</t>
        </r>
        <r>
          <rPr>
            <sz val="9"/>
            <color indexed="81"/>
            <rFont val="Tahoma"/>
            <family val="2"/>
          </rPr>
          <t xml:space="preserve">
Estimation of post-trenching final reporting costs</t>
        </r>
      </text>
    </comment>
    <comment ref="C23" authorId="0" shapeId="0" xr:uid="{4F8FCCBC-49ED-4AD0-A596-434B0B18254C}">
      <text>
        <r>
          <rPr>
            <b/>
            <sz val="9"/>
            <color indexed="81"/>
            <rFont val="Tahoma"/>
            <family val="2"/>
          </rPr>
          <t>Eve Browning:</t>
        </r>
        <r>
          <rPr>
            <sz val="9"/>
            <color indexed="81"/>
            <rFont val="Tahoma"/>
            <family val="2"/>
          </rPr>
          <t xml:space="preserve">
Also invoice us for noise work</t>
        </r>
      </text>
    </comment>
    <comment ref="I23" authorId="0" shapeId="0" xr:uid="{83B2881D-2082-4ADB-A9A6-31D28ED69754}">
      <text>
        <r>
          <rPr>
            <b/>
            <sz val="9"/>
            <color indexed="81"/>
            <rFont val="Tahoma"/>
            <family val="2"/>
          </rPr>
          <t>Eve Browning:</t>
        </r>
        <r>
          <rPr>
            <sz val="9"/>
            <color indexed="81"/>
            <rFont val="Tahoma"/>
            <family val="2"/>
          </rPr>
          <t xml:space="preserve">
Tetratech, includes battery fire smoke assessment</t>
        </r>
      </text>
    </comment>
    <comment ref="M23" authorId="0" shapeId="0" xr:uid="{BA3B62E1-0987-4DF0-B5E5-A172578E8541}">
      <text>
        <r>
          <rPr>
            <b/>
            <sz val="9"/>
            <color indexed="81"/>
            <rFont val="Tahoma"/>
            <family val="2"/>
          </rPr>
          <t>Eve Browning:</t>
        </r>
        <r>
          <rPr>
            <sz val="9"/>
            <color indexed="81"/>
            <rFont val="Tahoma"/>
            <family val="2"/>
          </rPr>
          <t xml:space="preserve">
Tetratech, includes battery fire smoke assessment</t>
        </r>
      </text>
    </comment>
    <comment ref="AH23" authorId="0" shapeId="0" xr:uid="{F0CA6768-BE6D-488B-A207-B0A87759D556}">
      <text>
        <r>
          <rPr>
            <b/>
            <sz val="9"/>
            <color indexed="81"/>
            <rFont val="Tahoma"/>
            <family val="2"/>
          </rPr>
          <t>Eve Browning:</t>
        </r>
        <r>
          <rPr>
            <sz val="9"/>
            <color indexed="81"/>
            <rFont val="Tahoma"/>
            <family val="2"/>
          </rPr>
          <t xml:space="preserve">
PEIR + construction dust assessment
Invoice 30034532</t>
        </r>
      </text>
    </comment>
    <comment ref="AP23" authorId="0" shapeId="0" xr:uid="{953C00FD-1DBD-4A44-960C-912136FBF550}">
      <text>
        <r>
          <rPr>
            <b/>
            <sz val="9"/>
            <color indexed="81"/>
            <rFont val="Tahoma"/>
            <family val="2"/>
          </rPr>
          <t>Eve Browning:</t>
        </r>
        <r>
          <rPr>
            <sz val="9"/>
            <color indexed="81"/>
            <rFont val="Tahoma"/>
            <family val="2"/>
          </rPr>
          <t xml:space="preserve">
Invoice 784-B031438 / 30048654
ES Chapter - £1250</t>
        </r>
      </text>
    </comment>
    <comment ref="AV23" authorId="0" shapeId="0" xr:uid="{2B925EF6-CBD6-48B2-A936-35D029AD79A1}">
      <text>
        <r>
          <rPr>
            <b/>
            <sz val="9"/>
            <color indexed="81"/>
            <rFont val="Tahoma"/>
            <family val="2"/>
          </rPr>
          <t>Eve Browning:</t>
        </r>
        <r>
          <rPr>
            <sz val="9"/>
            <color indexed="81"/>
            <rFont val="Tahoma"/>
            <family val="2"/>
          </rPr>
          <t xml:space="preserve">
Invoice 30056498
Air quality SoCG - £1250</t>
        </r>
      </text>
    </comment>
    <comment ref="AY23" authorId="0" shapeId="0" xr:uid="{BE8EC958-8AC2-4E9A-815E-A1AF7089779F}">
      <text>
        <r>
          <rPr>
            <b/>
            <sz val="9"/>
            <color indexed="81"/>
            <rFont val="Tahoma"/>
            <family val="2"/>
          </rPr>
          <t>Eve Browning:</t>
        </r>
        <r>
          <rPr>
            <sz val="9"/>
            <color indexed="81"/>
            <rFont val="Tahoma"/>
            <family val="2"/>
          </rPr>
          <t xml:space="preserve">
</t>
        </r>
        <r>
          <rPr>
            <b/>
            <sz val="9"/>
            <color indexed="81"/>
            <rFont val="Tahoma"/>
            <family val="2"/>
          </rPr>
          <t>Invoice 30061129</t>
        </r>
        <r>
          <rPr>
            <sz val="9"/>
            <color indexed="81"/>
            <rFont val="Tahoma"/>
            <family val="2"/>
          </rPr>
          <t xml:space="preserve">
- Additional solar panel fire modelling and risk assessment - £2450
- Detailed BESS fire impact assessment - £3950
- AQ ES chapter addendum - £950
</t>
        </r>
      </text>
    </comment>
    <comment ref="AZ23" authorId="0" shapeId="0" xr:uid="{203B8748-CD70-4E9A-9E9C-FE96EAA3203A}">
      <text>
        <r>
          <rPr>
            <b/>
            <sz val="9"/>
            <color indexed="81"/>
            <rFont val="Tahoma"/>
            <family val="2"/>
          </rPr>
          <t>Eve Browning:</t>
        </r>
        <r>
          <rPr>
            <sz val="9"/>
            <color indexed="81"/>
            <rFont val="Tahoma"/>
            <family val="2"/>
          </rPr>
          <t xml:space="preserve">
Invoice 30065904
Stage 4 pre-examination - £3950
</t>
        </r>
      </text>
    </comment>
    <comment ref="BA23" authorId="0" shapeId="0" xr:uid="{75B4F00F-D765-448D-A7C6-9528D4575324}">
      <text>
        <r>
          <rPr>
            <b/>
            <sz val="9"/>
            <color indexed="81"/>
            <rFont val="Tahoma"/>
            <family val="2"/>
          </rPr>
          <t>Eve Browning:</t>
        </r>
        <r>
          <rPr>
            <sz val="9"/>
            <color indexed="81"/>
            <rFont val="Tahoma"/>
            <family val="2"/>
          </rPr>
          <t xml:space="preserve">
Invoice 30068500
(1) A revised BESS fire assessment scenario (using new input following discussions with Paul Gregory) -         £1250;
(2) The revised BESS fire assessment reporting (following discussions with Paul Gregory)                         £1,450;
</t>
        </r>
      </text>
    </comment>
    <comment ref="BD23" authorId="0" shapeId="0" xr:uid="{DA32BDEF-092C-460E-8190-00556F2D5377}">
      <text>
        <r>
          <rPr>
            <b/>
            <sz val="9"/>
            <color indexed="81"/>
            <rFont val="Tahoma"/>
            <family val="2"/>
          </rPr>
          <t>Eve Browning:</t>
        </r>
        <r>
          <rPr>
            <sz val="9"/>
            <color indexed="81"/>
            <rFont val="Tahoma"/>
            <family val="2"/>
          </rPr>
          <t xml:space="preserve">
Invoice 30082428
Air quality responses during examination period - £1950</t>
        </r>
      </text>
    </comment>
    <comment ref="BF23" authorId="0" shapeId="0" xr:uid="{7D982AF0-7931-4D3E-AA92-FFD883060C2C}">
      <text>
        <r>
          <rPr>
            <b/>
            <sz val="9"/>
            <color indexed="81"/>
            <rFont val="Tahoma"/>
            <family val="2"/>
          </rPr>
          <t>Eve Browning:</t>
        </r>
        <r>
          <rPr>
            <sz val="9"/>
            <color indexed="81"/>
            <rFont val="Tahoma"/>
            <family val="2"/>
          </rPr>
          <t xml:space="preserve">
Invoice 30086612
Examination final inputs - £1950</t>
        </r>
      </text>
    </comment>
    <comment ref="M24" authorId="0" shapeId="0" xr:uid="{A2142B72-5A92-473E-B5D4-421AAB549937}">
      <text>
        <r>
          <rPr>
            <b/>
            <sz val="9"/>
            <color indexed="81"/>
            <rFont val="Tahoma"/>
            <family val="2"/>
          </rPr>
          <t>Quote from Ted Clover. Half of £7500 quote for desktop Minerals Resource Assessment - may be a little more if two separate reports required?</t>
        </r>
      </text>
    </comment>
    <comment ref="AI24" authorId="0" shapeId="0" xr:uid="{F113ABB3-A93A-42E3-9EE7-66E3CD5792F8}">
      <text>
        <r>
          <rPr>
            <b/>
            <sz val="9"/>
            <color indexed="81"/>
            <rFont val="Tahoma"/>
            <family val="2"/>
          </rPr>
          <t>Eve Browning:</t>
        </r>
        <r>
          <rPr>
            <sz val="9"/>
            <color indexed="81"/>
            <rFont val="Tahoma"/>
            <family val="2"/>
          </rPr>
          <t xml:space="preserve">
Invoice CSP/002
PEIR</t>
        </r>
      </text>
    </comment>
    <comment ref="AO24" authorId="0" shapeId="0" xr:uid="{BBBAD236-976F-43DC-BBB3-7E006B86C99D}">
      <text>
        <r>
          <rPr>
            <b/>
            <sz val="9"/>
            <color indexed="81"/>
            <rFont val="Tahoma"/>
            <family val="2"/>
          </rPr>
          <t>Eve Browning:</t>
        </r>
        <r>
          <rPr>
            <sz val="9"/>
            <color indexed="81"/>
            <rFont val="Tahoma"/>
            <family val="2"/>
          </rPr>
          <t xml:space="preserve">
Invoice CSP/003</t>
        </r>
      </text>
    </comment>
    <comment ref="AP24" authorId="0" shapeId="0" xr:uid="{9EC67DBF-A5D9-49DA-B7EB-5A1ED2CC608B}">
      <text>
        <r>
          <rPr>
            <b/>
            <sz val="9"/>
            <color indexed="81"/>
            <rFont val="Tahoma"/>
            <family val="2"/>
          </rPr>
          <t>Eve Browning:</t>
        </r>
        <r>
          <rPr>
            <sz val="9"/>
            <color indexed="81"/>
            <rFont val="Tahoma"/>
            <family val="2"/>
          </rPr>
          <t xml:space="preserve">
Invoice CSP/004
Preparation of Mineral Resource Assessment as part of Environmental Statement - £240</t>
        </r>
      </text>
    </comment>
    <comment ref="AW24" authorId="0" shapeId="0" xr:uid="{BCA1ED4F-19E9-4CC3-8504-C6B54BF432EB}">
      <text>
        <r>
          <rPr>
            <b/>
            <sz val="9"/>
            <color indexed="81"/>
            <rFont val="Tahoma"/>
            <family val="2"/>
          </rPr>
          <t>Eve Browning:</t>
        </r>
        <r>
          <rPr>
            <sz val="9"/>
            <color indexed="81"/>
            <rFont val="Tahoma"/>
            <family val="2"/>
          </rPr>
          <t xml:space="preserve">
Invoice CSP/005
Preparation of non-technical summary and SoCG - £665</t>
        </r>
      </text>
    </comment>
    <comment ref="BE24" authorId="0" shapeId="0" xr:uid="{F2791D8F-54F2-4564-8C1A-48938C24498F}">
      <text>
        <r>
          <rPr>
            <b/>
            <sz val="9"/>
            <color indexed="81"/>
            <rFont val="Tahoma"/>
            <family val="2"/>
          </rPr>
          <t>Eve Browning:</t>
        </r>
        <r>
          <rPr>
            <sz val="9"/>
            <color indexed="81"/>
            <rFont val="Tahoma"/>
            <family val="2"/>
          </rPr>
          <t xml:space="preserve">
Invoice CSP/006
Consideration of representations/Inpectors Questions
Consideration of amendments to the Scheme
Input into EIP documents as requested
Additional consideration of cumulative impacts
£1045</t>
        </r>
      </text>
    </comment>
    <comment ref="M26" authorId="0" shapeId="0" xr:uid="{C750F196-83E1-4D2C-ADB2-A9DF404D79CB}">
      <text>
        <r>
          <rPr>
            <b/>
            <sz val="9"/>
            <color indexed="81"/>
            <rFont val="Tahoma"/>
            <family val="2"/>
          </rPr>
          <t>Eve Browning:</t>
        </r>
        <r>
          <rPr>
            <sz val="9"/>
            <color indexed="81"/>
            <rFont val="Tahoma"/>
            <family val="2"/>
          </rPr>
          <t xml:space="preserve">
Missing Broxholme. Quote from Rossi Long for initial work to inform initial consultation with stakeholders</t>
        </r>
      </text>
    </comment>
    <comment ref="N26" authorId="0" shapeId="0" xr:uid="{45D34EFC-32B3-4BD7-A817-F0F48D60F010}">
      <text>
        <r>
          <rPr>
            <b/>
            <sz val="9"/>
            <color indexed="81"/>
            <rFont val="Tahoma"/>
            <family val="2"/>
          </rPr>
          <t>Eve Browning:</t>
        </r>
        <r>
          <rPr>
            <sz val="9"/>
            <color indexed="81"/>
            <rFont val="Tahoma"/>
            <family val="2"/>
          </rPr>
          <t xml:space="preserve">
Quote from Stantec not including SoCGs, or examination attendance.
CTMP at £400 per land parcel (4 x parcels) added in after clarification</t>
        </r>
      </text>
    </comment>
    <comment ref="O26" authorId="0" shapeId="0" xr:uid="{80924AAE-E308-4AA7-9B41-BF5C84CA7BA7}">
      <text>
        <r>
          <rPr>
            <b/>
            <sz val="9"/>
            <color indexed="81"/>
            <rFont val="Tahoma"/>
            <family val="2"/>
          </rPr>
          <t>Eve Browning:</t>
        </r>
        <r>
          <rPr>
            <sz val="9"/>
            <color indexed="81"/>
            <rFont val="Tahoma"/>
            <family val="2"/>
          </rPr>
          <t xml:space="preserve">
Quote from TPA includes for EIA chapter, transport statement, CTMP, input into CEMP and all drawings and consultation up to planning submission.
£4700 included for traffic surveys by 360 TSL, split across two projects
Additional predicted overspends added due to additional junctions and abnormal loads - fee extension request saved in file</t>
        </r>
      </text>
    </comment>
    <comment ref="AD26" authorId="0" shapeId="0" xr:uid="{27B7499F-4A02-4B82-9184-82DC50F38AB2}">
      <text>
        <r>
          <rPr>
            <b/>
            <sz val="9"/>
            <color indexed="81"/>
            <rFont val="Tahoma"/>
            <family val="2"/>
          </rPr>
          <t>Eve Browning:</t>
        </r>
        <r>
          <rPr>
            <sz val="9"/>
            <color indexed="81"/>
            <rFont val="Tahoma"/>
            <family val="2"/>
          </rPr>
          <t xml:space="preserve">
Scoping note plus draft CTMP</t>
        </r>
      </text>
    </comment>
    <comment ref="AF26" authorId="0" shapeId="0" xr:uid="{9B7AA507-86EA-4FF2-8D5F-4286D6357A45}">
      <text>
        <r>
          <rPr>
            <b/>
            <sz val="9"/>
            <color indexed="81"/>
            <rFont val="Tahoma"/>
            <family val="2"/>
          </rPr>
          <t>Eve Browning:</t>
        </r>
        <r>
          <rPr>
            <sz val="9"/>
            <color indexed="81"/>
            <rFont val="Tahoma"/>
            <family val="2"/>
          </rPr>
          <t xml:space="preserve">
Invoice 013040 for £3001.25</t>
        </r>
      </text>
    </comment>
    <comment ref="AG26" authorId="0" shapeId="0" xr:uid="{30E59960-A26F-40BA-88BE-7A85D24C61AC}">
      <text>
        <r>
          <rPr>
            <b/>
            <sz val="9"/>
            <color indexed="81"/>
            <rFont val="Tahoma"/>
            <family val="2"/>
          </rPr>
          <t>Eve Browning:</t>
        </r>
        <r>
          <rPr>
            <sz val="9"/>
            <color indexed="81"/>
            <rFont val="Tahoma"/>
            <family val="2"/>
          </rPr>
          <t xml:space="preserve">
Invoice 013244</t>
        </r>
      </text>
    </comment>
    <comment ref="AH26" authorId="0" shapeId="0" xr:uid="{44D33FDF-03EC-47BE-B585-A4D21F6254B8}">
      <text>
        <r>
          <rPr>
            <b/>
            <sz val="9"/>
            <color indexed="81"/>
            <rFont val="Tahoma"/>
            <family val="2"/>
          </rPr>
          <t>Eve Browning:</t>
        </r>
        <r>
          <rPr>
            <sz val="9"/>
            <color indexed="81"/>
            <rFont val="Tahoma"/>
            <family val="2"/>
          </rPr>
          <t xml:space="preserve">
Invoice 013345</t>
        </r>
      </text>
    </comment>
    <comment ref="AI26" authorId="0" shapeId="0" xr:uid="{D5576F44-DD13-40A5-9354-1CD0AC72E8C1}">
      <text>
        <r>
          <rPr>
            <b/>
            <sz val="9"/>
            <color indexed="81"/>
            <rFont val="Tahoma"/>
            <family val="2"/>
          </rPr>
          <t>Eve Browning:</t>
        </r>
        <r>
          <rPr>
            <sz val="9"/>
            <color indexed="81"/>
            <rFont val="Tahoma"/>
            <family val="2"/>
          </rPr>
          <t xml:space="preserve">
Invoice 013457
PEIR/CTMP
Invoice 013551</t>
        </r>
      </text>
    </comment>
    <comment ref="AK26" authorId="0" shapeId="0" xr:uid="{B7AA35F4-9546-4A74-81C2-B257698D0486}">
      <text>
        <r>
          <rPr>
            <b/>
            <sz val="9"/>
            <color indexed="81"/>
            <rFont val="Tahoma"/>
            <family val="2"/>
          </rPr>
          <t>Eve Browning:</t>
        </r>
        <r>
          <rPr>
            <sz val="9"/>
            <color indexed="81"/>
            <rFont val="Tahoma"/>
            <family val="2"/>
          </rPr>
          <t xml:space="preserve">
Invoice 013728
Team meetings 
Trip generation note
review of and advice on consultation responses, traffic flow diagrams, ES chapter drafting, green lane review</t>
        </r>
      </text>
    </comment>
    <comment ref="AL26" authorId="0" shapeId="0" xr:uid="{D32D23F2-3E36-40AF-8241-6CBC306811BC}">
      <text>
        <r>
          <rPr>
            <b/>
            <sz val="9"/>
            <color indexed="81"/>
            <rFont val="Tahoma"/>
            <family val="2"/>
          </rPr>
          <t>Eve Browning:</t>
        </r>
        <r>
          <rPr>
            <sz val="9"/>
            <color indexed="81"/>
            <rFont val="Tahoma"/>
            <family val="2"/>
          </rPr>
          <t xml:space="preserve">
</t>
        </r>
        <r>
          <rPr>
            <b/>
            <sz val="9"/>
            <color indexed="81"/>
            <rFont val="Tahoma"/>
            <family val="2"/>
          </rPr>
          <t>Invoice  013855</t>
        </r>
        <r>
          <rPr>
            <sz val="9"/>
            <color indexed="81"/>
            <rFont val="Tahoma"/>
            <family val="2"/>
          </rPr>
          <t xml:space="preserve">
• Team Meetings;
• PROW Surveys ~£2625;
• Red Line Review;
• Two new access drawings;
• ES Chapter Drafting.
</t>
        </r>
        <r>
          <rPr>
            <b/>
            <sz val="9"/>
            <color indexed="81"/>
            <rFont val="Tahoma"/>
            <family val="2"/>
          </rPr>
          <t>Invoice 013943</t>
        </r>
        <r>
          <rPr>
            <sz val="9"/>
            <color indexed="81"/>
            <rFont val="Tahoma"/>
            <family val="2"/>
          </rPr>
          <t xml:space="preserve">
• Team Meetings;
• PROW Surveys;
• Red Line Review;
• Cable Route Review
• ES Chapter Drafting.</t>
        </r>
      </text>
    </comment>
    <comment ref="AM26" authorId="0" shapeId="0" xr:uid="{A8CAF50A-3C42-4802-B282-1AD0C971DA70}">
      <text>
        <r>
          <rPr>
            <b/>
            <sz val="9"/>
            <color indexed="81"/>
            <rFont val="Tahoma"/>
            <family val="2"/>
          </rPr>
          <t>Eve Browning:</t>
        </r>
        <r>
          <rPr>
            <sz val="9"/>
            <color indexed="81"/>
            <rFont val="Tahoma"/>
            <family val="2"/>
          </rPr>
          <t xml:space="preserve">
Invoice 014155 - £11002.5
• Team Meetings;
• PROW Surveys;
• Cable Route Access Review;
• Red Line Updates;
• ES Chapter Drafting.</t>
        </r>
      </text>
    </comment>
    <comment ref="AO26" authorId="0" shapeId="0" xr:uid="{2CFE4351-4975-4F01-B755-D9617C86F57A}">
      <text>
        <r>
          <rPr>
            <b/>
            <sz val="9"/>
            <color indexed="81"/>
            <rFont val="Tahoma"/>
            <family val="2"/>
          </rPr>
          <t>Eve Browning:</t>
        </r>
        <r>
          <rPr>
            <sz val="9"/>
            <color indexed="81"/>
            <rFont val="Tahoma"/>
            <family val="2"/>
          </rPr>
          <t xml:space="preserve">
Invoice 014285
• Team Meetings;
• Access Review;
• Trip Generation;
• ES Chapter;
• TA;
• CTMP.</t>
        </r>
      </text>
    </comment>
    <comment ref="AP26" authorId="0" shapeId="0" xr:uid="{4C40428E-B3DE-49C8-B12A-C8D9EBB074A2}">
      <text>
        <r>
          <rPr>
            <b/>
            <sz val="9"/>
            <color indexed="81"/>
            <rFont val="Tahoma"/>
            <family val="2"/>
          </rPr>
          <t>Eve Browning:</t>
        </r>
        <r>
          <rPr>
            <sz val="9"/>
            <color indexed="81"/>
            <rFont val="Tahoma"/>
            <family val="2"/>
          </rPr>
          <t xml:space="preserve">
</t>
        </r>
        <r>
          <rPr>
            <b/>
            <sz val="9"/>
            <color indexed="81"/>
            <rFont val="Tahoma"/>
            <family val="2"/>
          </rPr>
          <t>Invoice 014425</t>
        </r>
        <r>
          <rPr>
            <sz val="9"/>
            <color indexed="81"/>
            <rFont val="Tahoma"/>
            <family val="2"/>
          </rPr>
          <t xml:space="preserve"> - £8005
• Team Meetings;
• Final Draft ES Chapter;
• Final Draft Transport Assessment;
• Final Draft CTMP;
• Final Draft Public Rights of Way Management Plan.
</t>
        </r>
        <r>
          <rPr>
            <b/>
            <sz val="9"/>
            <color indexed="81"/>
            <rFont val="Tahoma"/>
            <family val="2"/>
          </rPr>
          <t>Invoice 014470 -</t>
        </r>
        <r>
          <rPr>
            <sz val="9"/>
            <color indexed="81"/>
            <rFont val="Tahoma"/>
            <family val="2"/>
          </rPr>
          <t xml:space="preserve"> £10120.91
• Additional spend on ES chapter to cover all consultation responses, the details of the cable route corridor and rounds of comments from the Design Team;
• The initial quote was for a Transport Statement to support the DCO. However, given the detail required, this turned into a Transport Assessment, which set out the details of almost 50 accesses and their effects on the surrounding local highway network;
• Multiple meetings, especially during November and December;
• Changes in the access strategy following the site layout designs which results in relocated and new accesses;
• A public rights of way management plan.</t>
        </r>
      </text>
    </comment>
    <comment ref="AT26" authorId="0" shapeId="0" xr:uid="{A4959F80-DA44-41BF-A9F4-4B25180302D0}">
      <text>
        <r>
          <rPr>
            <b/>
            <sz val="9"/>
            <color indexed="81"/>
            <rFont val="Tahoma"/>
            <family val="2"/>
          </rPr>
          <t>Eve Browning:</t>
        </r>
        <r>
          <rPr>
            <sz val="9"/>
            <color indexed="81"/>
            <rFont val="Tahoma"/>
            <family val="2"/>
          </rPr>
          <t xml:space="preserve">
Invoice 014975
-Team meetings
- SoCG with NH
- Input into SoCG for LCC and NCC
£1750</t>
        </r>
      </text>
    </comment>
    <comment ref="AU26" authorId="0" shapeId="0" xr:uid="{DBC845C8-01A9-4ECF-AB6D-89010EAF83EB}">
      <text>
        <r>
          <rPr>
            <b/>
            <sz val="9"/>
            <color indexed="81"/>
            <rFont val="Tahoma"/>
            <family val="2"/>
          </rPr>
          <t>Eve Browning:</t>
        </r>
        <r>
          <rPr>
            <sz val="9"/>
            <color indexed="81"/>
            <rFont val="Tahoma"/>
            <family val="2"/>
          </rPr>
          <t xml:space="preserve">
Invoice 015123
Relevant reps - £1250</t>
        </r>
      </text>
    </comment>
    <comment ref="AV26" authorId="0" shapeId="0" xr:uid="{2C58A607-A817-456B-A267-9FFF93EBBA40}">
      <text>
        <r>
          <rPr>
            <b/>
            <sz val="9"/>
            <color indexed="81"/>
            <rFont val="Tahoma"/>
            <family val="2"/>
          </rPr>
          <t>Eve Browning:</t>
        </r>
        <r>
          <rPr>
            <sz val="9"/>
            <color indexed="81"/>
            <rFont val="Tahoma"/>
            <family val="2"/>
          </rPr>
          <t xml:space="preserve">
Invoice 015380
RR, SoCG, access comparison with Low Carbon - £2250</t>
        </r>
      </text>
    </comment>
    <comment ref="AX26" authorId="0" shapeId="0" xr:uid="{041E4D5D-88A1-43F1-8613-D3465004D51D}">
      <text>
        <r>
          <rPr>
            <b/>
            <sz val="9"/>
            <color indexed="81"/>
            <rFont val="Tahoma"/>
            <family val="2"/>
          </rPr>
          <t>Eve Browning:</t>
        </r>
        <r>
          <rPr>
            <sz val="9"/>
            <color indexed="81"/>
            <rFont val="Tahoma"/>
            <family val="2"/>
          </rPr>
          <t xml:space="preserve">
Invoice 015519
This invoice covers our work carried in July/August 2023, including:
• Relevant Representations
• Cable Route Accesses
£1750  </t>
        </r>
      </text>
    </comment>
    <comment ref="AY26" authorId="0" shapeId="0" xr:uid="{4799D060-E247-4E35-A426-0E51A10F14A4}">
      <text>
        <r>
          <rPr>
            <b/>
            <sz val="9"/>
            <color indexed="81"/>
            <rFont val="Tahoma"/>
            <family val="2"/>
          </rPr>
          <t>Eve Browning:</t>
        </r>
        <r>
          <rPr>
            <sz val="9"/>
            <color indexed="81"/>
            <rFont val="Tahoma"/>
            <family val="2"/>
          </rPr>
          <t xml:space="preserve">
Invoice 015635
This invoice covers our work carried in August/September 2023, including:
• Relevant Representations
• Access
• BESS Trips
• PRoW Response
£1250</t>
        </r>
      </text>
    </comment>
    <comment ref="AZ26" authorId="0" shapeId="0" xr:uid="{E1FEDBC4-CA07-4E26-9CE1-CFBFC7BD8C51}">
      <text>
        <r>
          <rPr>
            <b/>
            <sz val="9"/>
            <color indexed="81"/>
            <rFont val="Tahoma"/>
            <family val="2"/>
          </rPr>
          <t>Eve Browning:</t>
        </r>
        <r>
          <rPr>
            <sz val="9"/>
            <color indexed="81"/>
            <rFont val="Tahoma"/>
            <family val="2"/>
          </rPr>
          <t xml:space="preserve">
Invoice 015774
This invoice covers our work carried in September/October 2023, including:
• Submission of Documents for Deadline 1
• Relevant Representations
• PROW Meetings and Response
• BESS Repowering
• Cable Route Accesses
£4000
</t>
        </r>
      </text>
    </comment>
    <comment ref="BA26" authorId="0" shapeId="0" xr:uid="{9E10AA4B-2CD3-4547-9668-FA31CA167772}">
      <text>
        <r>
          <rPr>
            <b/>
            <sz val="9"/>
            <color indexed="81"/>
            <rFont val="Tahoma"/>
            <family val="2"/>
          </rPr>
          <t>Eve Browning:</t>
        </r>
        <r>
          <rPr>
            <sz val="9"/>
            <color indexed="81"/>
            <rFont val="Tahoma"/>
            <family val="2"/>
          </rPr>
          <t xml:space="preserve">
Invoice 015905
This invoice covers our work carried out in October/November 2023:
• Response to Examiners Questions;
• Response to Relevant Representations;
• Updated documents for Deadline 2
£5000</t>
        </r>
      </text>
    </comment>
    <comment ref="BB26" authorId="0" shapeId="0" xr:uid="{1F87CD0B-D85E-41B1-B19D-2BA82622AE50}">
      <text>
        <r>
          <rPr>
            <b/>
            <sz val="9"/>
            <color indexed="81"/>
            <rFont val="Tahoma"/>
            <family val="2"/>
          </rPr>
          <t>Eve Browning:</t>
        </r>
        <r>
          <rPr>
            <sz val="9"/>
            <color indexed="81"/>
            <rFont val="Tahoma"/>
            <family val="2"/>
          </rPr>
          <t xml:space="preserve">
Invoice 015972
This invoice covers our work carried out in December 2023:
• Updated documents for Deadline 3;
• Relevant Reps Responses for Deadline 3;
• Updated documents for Change Application;
• Attendance at ISH 4.
£6000</t>
        </r>
      </text>
    </comment>
    <comment ref="BC26" authorId="0" shapeId="0" xr:uid="{DEF2EF08-8557-4D02-88F7-7D64D0A0BB70}">
      <text>
        <r>
          <rPr>
            <b/>
            <sz val="9"/>
            <color indexed="81"/>
            <rFont val="Tahoma"/>
            <family val="2"/>
          </rPr>
          <t>Eve Browning:</t>
        </r>
        <r>
          <rPr>
            <sz val="9"/>
            <color indexed="81"/>
            <rFont val="Tahoma"/>
            <family val="2"/>
          </rPr>
          <t xml:space="preserve">
Invoice 016152
This invoice covers our work carried out in December 2023/January 2024:
• Update documents for Deadlines 4;
• Responses to written questions.
£4000
</t>
        </r>
      </text>
    </comment>
    <comment ref="BD26" authorId="0" shapeId="0" xr:uid="{900D642D-BDBC-4276-8123-9ACD951EB91B}">
      <text>
        <r>
          <rPr>
            <b/>
            <sz val="9"/>
            <color indexed="81"/>
            <rFont val="Tahoma"/>
            <family val="2"/>
          </rPr>
          <t>Eve Browning:</t>
        </r>
        <r>
          <rPr>
            <sz val="9"/>
            <color indexed="81"/>
            <rFont val="Tahoma"/>
            <family val="2"/>
          </rPr>
          <t xml:space="preserve">
Invoice 016316
This invoice covers our work carried out in January/February 2024:
• Update documents for Deadlines 5;
• Responses to written questions.
£2500</t>
        </r>
      </text>
    </comment>
    <comment ref="BE26" authorId="0" shapeId="0" xr:uid="{D872B32C-B0B8-40FF-A910-6BA9F00731AE}">
      <text>
        <r>
          <rPr>
            <b/>
            <sz val="9"/>
            <color indexed="81"/>
            <rFont val="Tahoma"/>
            <family val="2"/>
          </rPr>
          <t>Eve Browning:</t>
        </r>
        <r>
          <rPr>
            <sz val="9"/>
            <color indexed="81"/>
            <rFont val="Tahoma"/>
            <family val="2"/>
          </rPr>
          <t xml:space="preserve">
</t>
        </r>
        <r>
          <rPr>
            <b/>
            <sz val="9"/>
            <color indexed="81"/>
            <rFont val="Tahoma"/>
            <family val="2"/>
          </rPr>
          <t>TPA Invoice 016509</t>
        </r>
        <r>
          <rPr>
            <sz val="9"/>
            <color indexed="81"/>
            <rFont val="Tahoma"/>
            <family val="2"/>
          </rPr>
          <t xml:space="preserve">
This invoice covers our work carried out in February/March 2024:
• Preparation and attendance at change hearing;
• Final updates and responses up to end of examination.
£2450</t>
        </r>
      </text>
    </comment>
    <comment ref="M27" authorId="0" shapeId="0" xr:uid="{6C50F60C-D05F-4D4B-96BF-F4E8E184B97F}">
      <text>
        <r>
          <rPr>
            <b/>
            <sz val="9"/>
            <color indexed="81"/>
            <rFont val="Tahoma"/>
            <family val="2"/>
          </rPr>
          <t>Eve Browning:</t>
        </r>
        <r>
          <rPr>
            <sz val="9"/>
            <color indexed="81"/>
            <rFont val="Tahoma"/>
            <family val="2"/>
          </rPr>
          <t xml:space="preserve">
Half of Wynns quote across both WB and C</t>
        </r>
      </text>
    </comment>
    <comment ref="AF27" authorId="0" shapeId="0" xr:uid="{11E1AF3C-0E2D-4EFB-BD5A-196129098FEF}">
      <text>
        <r>
          <rPr>
            <b/>
            <sz val="9"/>
            <color indexed="81"/>
            <rFont val="Tahoma"/>
            <family val="2"/>
          </rPr>
          <t>Eve Browning:</t>
        </r>
        <r>
          <rPr>
            <sz val="9"/>
            <color indexed="81"/>
            <rFont val="Tahoma"/>
            <family val="2"/>
          </rPr>
          <t xml:space="preserve">
Invoice 3605</t>
        </r>
      </text>
    </comment>
    <comment ref="AG27" authorId="0" shapeId="0" xr:uid="{F4E5558F-7886-4DFB-BF40-AC3B168ED65F}">
      <text>
        <r>
          <rPr>
            <b/>
            <sz val="9"/>
            <color indexed="81"/>
            <rFont val="Tahoma"/>
            <family val="2"/>
          </rPr>
          <t>Eve Browning:</t>
        </r>
        <r>
          <rPr>
            <sz val="9"/>
            <color indexed="81"/>
            <rFont val="Tahoma"/>
            <family val="2"/>
          </rPr>
          <t xml:space="preserve">
Invoice 3626</t>
        </r>
      </text>
    </comment>
    <comment ref="AH27" authorId="0" shapeId="0" xr:uid="{E067381A-40EE-4D3F-8458-010EFA7DF41E}">
      <text>
        <r>
          <rPr>
            <b/>
            <sz val="9"/>
            <color indexed="81"/>
            <rFont val="Tahoma"/>
            <family val="2"/>
          </rPr>
          <t>Eve Browning:</t>
        </r>
        <r>
          <rPr>
            <sz val="9"/>
            <color indexed="81"/>
            <rFont val="Tahoma"/>
            <family val="2"/>
          </rPr>
          <t xml:space="preserve">
Invoice 3638</t>
        </r>
      </text>
    </comment>
    <comment ref="AI27" authorId="0" shapeId="0" xr:uid="{57C39649-D149-4A9B-893F-65DE697E6ED0}">
      <text>
        <r>
          <rPr>
            <b/>
            <sz val="9"/>
            <color indexed="81"/>
            <rFont val="Tahoma"/>
            <family val="2"/>
          </rPr>
          <t>Eve Browning:</t>
        </r>
        <r>
          <rPr>
            <sz val="9"/>
            <color indexed="81"/>
            <rFont val="Tahoma"/>
            <family val="2"/>
          </rPr>
          <t xml:space="preserve">
Invoice 3638</t>
        </r>
      </text>
    </comment>
    <comment ref="AL27" authorId="0" shapeId="0" xr:uid="{4AB5CC92-95B5-4EE9-BC74-2153E7935368}">
      <text>
        <r>
          <rPr>
            <b/>
            <sz val="9"/>
            <color indexed="81"/>
            <rFont val="Tahoma"/>
            <family val="2"/>
          </rPr>
          <t>Eve Browning:</t>
        </r>
        <r>
          <rPr>
            <sz val="9"/>
            <color indexed="81"/>
            <rFont val="Tahoma"/>
            <family val="2"/>
          </rPr>
          <t xml:space="preserve">
Invoice 3703
Cottam 3 site visit</t>
        </r>
      </text>
    </comment>
    <comment ref="AM27" authorId="0" shapeId="0" xr:uid="{32664DAA-E729-48E0-A813-28923ED3C7D0}">
      <text>
        <r>
          <rPr>
            <b/>
            <sz val="9"/>
            <color indexed="81"/>
            <rFont val="Tahoma"/>
            <family val="2"/>
          </rPr>
          <t>Eve Browning:</t>
        </r>
        <r>
          <rPr>
            <sz val="9"/>
            <color indexed="81"/>
            <rFont val="Tahoma"/>
            <family val="2"/>
          </rPr>
          <t xml:space="preserve">
Invoice 3714
Site visit for cable drum access</t>
        </r>
      </text>
    </comment>
    <comment ref="AN27" authorId="0" shapeId="0" xr:uid="{601A8AD6-1C52-4394-BBCC-380AD6C5F7C6}">
      <text>
        <r>
          <rPr>
            <b/>
            <sz val="9"/>
            <color indexed="81"/>
            <rFont val="Tahoma"/>
            <family val="2"/>
          </rPr>
          <t>Eve Browning:</t>
        </r>
        <r>
          <rPr>
            <sz val="9"/>
            <color indexed="81"/>
            <rFont val="Tahoma"/>
            <family val="2"/>
          </rPr>
          <t xml:space="preserve">
Invoice 3736</t>
        </r>
      </text>
    </comment>
    <comment ref="AP27" authorId="0" shapeId="0" xr:uid="{ADE929AF-FADA-4C3C-8D67-DDF1408A3D3C}">
      <text>
        <r>
          <rPr>
            <b/>
            <sz val="9"/>
            <color indexed="81"/>
            <rFont val="Tahoma"/>
            <family val="2"/>
          </rPr>
          <t>Eve Browning:</t>
        </r>
        <r>
          <rPr>
            <sz val="9"/>
            <color indexed="81"/>
            <rFont val="Tahoma"/>
            <family val="2"/>
          </rPr>
          <t xml:space="preserve">
</t>
        </r>
        <r>
          <rPr>
            <b/>
            <sz val="9"/>
            <color indexed="81"/>
            <rFont val="Tahoma"/>
            <family val="2"/>
          </rPr>
          <t>Invoice 3768</t>
        </r>
        <r>
          <rPr>
            <sz val="9"/>
            <color indexed="81"/>
            <rFont val="Tahoma"/>
            <family val="2"/>
          </rPr>
          <t xml:space="preserve">
£337.50
</t>
        </r>
        <r>
          <rPr>
            <b/>
            <sz val="9"/>
            <color indexed="81"/>
            <rFont val="Tahoma"/>
            <family val="2"/>
          </rPr>
          <t>Invoice 3792</t>
        </r>
        <r>
          <rPr>
            <sz val="9"/>
            <color indexed="81"/>
            <rFont val="Tahoma"/>
            <family val="2"/>
          </rPr>
          <t xml:space="preserve">
Abnormal loads reports for ES - £2171.25</t>
        </r>
      </text>
    </comment>
    <comment ref="AR27" authorId="0" shapeId="0" xr:uid="{1B9A19AC-2D95-4223-9A28-2A8BA8628969}">
      <text>
        <r>
          <rPr>
            <b/>
            <sz val="9"/>
            <color indexed="81"/>
            <rFont val="Tahoma"/>
            <family val="2"/>
          </rPr>
          <t>Eve Browning:</t>
        </r>
        <r>
          <rPr>
            <sz val="9"/>
            <color indexed="81"/>
            <rFont val="Tahoma"/>
            <family val="2"/>
          </rPr>
          <t xml:space="preserve">
Invoice 3830
Swept paths for cable route - £1425</t>
        </r>
      </text>
    </comment>
    <comment ref="AT27" authorId="0" shapeId="0" xr:uid="{B751D58C-ED90-4844-A111-52AE05226D9D}">
      <text>
        <r>
          <rPr>
            <b/>
            <sz val="9"/>
            <color indexed="81"/>
            <rFont val="Tahoma"/>
            <family val="2"/>
          </rPr>
          <t>Eve Browning:</t>
        </r>
        <r>
          <rPr>
            <sz val="9"/>
            <color indexed="81"/>
            <rFont val="Tahoma"/>
            <family val="2"/>
          </rPr>
          <t xml:space="preserve">
Invoice 3850
- Arrangement and management of bridge assessment engineers - £1500
- Wallace Stone bridge assessments to date - £6095
- Andy Pearce time - £112.50</t>
        </r>
      </text>
    </comment>
    <comment ref="AU27" authorId="0" shapeId="0" xr:uid="{387FBEEC-C30C-40D0-AE3B-DCAF6A9C0FF9}">
      <text>
        <r>
          <rPr>
            <b/>
            <sz val="9"/>
            <color indexed="81"/>
            <rFont val="Tahoma"/>
            <family val="2"/>
          </rPr>
          <t>Eve Browning:</t>
        </r>
        <r>
          <rPr>
            <sz val="9"/>
            <color indexed="81"/>
            <rFont val="Tahoma"/>
            <family val="2"/>
          </rPr>
          <t xml:space="preserve">
Invoice 3875 Wynns
Wallace Stone bridge surveys - £3120.52</t>
        </r>
      </text>
    </comment>
    <comment ref="AV27" authorId="0" shapeId="0" xr:uid="{562541AD-1CD2-4817-8523-E1C5EE94847B}">
      <text>
        <r>
          <rPr>
            <b/>
            <sz val="9"/>
            <color indexed="81"/>
            <rFont val="Tahoma"/>
            <family val="2"/>
          </rPr>
          <t>Eve Browning:</t>
        </r>
        <r>
          <rPr>
            <sz val="9"/>
            <color indexed="81"/>
            <rFont val="Tahoma"/>
            <family val="2"/>
          </rPr>
          <t xml:space="preserve">
Invoice 3895
Bridge surveys - £5200.87</t>
        </r>
      </text>
    </comment>
    <comment ref="AW27" authorId="0" shapeId="0" xr:uid="{04399634-F312-464C-B991-AD32C08B03FD}">
      <text>
        <r>
          <rPr>
            <b/>
            <sz val="9"/>
            <color indexed="81"/>
            <rFont val="Tahoma"/>
            <family val="2"/>
          </rPr>
          <t>Eve Browning:</t>
        </r>
        <r>
          <rPr>
            <sz val="9"/>
            <color indexed="81"/>
            <rFont val="Tahoma"/>
            <family val="2"/>
          </rPr>
          <t xml:space="preserve">
Invoice 3914
Bridge surveys and works associated with heavy load accesses - £4334.06</t>
        </r>
      </text>
    </comment>
    <comment ref="AX27" authorId="0" shapeId="0" xr:uid="{0ACCCD82-58A2-4C01-A7B5-9451261310CF}">
      <text>
        <r>
          <rPr>
            <b/>
            <sz val="9"/>
            <color indexed="81"/>
            <rFont val="Tahoma"/>
            <family val="2"/>
          </rPr>
          <t>Eve Browning:</t>
        </r>
        <r>
          <rPr>
            <sz val="9"/>
            <color indexed="81"/>
            <rFont val="Tahoma"/>
            <family val="2"/>
          </rPr>
          <t xml:space="preserve">
Invoice 3930
Bridge assessments - £2600.43</t>
        </r>
      </text>
    </comment>
    <comment ref="AZ27" authorId="0" shapeId="0" xr:uid="{CA7345BF-5537-4396-AB6E-D27EBCB299A6}">
      <text>
        <r>
          <rPr>
            <b/>
            <sz val="9"/>
            <color indexed="81"/>
            <rFont val="Tahoma"/>
            <family val="2"/>
          </rPr>
          <t>Eve Browning:</t>
        </r>
        <r>
          <rPr>
            <sz val="9"/>
            <color indexed="81"/>
            <rFont val="Tahoma"/>
            <family val="2"/>
          </rPr>
          <t xml:space="preserve">
Invoice 3965
Bridge assessments - £1213.54</t>
        </r>
      </text>
    </comment>
    <comment ref="BE27" authorId="0" shapeId="0" xr:uid="{67DB074B-77B8-4616-A14F-F59D90D9BBC6}">
      <text>
        <r>
          <rPr>
            <b/>
            <sz val="9"/>
            <color indexed="81"/>
            <rFont val="Tahoma"/>
            <family val="2"/>
          </rPr>
          <t>Eve Browning:</t>
        </r>
        <r>
          <rPr>
            <sz val="9"/>
            <color indexed="81"/>
            <rFont val="Tahoma"/>
            <family val="2"/>
          </rPr>
          <t xml:space="preserve">
Invoice 4095
Additional works on Bridge Assessments for Lincolnshire County Council. 
As per our proposal dated 20.01.23. Final payment. 
(Ref/W/2023/AP/0007)
£886.61</t>
        </r>
      </text>
    </comment>
    <comment ref="M28" authorId="0" shapeId="0" xr:uid="{FB2F8EDB-B3AB-4C72-A9CE-9F73F576F23D}">
      <text>
        <r>
          <rPr>
            <b/>
            <sz val="9"/>
            <color indexed="81"/>
            <rFont val="Tahoma"/>
            <family val="2"/>
          </rPr>
          <t>Eve Browning:</t>
        </r>
        <r>
          <rPr>
            <sz val="9"/>
            <color indexed="81"/>
            <rFont val="Tahoma"/>
            <family val="2"/>
          </rPr>
          <t xml:space="preserve">
Clarkson and Woods. Half of revised quote inc. bat surveys
Additional costs added for otters and water voles/bat tree and building inspections</t>
        </r>
      </text>
    </comment>
    <comment ref="AF28" authorId="0" shapeId="0" xr:uid="{795B25E9-96FA-4C6F-A761-9FC556CF646F}">
      <text>
        <r>
          <rPr>
            <b/>
            <sz val="9"/>
            <color indexed="81"/>
            <rFont val="Tahoma"/>
            <family val="2"/>
          </rPr>
          <t>Eve Browning:</t>
        </r>
        <r>
          <rPr>
            <sz val="9"/>
            <color indexed="81"/>
            <rFont val="Tahoma"/>
            <family val="2"/>
          </rPr>
          <t xml:space="preserve">
1 x wintering bird survey + half-day consultation fee. Invoice number 747919</t>
        </r>
      </text>
    </comment>
    <comment ref="AG28" authorId="0" shapeId="0" xr:uid="{FFE7BC68-E42E-48FB-8ACD-D13EC5D66615}">
      <text>
        <r>
          <rPr>
            <b/>
            <sz val="9"/>
            <color indexed="81"/>
            <rFont val="Tahoma"/>
            <family val="2"/>
          </rPr>
          <t>Eve Browning:</t>
        </r>
        <r>
          <rPr>
            <sz val="9"/>
            <color indexed="81"/>
            <rFont val="Tahoma"/>
            <family val="2"/>
          </rPr>
          <t xml:space="preserve">
-Final Wintering Bird survey - £7,762.50
-Meeting attendance 15/03 - £572.50
Invoice 747921</t>
        </r>
      </text>
    </comment>
    <comment ref="AH28" authorId="0" shapeId="0" xr:uid="{1DDB513B-FAD7-4843-839B-CD8037D94F1B}">
      <text>
        <r>
          <rPr>
            <b/>
            <sz val="9"/>
            <color indexed="81"/>
            <rFont val="Tahoma"/>
            <family val="2"/>
          </rPr>
          <t>Eve Browning:</t>
        </r>
        <r>
          <rPr>
            <sz val="9"/>
            <color indexed="81"/>
            <rFont val="Tahoma"/>
            <family val="2"/>
          </rPr>
          <t xml:space="preserve">
-Breeding Bird Survey - £8463.50
-April bat detector survey - £7,102.50
- Badger sett update £1500.00
(Invoice 
Otter and water vole survey - £6975.00
(Invoice 77359)</t>
        </r>
      </text>
    </comment>
    <comment ref="AI28" authorId="0" shapeId="0" xr:uid="{D251A547-9597-48C7-9546-F70132C8D346}">
      <text>
        <r>
          <rPr>
            <b/>
            <sz val="9"/>
            <color indexed="81"/>
            <rFont val="Tahoma"/>
            <family val="2"/>
          </rPr>
          <t>Eve Browning:</t>
        </r>
        <r>
          <rPr>
            <sz val="9"/>
            <color indexed="81"/>
            <rFont val="Tahoma"/>
            <family val="2"/>
          </rPr>
          <t xml:space="preserve">
Invoice 747925
-Final Breeding Bird Survey - £8,463.50
-May (Final) bat detector survey - £7,102.50
- Great crested newt eDNA surveys of 33 ponds in relation to cable routes AND array sites - £5,610.00 and £3600 (visits and lab fees)
- Preparation of PEIR Ecology chapter –  £5,600.00 
-Input into Landscape and Ecological Management Plan (or similar) – £1,500.00 .
Invoice 773511
- Inspections of buildings for bats and birds - £6,050.00
- Expansion of bat report with building and tree mapping and analysis - £1,950.00</t>
        </r>
      </text>
    </comment>
    <comment ref="AJ28" authorId="0" shapeId="0" xr:uid="{B4008B3C-E086-4C08-A90D-49FF4512B7CC}">
      <text>
        <r>
          <rPr>
            <b/>
            <sz val="9"/>
            <color indexed="81"/>
            <rFont val="Tahoma"/>
            <family val="2"/>
          </rPr>
          <t>Eve Browning:</t>
        </r>
        <r>
          <rPr>
            <sz val="9"/>
            <color indexed="81"/>
            <rFont val="Tahoma"/>
            <family val="2"/>
          </rPr>
          <t xml:space="preserve">
</t>
        </r>
        <r>
          <rPr>
            <b/>
            <sz val="9"/>
            <color indexed="81"/>
            <rFont val="Tahoma"/>
            <family val="2"/>
          </rPr>
          <t xml:space="preserve">Invoice 80082
</t>
        </r>
        <r>
          <rPr>
            <sz val="9"/>
            <color indexed="81"/>
            <rFont val="Tahoma"/>
            <family val="2"/>
          </rPr>
          <t xml:space="preserve">- 2 x cable route breeding bird surveys (£11390)
- 2 x shared cable route breeding bird surveys (£4360)
</t>
        </r>
        <r>
          <rPr>
            <b/>
            <sz val="9"/>
            <color indexed="81"/>
            <rFont val="Tahoma"/>
            <family val="2"/>
          </rPr>
          <t>Invoice 747927</t>
        </r>
        <r>
          <rPr>
            <sz val="9"/>
            <color indexed="81"/>
            <rFont val="Tahoma"/>
            <family val="2"/>
          </rPr>
          <t xml:space="preserve">
- eDNA testing (£2210+1575+300)
- Meeting attendance £375
</t>
        </r>
        <r>
          <rPr>
            <b/>
            <sz val="9"/>
            <color indexed="81"/>
            <rFont val="Tahoma"/>
            <family val="2"/>
          </rPr>
          <t xml:space="preserve">
Invoice 773513
</t>
        </r>
        <r>
          <rPr>
            <sz val="9"/>
            <color indexed="81"/>
            <rFont val="Tahoma"/>
            <family val="2"/>
          </rPr>
          <t>- Cable route phase 1 survey £7500</t>
        </r>
      </text>
    </comment>
    <comment ref="AK28" authorId="0" shapeId="0" xr:uid="{BE047A4E-300D-429D-84D7-E03915A713C4}">
      <text>
        <r>
          <rPr>
            <b/>
            <sz val="9"/>
            <color indexed="81"/>
            <rFont val="Tahoma"/>
            <family val="2"/>
          </rPr>
          <t>Eve Browning:</t>
        </r>
        <r>
          <rPr>
            <sz val="9"/>
            <color indexed="81"/>
            <rFont val="Tahoma"/>
            <family val="2"/>
          </rPr>
          <t xml:space="preserve">
Invoice 747929
- Wintering bird survey report - £2200
- Breeding bird survey report - £2465
- Bat survey report - £2800
- GCN survey report - £870
- Cambridge meeting attendance - £938
Invoice 773515
- 25% of  Phase 1 survey of Cottam cable route (75% invoiced so far) - £3750
Invoice 80084
- Third and final breeding bird survey of Cottam cable route - £5695
- Third and final breeding bird survey of shared cable route - £2180</t>
        </r>
      </text>
    </comment>
    <comment ref="AO28" authorId="0" shapeId="0" xr:uid="{5EC2BD50-E26C-437B-A1C5-922719E40944}">
      <text>
        <r>
          <rPr>
            <b/>
            <sz val="9"/>
            <color indexed="81"/>
            <rFont val="Tahoma"/>
            <family val="2"/>
          </rPr>
          <t>Eve Browning:</t>
        </r>
        <r>
          <rPr>
            <sz val="9"/>
            <color indexed="81"/>
            <rFont val="Tahoma"/>
            <family val="2"/>
          </rPr>
          <t xml:space="preserve">
</t>
        </r>
        <r>
          <rPr>
            <b/>
            <sz val="9"/>
            <color indexed="81"/>
            <rFont val="Tahoma"/>
            <family val="2"/>
          </rPr>
          <t>Invoice 773516</t>
        </r>
        <r>
          <rPr>
            <sz val="9"/>
            <color indexed="81"/>
            <rFont val="Tahoma"/>
            <family val="2"/>
          </rPr>
          <t xml:space="preserve">
Phase 1 cable route (25%) - £3750
Otters and water vole report - £2275
</t>
        </r>
        <r>
          <rPr>
            <b/>
            <sz val="9"/>
            <color indexed="81"/>
            <rFont val="Tahoma"/>
            <family val="2"/>
          </rPr>
          <t xml:space="preserve">
Invoice 747930
</t>
        </r>
        <r>
          <rPr>
            <sz val="9"/>
            <color indexed="81"/>
            <rFont val="Tahoma"/>
            <family val="2"/>
          </rPr>
          <t>ES Chapter - £3700
BNG assessment (50%) - £2950
LEMP - £4500
Ecological protection and mitigation scheme - £2800
Meetings - £645
Design support - £3220</t>
        </r>
      </text>
    </comment>
    <comment ref="AP28" authorId="0" shapeId="0" xr:uid="{C422DCEA-E8FD-46A6-BA53-E2723DBC19FF}">
      <text>
        <r>
          <rPr>
            <b/>
            <sz val="9"/>
            <color indexed="81"/>
            <rFont val="Tahoma"/>
            <family val="2"/>
          </rPr>
          <t>Eve Browning:</t>
        </r>
        <r>
          <rPr>
            <sz val="9"/>
            <color indexed="81"/>
            <rFont val="Tahoma"/>
            <family val="2"/>
          </rPr>
          <t xml:space="preserve">
Invoice 747932
ES Chapter Revisions 1,500.00
LEMP Revisions 1,300.00 
Design support in December 1,075.00
</t>
        </r>
      </text>
    </comment>
    <comment ref="AU28" authorId="0" shapeId="0" xr:uid="{A03F38A6-DC51-4294-BF73-1AFA0A050646}">
      <text>
        <r>
          <rPr>
            <b/>
            <sz val="9"/>
            <color indexed="81"/>
            <rFont val="Tahoma"/>
            <family val="2"/>
          </rPr>
          <t>Eve Browning:</t>
        </r>
        <r>
          <rPr>
            <sz val="9"/>
            <color indexed="81"/>
            <rFont val="Tahoma"/>
            <family val="2"/>
          </rPr>
          <t xml:space="preserve">
Invoice 84311
- GCN eDNA survey of 9 ponds at the Cable Route (50% fee for Cottam) 1,125.00 
- Lab fee for 9 eDNA tests (50% fee for Cottam) 1,125.00
- Statement of Common Ground (SoCG) for Notts Wildlife Trust (1/3 budget) 500.00 
- SoCG for Lincs WT (1/3 budget) 500.00
- SoCG for NE (50% budget) 1,000.00
- Relevant Representations (RRs) response to Councils (1/3 budget) 385.00
- RRs to Other Statutory Consultees (75% budget) 860.00
- RRs to Members of the Public (75% budget) 860.00</t>
        </r>
      </text>
    </comment>
    <comment ref="AV28" authorId="0" shapeId="0" xr:uid="{6FDCA062-476E-4574-93C9-3B2AC284A107}">
      <text>
        <r>
          <rPr>
            <b/>
            <sz val="9"/>
            <color indexed="81"/>
            <rFont val="Tahoma"/>
            <family val="2"/>
          </rPr>
          <t>Eve Browning:</t>
        </r>
        <r>
          <rPr>
            <sz val="9"/>
            <color indexed="81"/>
            <rFont val="Tahoma"/>
            <family val="2"/>
          </rPr>
          <t xml:space="preserve">
Invoice 84313
- Attendance at mock hearing event 1,000.00 
- RRs to Councils (remaining 2/3 budget) 800.00 
- RRs to Other Statutory Consultees (remaining 25% budget) 287.50 
- RRs to Members of the Public (remaining 25% budget) 287.50</t>
        </r>
      </text>
    </comment>
    <comment ref="AZ28" authorId="0" shapeId="0" xr:uid="{7BC20FEB-2F0C-4A28-8C49-B46628918182}">
      <text>
        <r>
          <rPr>
            <b/>
            <sz val="9"/>
            <color indexed="81"/>
            <rFont val="Tahoma"/>
            <family val="2"/>
          </rPr>
          <t>Eve Browning:</t>
        </r>
        <r>
          <rPr>
            <sz val="9"/>
            <color indexed="81"/>
            <rFont val="Tahoma"/>
            <family val="2"/>
          </rPr>
          <t xml:space="preserve">
</t>
        </r>
        <r>
          <rPr>
            <b/>
            <sz val="9"/>
            <color indexed="81"/>
            <rFont val="Tahoma"/>
            <family val="2"/>
          </rPr>
          <t>Invoice 84314</t>
        </r>
        <r>
          <rPr>
            <sz val="9"/>
            <color indexed="81"/>
            <rFont val="Tahoma"/>
            <family val="2"/>
          </rPr>
          <t xml:space="preserve">
Updates to Cottam OLEMP 212.00
Open Floor Hearing Responses 106.00
Natural England SoCG additional revisions post PM review 212.00 
Normanby by Stow cable route extra land site visit and mapping 980.00
Normanby by Stow alternative cable route land site visit and mapping 980.00 
Review of Low Carbon Cumulative Effects comparison report and 
amendments 212.00 
</t>
        </r>
        <r>
          <rPr>
            <b/>
            <sz val="9"/>
            <color indexed="81"/>
            <rFont val="Tahoma"/>
            <family val="2"/>
          </rPr>
          <t xml:space="preserve">Invoice 84982
</t>
        </r>
        <r>
          <rPr>
            <sz val="9"/>
            <color indexed="81"/>
            <rFont val="Tahoma"/>
            <family val="2"/>
          </rPr>
          <t>Preparation of BNG Assessment Report v2 to include Cable Route Corridor 5,100.00</t>
        </r>
      </text>
    </comment>
    <comment ref="BB28" authorId="0" shapeId="0" xr:uid="{4AB4DB89-3650-4104-B08F-3660918E1228}">
      <text>
        <r>
          <rPr>
            <b/>
            <sz val="9"/>
            <color indexed="81"/>
            <rFont val="Tahoma"/>
            <family val="2"/>
          </rPr>
          <t>Eve Browning:</t>
        </r>
        <r>
          <rPr>
            <sz val="9"/>
            <color indexed="81"/>
            <rFont val="Tahoma"/>
            <family val="2"/>
          </rPr>
          <t xml:space="preserve">
Invoice 84316
Applicant's responses to DL3 Submissions 106.00 
DL3: Fish EMF Risk Assessment 424.00
DL3: Update iHRA 265.00 
DL3: ISH2 Notes 53.00 
DL3: Chapter 9 Addendum 212.00 
DL3: OLEMP Update 106.00
DL3: EA Statement of Common Ground 106.00 
DL3: NE SoCG 318.00 
Interrelationships Report Updates (split with WB) 106.00
Application SEIR 318.00 
Site surveys to inform Change Request 424.00 
ISH 3&amp;4 Attendance 1,000.00 
Applicant's responses to DL2 Submissions 212.00 
DL2: ExQ1 Responses 424.00
DL2: LIR Responses 212.00 
DL2: WR Responses Pt 1 265.00 
DL2: WR Responses Pt 2 265.00 
DL2: WR Responses Pt 3 265.00 
Chapter 23 and NTS Update 212.00 </t>
        </r>
      </text>
    </comment>
    <comment ref="BE28" authorId="0" shapeId="0" xr:uid="{9A2901E3-732D-4D85-A038-802485BBFEF5}">
      <text>
        <r>
          <rPr>
            <b/>
            <sz val="9"/>
            <color indexed="81"/>
            <rFont val="Tahoma"/>
            <family val="2"/>
          </rPr>
          <t>Eve Browning:</t>
        </r>
        <r>
          <rPr>
            <sz val="9"/>
            <color indexed="81"/>
            <rFont val="Tahoma"/>
            <family val="2"/>
          </rPr>
          <t xml:space="preserve">
Invoice 84318
Cottam Solar Project Examination - Works Jan 13th 2024 to April 15th 2024
Finalisation of SoCG with EA 636.00
Finalisation of SoCG with NE 212.00
Input into technical note on new cumulative sites 106.00
ExA's 2nd WQs 212.00
BNG Approach Discussions 212.00
Input into West Lindsey SoCG 212.00
Input into Responses to DL3Aand 4 Submissions 371.00
ESAddendum Cumulative Effects 53.00
ExA's 3rd WQs 212.00
Input into Responses to DL5 Submissions 106.00
Section of cable route survey data collation 106.00
Cottam virtual change application hearing 318.00 
Total £2756</t>
        </r>
      </text>
    </comment>
    <comment ref="AH29" authorId="0" shapeId="0" xr:uid="{48275E7F-7464-4A9E-BDF1-8B50BAA9CBD9}">
      <text>
        <r>
          <rPr>
            <b/>
            <sz val="9"/>
            <color indexed="81"/>
            <rFont val="Tahoma"/>
            <family val="2"/>
          </rPr>
          <t>Eve Browning:</t>
        </r>
        <r>
          <rPr>
            <sz val="9"/>
            <color indexed="81"/>
            <rFont val="Tahoma"/>
            <family val="2"/>
          </rPr>
          <t xml:space="preserve">
Invoice 005640</t>
        </r>
      </text>
    </comment>
    <comment ref="AI29" authorId="0" shapeId="0" xr:uid="{3328D03C-CADB-4163-BE34-FE745841795F}">
      <text>
        <r>
          <rPr>
            <b/>
            <sz val="9"/>
            <color indexed="81"/>
            <rFont val="Tahoma"/>
            <family val="2"/>
          </rPr>
          <t>Eve Browning:</t>
        </r>
        <r>
          <rPr>
            <sz val="9"/>
            <color indexed="81"/>
            <rFont val="Tahoma"/>
            <family val="2"/>
          </rPr>
          <t xml:space="preserve">
Invoice 005824</t>
        </r>
      </text>
    </comment>
    <comment ref="AJ29" authorId="0" shapeId="0" xr:uid="{79A75FFA-E41C-4AA3-841A-4BF2FB7E23DF}">
      <text>
        <r>
          <rPr>
            <b/>
            <sz val="9"/>
            <color indexed="81"/>
            <rFont val="Tahoma"/>
            <family val="2"/>
          </rPr>
          <t>Eve Browning:</t>
        </r>
        <r>
          <rPr>
            <sz val="9"/>
            <color indexed="81"/>
            <rFont val="Tahoma"/>
            <family val="2"/>
          </rPr>
          <t xml:space="preserve">
Invoice 006069</t>
        </r>
      </text>
    </comment>
    <comment ref="AK29" authorId="0" shapeId="0" xr:uid="{0D814143-5C2F-4ABA-BAEB-2B817AAF5053}">
      <text>
        <r>
          <rPr>
            <b/>
            <sz val="9"/>
            <color indexed="81"/>
            <rFont val="Tahoma"/>
            <family val="2"/>
          </rPr>
          <t>Eve Browning:</t>
        </r>
        <r>
          <rPr>
            <sz val="9"/>
            <color indexed="81"/>
            <rFont val="Tahoma"/>
            <family val="2"/>
          </rPr>
          <t xml:space="preserve">
Invoice 006195</t>
        </r>
      </text>
    </comment>
    <comment ref="AL29" authorId="0" shapeId="0" xr:uid="{2C825CCE-D5B4-4F40-80BC-1F4A62C8E93F}">
      <text>
        <r>
          <rPr>
            <b/>
            <sz val="9"/>
            <color indexed="81"/>
            <rFont val="Tahoma"/>
            <family val="2"/>
          </rPr>
          <t>Eve Browning:</t>
        </r>
        <r>
          <rPr>
            <sz val="9"/>
            <color indexed="81"/>
            <rFont val="Tahoma"/>
            <family val="2"/>
          </rPr>
          <t xml:space="preserve">
Invoice 006298</t>
        </r>
      </text>
    </comment>
    <comment ref="AN29" authorId="0" shapeId="0" xr:uid="{9749BA86-6BDE-48DF-B334-C3B613FE5772}">
      <text>
        <r>
          <rPr>
            <b/>
            <sz val="9"/>
            <color indexed="81"/>
            <rFont val="Tahoma"/>
            <family val="2"/>
          </rPr>
          <t>Eve Browning:</t>
        </r>
        <r>
          <rPr>
            <sz val="9"/>
            <color indexed="81"/>
            <rFont val="Tahoma"/>
            <family val="2"/>
          </rPr>
          <t xml:space="preserve">
Invoice 006825</t>
        </r>
      </text>
    </comment>
    <comment ref="AO29" authorId="0" shapeId="0" xr:uid="{E893A531-DD02-495F-92D0-67B8BC715FA9}">
      <text>
        <r>
          <rPr>
            <b/>
            <sz val="9"/>
            <color indexed="81"/>
            <rFont val="Tahoma"/>
            <family val="2"/>
          </rPr>
          <t>Eve Browning:</t>
        </r>
        <r>
          <rPr>
            <sz val="9"/>
            <color indexed="81"/>
            <rFont val="Tahoma"/>
            <family val="2"/>
          </rPr>
          <t xml:space="preserve">
Invoice 007024
Env masterplan and BNG calcs - £3727.5</t>
        </r>
      </text>
    </comment>
    <comment ref="AP29" authorId="0" shapeId="0" xr:uid="{643112D1-6D0F-4B69-A5A5-529FE50662B2}">
      <text>
        <r>
          <rPr>
            <b/>
            <sz val="9"/>
            <color indexed="81"/>
            <rFont val="Tahoma"/>
            <family val="2"/>
          </rPr>
          <t>Eve Browning:</t>
        </r>
        <r>
          <rPr>
            <sz val="9"/>
            <color indexed="81"/>
            <rFont val="Tahoma"/>
            <family val="2"/>
          </rPr>
          <t xml:space="preserve">
Invoice 007065
Env. Masterplan and BNG calculations for ecologists - £2130</t>
        </r>
      </text>
    </comment>
    <comment ref="C30" authorId="0" shapeId="0" xr:uid="{A87189EF-380D-4AF5-90D3-26EF63ECCCE3}">
      <text>
        <r>
          <rPr>
            <b/>
            <sz val="9"/>
            <color indexed="81"/>
            <rFont val="Tahoma"/>
            <family val="2"/>
          </rPr>
          <t>Eve Browning:</t>
        </r>
        <r>
          <rPr>
            <sz val="9"/>
            <color indexed="81"/>
            <rFont val="Tahoma"/>
            <family val="2"/>
          </rPr>
          <t xml:space="preserve">
Note: Lanpro issue different invoices for their 'planning', 'landscape' (LVIA) and 'heritage' teams so we get three separate monthly invoices from them. This row is just for landscape
costs</t>
        </r>
      </text>
    </comment>
    <comment ref="AF30" authorId="0" shapeId="0" xr:uid="{3BEF456B-10FF-4CD6-8DA1-394B1075F449}">
      <text>
        <r>
          <rPr>
            <b/>
            <sz val="9"/>
            <color indexed="81"/>
            <rFont val="Tahoma"/>
            <family val="2"/>
          </rPr>
          <t>Eve Browning:</t>
        </r>
        <r>
          <rPr>
            <sz val="9"/>
            <color indexed="81"/>
            <rFont val="Tahoma"/>
            <family val="2"/>
          </rPr>
          <t xml:space="preserve">
Invoice number 005231</t>
        </r>
      </text>
    </comment>
    <comment ref="AG30" authorId="0" shapeId="0" xr:uid="{1B5BFB6F-3659-4CF9-AD77-82035A52466B}">
      <text>
        <r>
          <rPr>
            <b/>
            <sz val="9"/>
            <color indexed="81"/>
            <rFont val="Tahoma"/>
            <family val="2"/>
          </rPr>
          <t>Eve Browning:</t>
        </r>
        <r>
          <rPr>
            <sz val="9"/>
            <color indexed="81"/>
            <rFont val="Tahoma"/>
            <family val="2"/>
          </rPr>
          <t xml:space="preserve">
Invoice 005471</t>
        </r>
      </text>
    </comment>
    <comment ref="AH30" authorId="0" shapeId="0" xr:uid="{3F2F2573-7CDD-481B-A73F-C17BCA05E402}">
      <text>
        <r>
          <rPr>
            <b/>
            <sz val="9"/>
            <color indexed="81"/>
            <rFont val="Tahoma"/>
            <family val="2"/>
          </rPr>
          <t>Eve Browning:</t>
        </r>
        <r>
          <rPr>
            <sz val="9"/>
            <color indexed="81"/>
            <rFont val="Tahoma"/>
            <family val="2"/>
          </rPr>
          <t xml:space="preserve">
Invoice 005640</t>
        </r>
      </text>
    </comment>
    <comment ref="AI30" authorId="0" shapeId="0" xr:uid="{1559706B-EFBD-4C6E-B871-C55A3A85A344}">
      <text>
        <r>
          <rPr>
            <b/>
            <sz val="9"/>
            <color indexed="81"/>
            <rFont val="Tahoma"/>
            <family val="2"/>
          </rPr>
          <t>Eve Browning:</t>
        </r>
        <r>
          <rPr>
            <sz val="9"/>
            <color indexed="81"/>
            <rFont val="Tahoma"/>
            <family val="2"/>
          </rPr>
          <t xml:space="preserve">
Invoice 005824</t>
        </r>
      </text>
    </comment>
    <comment ref="AJ30" authorId="0" shapeId="0" xr:uid="{7C4FDED8-6540-4313-AA23-EC13021684FA}">
      <text>
        <r>
          <rPr>
            <b/>
            <sz val="9"/>
            <color indexed="81"/>
            <rFont val="Tahoma"/>
            <family val="2"/>
          </rPr>
          <t>Eve Browning:</t>
        </r>
        <r>
          <rPr>
            <sz val="9"/>
            <color indexed="81"/>
            <rFont val="Tahoma"/>
            <family val="2"/>
          </rPr>
          <t xml:space="preserve">
Invoice 006069
LVIA, meetings and consultation, summer photography and processing, expenses</t>
        </r>
      </text>
    </comment>
    <comment ref="AK30" authorId="0" shapeId="0" xr:uid="{85C3170D-B337-4FFF-AB2D-0C85474AE240}">
      <text>
        <r>
          <rPr>
            <b/>
            <sz val="9"/>
            <color indexed="81"/>
            <rFont val="Tahoma"/>
            <family val="2"/>
          </rPr>
          <t>Eve Browning:</t>
        </r>
        <r>
          <rPr>
            <sz val="9"/>
            <color indexed="81"/>
            <rFont val="Tahoma"/>
            <family val="2"/>
          </rPr>
          <t xml:space="preserve">
Invoice 006195</t>
        </r>
      </text>
    </comment>
    <comment ref="AL30" authorId="0" shapeId="0" xr:uid="{62BCC0F4-D346-43DD-847D-1D2D551B707A}">
      <text>
        <r>
          <rPr>
            <b/>
            <sz val="9"/>
            <color indexed="81"/>
            <rFont val="Tahoma"/>
            <family val="2"/>
          </rPr>
          <t>Eve Browning:</t>
        </r>
        <r>
          <rPr>
            <sz val="9"/>
            <color indexed="81"/>
            <rFont val="Tahoma"/>
            <family val="2"/>
          </rPr>
          <t xml:space="preserve">
Invoice 006298</t>
        </r>
      </text>
    </comment>
    <comment ref="AM30" authorId="0" shapeId="0" xr:uid="{E973DABC-D1D4-4FCB-949A-9D1F82F78ED9}">
      <text>
        <r>
          <rPr>
            <b/>
            <sz val="9"/>
            <color indexed="81"/>
            <rFont val="Tahoma"/>
            <family val="2"/>
          </rPr>
          <t>Eve Browning:</t>
        </r>
        <r>
          <rPr>
            <sz val="9"/>
            <color indexed="81"/>
            <rFont val="Tahoma"/>
            <family val="2"/>
          </rPr>
          <t xml:space="preserve">
</t>
        </r>
        <r>
          <rPr>
            <b/>
            <sz val="9"/>
            <color indexed="81"/>
            <rFont val="Tahoma"/>
            <family val="2"/>
          </rPr>
          <t>Invoice 006652</t>
        </r>
        <r>
          <rPr>
            <sz val="9"/>
            <color indexed="81"/>
            <rFont val="Tahoma"/>
            <family val="2"/>
          </rPr>
          <t xml:space="preserve">
- GIS Suite of Figures, Abnormal loads, Land ownership, ALC, DCO Works Plans £2,700.00 
- Landscape Parameter Plans £2,000.00 
- LVIA £10,000.00 
- Masking for Photomontages £11,500.00 
- Meetings/Consultation £4,000.00 
- 3D Modelling £4,000.00 </t>
        </r>
      </text>
    </comment>
    <comment ref="AN30" authorId="0" shapeId="0" xr:uid="{CE26B711-DD24-4EE4-84C4-07B8578817DD}">
      <text>
        <r>
          <rPr>
            <b/>
            <sz val="9"/>
            <color indexed="81"/>
            <rFont val="Tahoma"/>
            <family val="2"/>
          </rPr>
          <t>Eve Browning:</t>
        </r>
        <r>
          <rPr>
            <sz val="9"/>
            <color indexed="81"/>
            <rFont val="Tahoma"/>
            <family val="2"/>
          </rPr>
          <t xml:space="preserve">
Invoice 006825
Visualisation Rendering £6,872.05 
LEMP Masterplan with ecological Mitigation £2,942.50 
LVIA Chapter including revisions to comply with the latest layout £30,107.50
Meetings/Consultation £3,325.00 
Photomasking and montages (winter year 1 &amp; summer year 15) £27,250.00
</t>
        </r>
      </text>
    </comment>
    <comment ref="AO30" authorId="0" shapeId="0" xr:uid="{3EEDB026-8979-4E45-8C88-11A4DD1117E2}">
      <text>
        <r>
          <rPr>
            <b/>
            <sz val="9"/>
            <color indexed="81"/>
            <rFont val="Tahoma"/>
            <family val="2"/>
          </rPr>
          <t>Eve Browning:</t>
        </r>
        <r>
          <rPr>
            <sz val="9"/>
            <color indexed="81"/>
            <rFont val="Tahoma"/>
            <family val="2"/>
          </rPr>
          <t xml:space="preserve">
Invoice 007024
GIS figures = £6439
LVIA - £35565
Meetings - £1640
Photomasking/montages - £2875</t>
        </r>
      </text>
    </comment>
    <comment ref="AP30" authorId="0" shapeId="0" xr:uid="{C9BADA5D-24C4-4B76-9E20-E0ABAA2DD42D}">
      <text>
        <r>
          <rPr>
            <b/>
            <sz val="9"/>
            <color indexed="81"/>
            <rFont val="Tahoma"/>
            <family val="2"/>
          </rPr>
          <t>Eve Browning:</t>
        </r>
        <r>
          <rPr>
            <sz val="9"/>
            <color indexed="81"/>
            <rFont val="Tahoma"/>
            <family val="2"/>
          </rPr>
          <t xml:space="preserve">
</t>
        </r>
        <r>
          <rPr>
            <b/>
            <sz val="9"/>
            <color indexed="81"/>
            <rFont val="Tahoma"/>
            <family val="2"/>
          </rPr>
          <t>Invoice 007065</t>
        </r>
        <r>
          <rPr>
            <sz val="9"/>
            <color indexed="81"/>
            <rFont val="Tahoma"/>
            <family val="2"/>
          </rPr>
          <t xml:space="preserve">
GIS Figures - revised suite £7,110.00
Photomontages Production £16,882.50
LVIA £51,713.75 
Meetings/Consultation £2,472.50
</t>
        </r>
        <r>
          <rPr>
            <b/>
            <sz val="9"/>
            <color indexed="81"/>
            <rFont val="Tahoma"/>
            <family val="2"/>
          </rPr>
          <t>Invoice 007390</t>
        </r>
        <r>
          <rPr>
            <sz val="9"/>
            <color indexed="81"/>
            <rFont val="Tahoma"/>
            <family val="2"/>
          </rPr>
          <t xml:space="preserve">
- LVIA to submission £47,865.15
- Figures and plans to submission £2,485.00 
- Additional Visualisations to submission £3,421.25 
- Additional Visualisations post submission £2,745.00 </t>
        </r>
      </text>
    </comment>
    <comment ref="AR30" authorId="0" shapeId="0" xr:uid="{5100A214-18AC-4D28-B3EF-DCBE296162EB}">
      <text>
        <r>
          <rPr>
            <b/>
            <sz val="9"/>
            <color indexed="81"/>
            <rFont val="Tahoma"/>
            <family val="2"/>
          </rPr>
          <t>Eve Browning:</t>
        </r>
        <r>
          <rPr>
            <sz val="9"/>
            <color indexed="81"/>
            <rFont val="Tahoma"/>
            <family val="2"/>
          </rPr>
          <t xml:space="preserve">
Invoice 007617
Additional photography to capture additional viewpoints in 
winter £3,450.00
Photography to update montages following detailed review 4,370.00
Landscape Visualisations £3,375.00</t>
        </r>
      </text>
    </comment>
    <comment ref="AS30" authorId="0" shapeId="0" xr:uid="{44846338-7243-4E19-B9EB-3E0026A34A08}">
      <text>
        <r>
          <rPr>
            <b/>
            <sz val="9"/>
            <color indexed="81"/>
            <rFont val="Tahoma"/>
            <family val="2"/>
          </rPr>
          <t>Eve Browning:</t>
        </r>
        <r>
          <rPr>
            <sz val="9"/>
            <color indexed="81"/>
            <rFont val="Tahoma"/>
            <family val="2"/>
          </rPr>
          <t xml:space="preserve">
Invoice 007687
Additional landscape mitigation plan - £1552.50</t>
        </r>
      </text>
    </comment>
    <comment ref="AT30" authorId="0" shapeId="0" xr:uid="{79358A73-C58D-44FD-883E-9A5E140F541E}">
      <text>
        <r>
          <rPr>
            <b/>
            <sz val="9"/>
            <color indexed="81"/>
            <rFont val="Tahoma"/>
            <family val="2"/>
          </rPr>
          <t>Eve Browning:</t>
        </r>
        <r>
          <rPr>
            <sz val="9"/>
            <color indexed="81"/>
            <rFont val="Tahoma"/>
            <family val="2"/>
          </rPr>
          <t xml:space="preserve">
Invoice 8006
Stage 4 pre-examination - £12318.75</t>
        </r>
      </text>
    </comment>
    <comment ref="AU30" authorId="0" shapeId="0" xr:uid="{C2700724-8BAF-4F55-BD80-09BBCBC4A705}">
      <text>
        <r>
          <rPr>
            <b/>
            <sz val="9"/>
            <color indexed="81"/>
            <rFont val="Tahoma"/>
            <family val="2"/>
          </rPr>
          <t>Eve Browning:</t>
        </r>
        <r>
          <rPr>
            <sz val="9"/>
            <color indexed="81"/>
            <rFont val="Tahoma"/>
            <family val="2"/>
          </rPr>
          <t xml:space="preserve">
Invoice 008268
Stage 4 pre-examination - £13256.25</t>
        </r>
      </text>
    </comment>
    <comment ref="AV30" authorId="0" shapeId="0" xr:uid="{FEF0ED95-EBA8-4028-ABF4-8C57B074884F}">
      <text>
        <r>
          <rPr>
            <b/>
            <sz val="9"/>
            <color indexed="81"/>
            <rFont val="Tahoma"/>
            <family val="2"/>
          </rPr>
          <t>Eve Browning:</t>
        </r>
        <r>
          <rPr>
            <sz val="9"/>
            <color indexed="81"/>
            <rFont val="Tahoma"/>
            <family val="2"/>
          </rPr>
          <t xml:space="preserve">
Invoice 008338
- Stage 4 Pre-examination - £13123
- Additional photography - £2300</t>
        </r>
      </text>
    </comment>
    <comment ref="AW30" authorId="0" shapeId="0" xr:uid="{0385870F-258F-4ABD-BAEE-B0D80C190E1D}">
      <text>
        <r>
          <rPr>
            <b/>
            <sz val="9"/>
            <color indexed="81"/>
            <rFont val="Tahoma"/>
            <family val="2"/>
          </rPr>
          <t>Eve Browning:</t>
        </r>
        <r>
          <rPr>
            <sz val="9"/>
            <color indexed="81"/>
            <rFont val="Tahoma"/>
            <family val="2"/>
          </rPr>
          <t xml:space="preserve">
</t>
        </r>
        <r>
          <rPr>
            <b/>
            <sz val="9"/>
            <color indexed="81"/>
            <rFont val="Tahoma"/>
            <family val="2"/>
          </rPr>
          <t>Invoice 008695</t>
        </r>
        <r>
          <rPr>
            <sz val="9"/>
            <color indexed="81"/>
            <rFont val="Tahoma"/>
            <family val="2"/>
          </rPr>
          <t xml:space="preserve">
Pre-examination - £8895.75
Additional photography, viewpoints and drone videos - £3749
</t>
        </r>
        <r>
          <rPr>
            <b/>
            <sz val="9"/>
            <color indexed="81"/>
            <rFont val="Tahoma"/>
            <family val="2"/>
          </rPr>
          <t>Credit note 008722</t>
        </r>
        <r>
          <rPr>
            <sz val="9"/>
            <color indexed="81"/>
            <rFont val="Tahoma"/>
            <family val="2"/>
          </rPr>
          <t xml:space="preserve">
Drone survey refund - £600</t>
        </r>
      </text>
    </comment>
    <comment ref="AX30" authorId="0" shapeId="0" xr:uid="{0E2402AC-46A0-4EC3-8CAA-6B990437117C}">
      <text>
        <r>
          <rPr>
            <b/>
            <sz val="9"/>
            <color indexed="81"/>
            <rFont val="Tahoma"/>
            <family val="2"/>
          </rPr>
          <t>Eve Browning:</t>
        </r>
        <r>
          <rPr>
            <sz val="9"/>
            <color indexed="81"/>
            <rFont val="Tahoma"/>
            <family val="2"/>
          </rPr>
          <t xml:space="preserve">
Invoice 008756
General Project Management (i.e. meetings, comms with Historic England)
Statements of Common Ground
Responses to Relevant Representations
Viewpoint locations for the Inspector 
Review of issued documents (i.e. Rule 6)
Review of other schemes (Tillbridge / Gate Burton)
Review of submitted HE documents
Consolidation / review of counter arguments (i.e. archaeology / heritage issues)
£11060</t>
        </r>
      </text>
    </comment>
    <comment ref="AY30" authorId="0" shapeId="0" xr:uid="{BB172110-5D67-46C1-A1FB-116206CA0D08}">
      <text>
        <r>
          <rPr>
            <b/>
            <sz val="9"/>
            <color indexed="81"/>
            <rFont val="Tahoma"/>
            <family val="2"/>
          </rPr>
          <t>Eve Browning:</t>
        </r>
        <r>
          <rPr>
            <sz val="9"/>
            <color indexed="81"/>
            <rFont val="Tahoma"/>
            <family val="2"/>
          </rPr>
          <t xml:space="preserve">
Invoice 008966
• Progressing relevant reps and SoCGs
• Interrelationship and cumulative effects 
• Revisions to documents and plans
• Hedgerow Removal Plans and cross checks with OLEMP
• LVIA workshops with Lincolnshire
£8453</t>
        </r>
      </text>
    </comment>
    <comment ref="AZ30" authorId="0" shapeId="0" xr:uid="{2EAC3AB8-4C98-46E0-9AE5-02EF3AF77F88}">
      <text>
        <r>
          <rPr>
            <b/>
            <sz val="9"/>
            <color indexed="81"/>
            <rFont val="Tahoma"/>
            <family val="2"/>
          </rPr>
          <t>Eve Browning:</t>
        </r>
        <r>
          <rPr>
            <sz val="9"/>
            <color indexed="81"/>
            <rFont val="Tahoma"/>
            <family val="2"/>
          </rPr>
          <t xml:space="preserve">
Invoice 009168
Landscape:
- Progressing relevant reps and SoCGs
- Crossing Schedule Updates: Streets and Private Tracks
- Deadline 1 Submission
-Pre-Examination: Updates to NCC/LCC following LVIA Workshop 4
- Open Floor Hearing: Landscape response to public feedback
Stage 5 Examination £13,228.50
Site Visit Expenses £338.38
</t>
        </r>
      </text>
    </comment>
    <comment ref="BA30" authorId="0" shapeId="0" xr:uid="{08DF5657-0FFA-432E-92A2-C24C37F54F82}">
      <text>
        <r>
          <rPr>
            <b/>
            <sz val="9"/>
            <color indexed="81"/>
            <rFont val="Tahoma"/>
            <family val="2"/>
          </rPr>
          <t>Eve Browning:</t>
        </r>
        <r>
          <rPr>
            <sz val="9"/>
            <color indexed="81"/>
            <rFont val="Tahoma"/>
            <family val="2"/>
          </rPr>
          <t xml:space="preserve">
Invoice 009369
Landscape:
- ZTV updates (Fixed &amp; Tracker Panels)
- LPA Consultant Meeting
- Landscape Cross Sectons
- LVIA Documents for Examination
- General Review
£9443</t>
        </r>
      </text>
    </comment>
    <comment ref="BB30" authorId="0" shapeId="0" xr:uid="{A5744645-4553-45E7-AF9A-8EB2A0A6A3B2}">
      <text>
        <r>
          <rPr>
            <b/>
            <sz val="9"/>
            <color indexed="81"/>
            <rFont val="Tahoma"/>
            <family val="2"/>
          </rPr>
          <t>Eve Browning:</t>
        </r>
        <r>
          <rPr>
            <sz val="9"/>
            <color indexed="81"/>
            <rFont val="Tahoma"/>
            <family val="2"/>
          </rPr>
          <t xml:space="preserve">
Invoice 009553
- Attendance at Hearing. Team briefings/debriefings and post hearing tasks. 
- Production of Cumulative Impact ZTVs and supporting text for Hearing.
- DCO Plans: GIS Updates and Order Limits Change Review
- Deadline 2: Applicant responses to Relevant Reps Meeting 
- Deadline 3: oLEMP updates in line with other docs
- Deadline 2: Response to comments from Local Authorities
- Deadline 3: Post Hearing Notes for Skelton, Beneficial Effects, Points of Contention and 4.5m 
panels
- Stage 4 Pre-Examination and preparation for hearing and response to PINS Deadlines
£16,142.50 
- Stage 5 Examination: Meetings in London for Mock Hearing, Preparation for Hearing (WW and MT), Attendance at  hearings, response to written reps, deadline 2 and 3, inspectors comments, interrelationship report, Blyton  Racetrack briefing, response to grid route changes, OLEMP  changes; £27,884.00 
- GIS and Landscape drawings and figure updates: Order limits, DCO Plans, Landscape Sections, hedgerow removal plans £6,242.50
- Meetings held with client, Pinsent Mason, Local Planning Authority £1,567.50
- Variations to ZTV in response to inspectors questions and request by Jan following meeting in London £907.50 
Travelling &amp; Printing £1,569.78 
Total £54313.78</t>
        </r>
      </text>
    </comment>
    <comment ref="BC30" authorId="0" shapeId="0" xr:uid="{866F27F6-77E7-413B-9895-FAB1F5245F0A}">
      <text>
        <r>
          <rPr>
            <b/>
            <sz val="9"/>
            <color indexed="81"/>
            <rFont val="Tahoma"/>
            <family val="2"/>
          </rPr>
          <t>Eve Browning:</t>
        </r>
        <r>
          <rPr>
            <sz val="9"/>
            <color indexed="81"/>
            <rFont val="Tahoma"/>
            <family val="2"/>
          </rPr>
          <t xml:space="preserve">
Invoice 009749
Landscape:
- Inter-relationships report
- Review of reps for D4
- Applicants response to D3
- Statement of common ground
- Joint statement
- Technical note on new cumulative sites
- DCO plan updates
- LPA consultation meetings
- Fly through
- Blyton line of sight assessment
Stage 5 Examination £5,000.00 
Fly-Through £7,500.00 
Additional Meetings £155.00
Blyton Racetrack £2,257.50 
Travelling &amp; Printing £367.61
£15280.11
</t>
        </r>
      </text>
    </comment>
    <comment ref="BD30" authorId="0" shapeId="0" xr:uid="{DC1B512B-DF60-4295-A22A-EECFAA342125}">
      <text>
        <r>
          <rPr>
            <b/>
            <sz val="9"/>
            <color indexed="81"/>
            <rFont val="Tahoma"/>
            <family val="2"/>
          </rPr>
          <t>Eve Browning:</t>
        </r>
        <r>
          <rPr>
            <sz val="9"/>
            <color indexed="81"/>
            <rFont val="Tahoma"/>
            <family val="2"/>
          </rPr>
          <t xml:space="preserve">
Invoice 009968
Landscape:
Finalising SoCG, including virtual meetings with LCC/AAH.
Review of LPA statement of Landscape effects.
Change Application.
West Lindsey SoCG.
DL3 and DL4 Submission material.
£8600</t>
        </r>
      </text>
    </comment>
    <comment ref="BE30" authorId="0" shapeId="0" xr:uid="{20A86E28-049C-46B4-B167-9522CE9D60F5}">
      <text>
        <r>
          <rPr>
            <b/>
            <sz val="9"/>
            <color indexed="81"/>
            <rFont val="Tahoma"/>
            <family val="2"/>
          </rPr>
          <t>Eve Browning:</t>
        </r>
        <r>
          <rPr>
            <sz val="9"/>
            <color indexed="81"/>
            <rFont val="Tahoma"/>
            <family val="2"/>
          </rPr>
          <t xml:space="preserve">
Invoice 010196
Landscape:
- Close out of final submission for D6 for close of Cottam examination including SoCGs, closing
statements and final deliverables.
£5000</t>
        </r>
      </text>
    </comment>
    <comment ref="M31" authorId="0" shapeId="0" xr:uid="{65B7F8E0-345E-4560-94AE-B1E817BBA230}">
      <text>
        <r>
          <rPr>
            <b/>
            <sz val="9"/>
            <color indexed="81"/>
            <rFont val="Tahoma"/>
            <family val="2"/>
          </rPr>
          <t>Eve Browning:</t>
        </r>
        <r>
          <rPr>
            <sz val="9"/>
            <color indexed="81"/>
            <rFont val="Tahoma"/>
            <family val="2"/>
          </rPr>
          <t xml:space="preserve">
Included for in Highways work</t>
        </r>
      </text>
    </comment>
    <comment ref="C32" authorId="0" shapeId="0" xr:uid="{E7E6208D-5B6F-47BC-A624-6BC05E9C1DD1}">
      <text>
        <r>
          <rPr>
            <b/>
            <sz val="9"/>
            <color indexed="81"/>
            <rFont val="Tahoma"/>
            <family val="2"/>
          </rPr>
          <t>Eve Browning:</t>
        </r>
        <r>
          <rPr>
            <sz val="9"/>
            <color indexed="81"/>
            <rFont val="Tahoma"/>
            <family val="2"/>
          </rPr>
          <t xml:space="preserve">
Also invoice us for air quality costs</t>
        </r>
      </text>
    </comment>
    <comment ref="M32" authorId="0" shapeId="0" xr:uid="{71D1C4C5-B0C6-40E2-BA23-179984F8FF57}">
      <text>
        <r>
          <rPr>
            <b/>
            <sz val="9"/>
            <color indexed="81"/>
            <rFont val="Tahoma"/>
            <family val="2"/>
          </rPr>
          <t>Eve Browning:</t>
        </r>
        <r>
          <rPr>
            <sz val="9"/>
            <color indexed="81"/>
            <rFont val="Tahoma"/>
            <family val="2"/>
          </rPr>
          <t xml:space="preserve">
Original quote for background monitoring 17450/2 + £650 for scoping + £1250 for ES chapter</t>
        </r>
      </text>
    </comment>
    <comment ref="AH32" authorId="0" shapeId="0" xr:uid="{A85FA90C-4DF2-4063-811A-3FA713F97798}">
      <text>
        <r>
          <rPr>
            <b/>
            <sz val="9"/>
            <color indexed="81"/>
            <rFont val="Tahoma"/>
            <family val="2"/>
          </rPr>
          <t>Eve Browning:</t>
        </r>
        <r>
          <rPr>
            <sz val="9"/>
            <color indexed="81"/>
            <rFont val="Tahoma"/>
            <family val="2"/>
          </rPr>
          <t xml:space="preserve">
PEIR £1650, category 3 £1450, modelling £3150, meetings £425
Invoice 30034532</t>
        </r>
      </text>
    </comment>
    <comment ref="AP32" authorId="0" shapeId="0" xr:uid="{1EE94AEF-DFA8-4B26-AC5F-14F761771605}">
      <text>
        <r>
          <rPr>
            <b/>
            <sz val="9"/>
            <color indexed="81"/>
            <rFont val="Tahoma"/>
            <family val="2"/>
          </rPr>
          <t>Eve Browning:</t>
        </r>
        <r>
          <rPr>
            <sz val="9"/>
            <color indexed="81"/>
            <rFont val="Tahoma"/>
            <family val="2"/>
          </rPr>
          <t xml:space="preserve">
Invoice 784-B031438 / 30048654
7 x meetings @ £85 per meeting £595.00
ES Noise Chapter £1,250.00
Cable Route Assesment £1,250.00
Additional works including scheme amendments £2,900.00
</t>
        </r>
      </text>
    </comment>
    <comment ref="AZ32" authorId="0" shapeId="0" xr:uid="{E5F7494A-EB61-433F-8068-3B64D8015331}">
      <text>
        <r>
          <rPr>
            <b/>
            <sz val="9"/>
            <color indexed="81"/>
            <rFont val="Tahoma"/>
            <family val="2"/>
          </rPr>
          <t>Eve Browning:</t>
        </r>
        <r>
          <rPr>
            <sz val="9"/>
            <color indexed="81"/>
            <rFont val="Tahoma"/>
            <family val="2"/>
          </rPr>
          <t xml:space="preserve">
Invoice 30065904
Stage 4 pre-examination - £3950</t>
        </r>
      </text>
    </comment>
    <comment ref="BA32" authorId="0" shapeId="0" xr:uid="{5BE4E6FC-221C-4A2B-B48A-4273222F45AF}">
      <text>
        <r>
          <rPr>
            <b/>
            <sz val="9"/>
            <color indexed="81"/>
            <rFont val="Tahoma"/>
            <family val="2"/>
          </rPr>
          <t>Eve Browning:</t>
        </r>
        <r>
          <rPr>
            <sz val="9"/>
            <color indexed="81"/>
            <rFont val="Tahoma"/>
            <family val="2"/>
          </rPr>
          <t xml:space="preserve">
Invoice 30072169
Hearing attendance and Blyton race track site visit - £3850
</t>
        </r>
      </text>
    </comment>
    <comment ref="BB32" authorId="0" shapeId="0" xr:uid="{53B48676-A601-4CF8-B594-8BFDB873B9DA}">
      <text>
        <r>
          <rPr>
            <b/>
            <sz val="9"/>
            <color indexed="81"/>
            <rFont val="Tahoma"/>
            <family val="2"/>
          </rPr>
          <t>Eve Browning:</t>
        </r>
        <r>
          <rPr>
            <sz val="9"/>
            <color indexed="81"/>
            <rFont val="Tahoma"/>
            <family val="2"/>
          </rPr>
          <t xml:space="preserve">
</t>
        </r>
        <r>
          <rPr>
            <b/>
            <sz val="9"/>
            <color indexed="81"/>
            <rFont val="Tahoma"/>
            <family val="2"/>
          </rPr>
          <t>S&amp;D Garritt</t>
        </r>
        <r>
          <rPr>
            <sz val="9"/>
            <color indexed="81"/>
            <rFont val="Tahoma"/>
            <family val="2"/>
          </rPr>
          <t xml:space="preserve"> 
Blyton Park site visit attendance - £950
</t>
        </r>
        <r>
          <rPr>
            <b/>
            <sz val="9"/>
            <color indexed="81"/>
            <rFont val="Tahoma"/>
            <family val="2"/>
          </rPr>
          <t>Invoice 30076110 Tetratech</t>
        </r>
        <r>
          <rPr>
            <sz val="9"/>
            <color indexed="81"/>
            <rFont val="Tahoma"/>
            <family val="2"/>
          </rPr>
          <t xml:space="preserve">
Desk based noise assessment (Blyton Park Driving Centre) - £4550</t>
        </r>
      </text>
    </comment>
    <comment ref="BD32" authorId="0" shapeId="0" xr:uid="{7C514F71-E61A-4791-8BDB-F8F81CEB1E0E}">
      <text>
        <r>
          <rPr>
            <b/>
            <sz val="9"/>
            <color indexed="81"/>
            <rFont val="Tahoma"/>
            <family val="2"/>
          </rPr>
          <t>Eve Browning:</t>
        </r>
        <r>
          <rPr>
            <sz val="9"/>
            <color indexed="81"/>
            <rFont val="Tahoma"/>
            <family val="2"/>
          </rPr>
          <t xml:space="preserve">
</t>
        </r>
        <r>
          <rPr>
            <b/>
            <sz val="9"/>
            <color indexed="81"/>
            <rFont val="Tahoma"/>
            <family val="2"/>
          </rPr>
          <t>S &amp; D Garritt invoice 7824</t>
        </r>
        <r>
          <rPr>
            <sz val="9"/>
            <color indexed="81"/>
            <rFont val="Tahoma"/>
            <family val="2"/>
          </rPr>
          <t xml:space="preserve">
- Initial analysis of Tetratech Acoustic Report &amp; Modelling
- Formal response dated 22nd February 2024 including all correspondence and discussion.
£960
</t>
        </r>
        <r>
          <rPr>
            <b/>
            <sz val="9"/>
            <color indexed="81"/>
            <rFont val="Tahoma"/>
            <family val="2"/>
          </rPr>
          <t>Tetratech invoice 30082428</t>
        </r>
        <r>
          <rPr>
            <sz val="9"/>
            <color indexed="81"/>
            <rFont val="Tahoma"/>
            <family val="2"/>
          </rPr>
          <t xml:space="preserve">
Noise responses during examination period - £1950</t>
        </r>
      </text>
    </comment>
    <comment ref="BF32" authorId="0" shapeId="0" xr:uid="{3961D716-49F2-414A-B652-1A0187662203}">
      <text>
        <r>
          <rPr>
            <b/>
            <sz val="9"/>
            <color indexed="81"/>
            <rFont val="Tahoma"/>
            <family val="2"/>
          </rPr>
          <t>Eve Browning:</t>
        </r>
        <r>
          <rPr>
            <sz val="9"/>
            <color indexed="81"/>
            <rFont val="Tahoma"/>
            <family val="2"/>
          </rPr>
          <t xml:space="preserve">
Invoice 30086612
Examination final inputs - £1950</t>
        </r>
      </text>
    </comment>
    <comment ref="AL33" authorId="0" shapeId="0" xr:uid="{FB749578-C6C8-4FEF-8AC0-8E8A1803390D}">
      <text>
        <r>
          <rPr>
            <b/>
            <sz val="9"/>
            <color indexed="81"/>
            <rFont val="Tahoma"/>
            <family val="2"/>
          </rPr>
          <t>Eve Browning:</t>
        </r>
        <r>
          <rPr>
            <sz val="9"/>
            <color indexed="81"/>
            <rFont val="Tahoma"/>
            <family val="2"/>
          </rPr>
          <t xml:space="preserve">
Invoice 006298</t>
        </r>
      </text>
    </comment>
    <comment ref="AM33" authorId="0" shapeId="0" xr:uid="{98B6CE6F-40A8-43FB-BD5E-751AE1DA2442}">
      <text>
        <r>
          <rPr>
            <b/>
            <sz val="9"/>
            <color indexed="81"/>
            <rFont val="Tahoma"/>
            <family val="2"/>
          </rPr>
          <t>Eve Browning:</t>
        </r>
        <r>
          <rPr>
            <sz val="9"/>
            <color indexed="81"/>
            <rFont val="Tahoma"/>
            <family val="2"/>
          </rPr>
          <t xml:space="preserve">
Invoice 006652
Building 3D Model of solar farm + Montage progression - £23000</t>
        </r>
      </text>
    </comment>
    <comment ref="AN33" authorId="0" shapeId="0" xr:uid="{92E362E6-ABE6-426B-A058-05AB69AB4C4A}">
      <text>
        <r>
          <rPr>
            <b/>
            <sz val="9"/>
            <color indexed="81"/>
            <rFont val="Tahoma"/>
            <family val="2"/>
          </rPr>
          <t>Eve Browning:</t>
        </r>
        <r>
          <rPr>
            <sz val="9"/>
            <color indexed="81"/>
            <rFont val="Tahoma"/>
            <family val="2"/>
          </rPr>
          <t xml:space="preserve">
Invoice 006825</t>
        </r>
      </text>
    </comment>
    <comment ref="AO33" authorId="0" shapeId="0" xr:uid="{11EACBAF-E36F-4756-A2A0-F3E3FAFACBFF}">
      <text>
        <r>
          <rPr>
            <b/>
            <sz val="9"/>
            <color indexed="81"/>
            <rFont val="Tahoma"/>
            <family val="2"/>
          </rPr>
          <t>Eve Browning:</t>
        </r>
        <r>
          <rPr>
            <sz val="9"/>
            <color indexed="81"/>
            <rFont val="Tahoma"/>
            <family val="2"/>
          </rPr>
          <t xml:space="preserve">
Invoice 007024
3D model - £2875</t>
        </r>
      </text>
    </comment>
    <comment ref="M35" authorId="0" shapeId="0" xr:uid="{58E0F3FA-32EE-4988-BC8C-E6FC2A5D502E}">
      <text>
        <r>
          <rPr>
            <b/>
            <sz val="9"/>
            <color indexed="81"/>
            <rFont val="Tahoma"/>
            <family val="2"/>
          </rPr>
          <t>Eve Browning:</t>
        </r>
        <r>
          <rPr>
            <sz val="9"/>
            <color indexed="81"/>
            <rFont val="Tahoma"/>
            <family val="2"/>
          </rPr>
          <t xml:space="preserve">
IGP to write</t>
        </r>
      </text>
    </comment>
    <comment ref="M36" authorId="0" shapeId="0" xr:uid="{335BE502-C481-49B3-A810-7BF794674056}">
      <text>
        <r>
          <rPr>
            <b/>
            <sz val="9"/>
            <color indexed="81"/>
            <rFont val="Tahoma"/>
            <family val="2"/>
          </rPr>
          <t>Eve Browning:</t>
        </r>
        <r>
          <rPr>
            <sz val="9"/>
            <color indexed="81"/>
            <rFont val="Tahoma"/>
            <family val="2"/>
          </rPr>
          <t xml:space="preserve">
Includes half of scoping document cost, screening cost, glint and glare assessment, EIA chapter, stakeholder consultation and technical support. Additional £420 for Ragwhistle scoping work</t>
        </r>
      </text>
    </comment>
    <comment ref="AG36" authorId="0" shapeId="0" xr:uid="{4EC3F3C6-A46E-4902-BA42-AC83D12DDD46}">
      <text>
        <r>
          <rPr>
            <b/>
            <sz val="9"/>
            <color indexed="81"/>
            <rFont val="Tahoma"/>
            <family val="2"/>
          </rPr>
          <t>Eve Browning:</t>
        </r>
        <r>
          <rPr>
            <sz val="9"/>
            <color indexed="81"/>
            <rFont val="Tahoma"/>
            <family val="2"/>
          </rPr>
          <t xml:space="preserve">
Invoice 708104 for £8738, invoice 708108 for £217.20</t>
        </r>
      </text>
    </comment>
    <comment ref="AH36" authorId="0" shapeId="0" xr:uid="{2458B798-EFAC-4F84-A582-6E8891CA475B}">
      <text>
        <r>
          <rPr>
            <b/>
            <sz val="9"/>
            <color indexed="81"/>
            <rFont val="Tahoma"/>
            <family val="2"/>
          </rPr>
          <t>Eve Browning:</t>
        </r>
        <r>
          <rPr>
            <sz val="9"/>
            <color indexed="81"/>
            <rFont val="Tahoma"/>
            <family val="2"/>
          </rPr>
          <t xml:space="preserve">
Invoice 708187</t>
        </r>
      </text>
    </comment>
    <comment ref="AI36" authorId="0" shapeId="0" xr:uid="{94BD9F67-E8D5-4EEB-8978-96CA4E408E17}">
      <text>
        <r>
          <rPr>
            <b/>
            <sz val="9"/>
            <color indexed="81"/>
            <rFont val="Tahoma"/>
            <family val="2"/>
          </rPr>
          <t>Eve Browning:</t>
        </r>
        <r>
          <rPr>
            <sz val="9"/>
            <color indexed="81"/>
            <rFont val="Tahoma"/>
            <family val="2"/>
          </rPr>
          <t xml:space="preserve">
Invoice 708238
Category 3 work</t>
        </r>
      </text>
    </comment>
    <comment ref="AJ36" authorId="0" shapeId="0" xr:uid="{3C98EE32-48F1-4D63-B00C-7E7489874DA3}">
      <text>
        <r>
          <rPr>
            <b/>
            <sz val="9"/>
            <color indexed="81"/>
            <rFont val="Tahoma"/>
            <family val="2"/>
          </rPr>
          <t>Eve Browning:</t>
        </r>
        <r>
          <rPr>
            <sz val="9"/>
            <color indexed="81"/>
            <rFont val="Tahoma"/>
            <family val="2"/>
          </rPr>
          <t xml:space="preserve">
Invoice 708326
Attendance at project meeting</t>
        </r>
      </text>
    </comment>
    <comment ref="AM36" authorId="0" shapeId="0" xr:uid="{127BBE15-802A-490C-AC26-DA09ADC61BE4}">
      <text>
        <r>
          <rPr>
            <b/>
            <sz val="9"/>
            <color indexed="81"/>
            <rFont val="Tahoma"/>
            <family val="2"/>
          </rPr>
          <t>Eve Browning:</t>
        </r>
        <r>
          <rPr>
            <sz val="9"/>
            <color indexed="81"/>
            <rFont val="Tahoma"/>
            <family val="2"/>
          </rPr>
          <t xml:space="preserve">
Invoice 708589
Draft ES chapter - £2726
Invoice 708590
Technical report - £9275</t>
        </r>
      </text>
    </comment>
    <comment ref="AP36" authorId="0" shapeId="0" xr:uid="{0DEDC1EC-4D5C-44E4-9B07-2BFEFC43B38E}">
      <text>
        <r>
          <rPr>
            <b/>
            <sz val="9"/>
            <color indexed="81"/>
            <rFont val="Tahoma"/>
            <family val="2"/>
          </rPr>
          <t>Eve Browning:</t>
        </r>
        <r>
          <rPr>
            <sz val="9"/>
            <color indexed="81"/>
            <rFont val="Tahoma"/>
            <family val="2"/>
          </rPr>
          <t xml:space="preserve">
Invoice 708711
Report update with the legal review comments for Cottam Solar Project</t>
        </r>
      </text>
    </comment>
    <comment ref="AS36" authorId="0" shapeId="0" xr:uid="{0BCB2FF2-B84C-45F6-A331-5F4D8C6754A9}">
      <text>
        <r>
          <rPr>
            <b/>
            <sz val="9"/>
            <color indexed="81"/>
            <rFont val="Tahoma"/>
            <family val="2"/>
          </rPr>
          <t>Eve Browning:</t>
        </r>
        <r>
          <rPr>
            <sz val="9"/>
            <color indexed="81"/>
            <rFont val="Tahoma"/>
            <family val="2"/>
          </rPr>
          <t xml:space="preserve">
Invoice 708887
SoCG - £662.50</t>
        </r>
      </text>
    </comment>
    <comment ref="AT36" authorId="0" shapeId="0" xr:uid="{6F27F98A-5366-4421-9237-529A83AF07B0}">
      <text>
        <r>
          <rPr>
            <b/>
            <sz val="9"/>
            <color indexed="81"/>
            <rFont val="Tahoma"/>
            <family val="2"/>
          </rPr>
          <t>Eve Browning:</t>
        </r>
        <r>
          <rPr>
            <sz val="9"/>
            <color indexed="81"/>
            <rFont val="Tahoma"/>
            <family val="2"/>
          </rPr>
          <t xml:space="preserve">
</t>
        </r>
        <r>
          <rPr>
            <b/>
            <sz val="9"/>
            <color indexed="81"/>
            <rFont val="Tahoma"/>
            <family val="2"/>
          </rPr>
          <t>Invoice 708985</t>
        </r>
        <r>
          <rPr>
            <sz val="9"/>
            <color indexed="81"/>
            <rFont val="Tahoma"/>
            <family val="2"/>
          </rPr>
          <t xml:space="preserve">
SoCG - £662.5
</t>
        </r>
        <r>
          <rPr>
            <b/>
            <sz val="9"/>
            <color indexed="81"/>
            <rFont val="Tahoma"/>
            <family val="2"/>
          </rPr>
          <t xml:space="preserve">Invoice 709015
</t>
        </r>
        <r>
          <rPr>
            <sz val="9"/>
            <color indexed="81"/>
            <rFont val="Tahoma"/>
            <family val="2"/>
          </rPr>
          <t>Blyton race track assessment - £995</t>
        </r>
      </text>
    </comment>
    <comment ref="AV36" authorId="0" shapeId="0" xr:uid="{E18F7086-4C62-4D5C-8A9F-5801ED64818E}">
      <text>
        <r>
          <rPr>
            <b/>
            <sz val="9"/>
            <color indexed="81"/>
            <rFont val="Tahoma"/>
            <family val="2"/>
          </rPr>
          <t>Eve Browning:</t>
        </r>
        <r>
          <rPr>
            <sz val="9"/>
            <color indexed="81"/>
            <rFont val="Tahoma"/>
            <family val="2"/>
          </rPr>
          <t xml:space="preserve">
Invoice 709142
Relevant rep responses - £993.75</t>
        </r>
      </text>
    </comment>
    <comment ref="AW36" authorId="0" shapeId="0" xr:uid="{D380351E-DAB7-4989-B2AD-E42EB51D67F5}">
      <text>
        <r>
          <rPr>
            <b/>
            <sz val="9"/>
            <color indexed="81"/>
            <rFont val="Tahoma"/>
            <family val="2"/>
          </rPr>
          <t>Eve Browning:</t>
        </r>
        <r>
          <rPr>
            <sz val="9"/>
            <color indexed="81"/>
            <rFont val="Tahoma"/>
            <family val="2"/>
          </rPr>
          <t xml:space="preserve">
Invoice 709216
Technical support - £331.25</t>
        </r>
      </text>
    </comment>
    <comment ref="BB36" authorId="0" shapeId="0" xr:uid="{05B0793B-25BD-418E-8416-5D960DDAA359}">
      <text>
        <r>
          <rPr>
            <b/>
            <sz val="9"/>
            <color indexed="81"/>
            <rFont val="Tahoma"/>
            <family val="2"/>
          </rPr>
          <t>Eve Browning:</t>
        </r>
        <r>
          <rPr>
            <sz val="9"/>
            <color indexed="81"/>
            <rFont val="Tahoma"/>
            <family val="2"/>
          </rPr>
          <t xml:space="preserve">
Invoice 709585
Technical support for Cottam Solar Project during examination period - £1987.50
</t>
        </r>
      </text>
    </comment>
    <comment ref="BC36" authorId="0" shapeId="0" xr:uid="{9D1241C1-F1A7-4068-9C10-F4597637472A}">
      <text>
        <r>
          <rPr>
            <b/>
            <sz val="9"/>
            <color indexed="81"/>
            <rFont val="Tahoma"/>
            <family val="2"/>
          </rPr>
          <t>Eve Browning:</t>
        </r>
        <r>
          <rPr>
            <sz val="9"/>
            <color indexed="81"/>
            <rFont val="Tahoma"/>
            <family val="2"/>
          </rPr>
          <t xml:space="preserve">
Blyton race track summary and examination responses</t>
        </r>
      </text>
    </comment>
    <comment ref="AE37" authorId="0" shapeId="0" xr:uid="{83762AC1-3967-4F2E-BF18-52035FA45663}">
      <text>
        <r>
          <rPr>
            <b/>
            <sz val="9"/>
            <color indexed="81"/>
            <rFont val="Tahoma"/>
            <family val="2"/>
          </rPr>
          <t>Eve Browning:</t>
        </r>
        <r>
          <rPr>
            <sz val="9"/>
            <color indexed="81"/>
            <rFont val="Tahoma"/>
            <family val="2"/>
          </rPr>
          <t xml:space="preserve">
Invoice 6662396</t>
        </r>
      </text>
    </comment>
    <comment ref="AG37" authorId="0" shapeId="0" xr:uid="{52FAB6D3-D040-46EB-BFAB-3A30BB213737}">
      <text>
        <r>
          <rPr>
            <b/>
            <sz val="9"/>
            <color indexed="81"/>
            <rFont val="Tahoma"/>
            <family val="2"/>
          </rPr>
          <t>Eve Browning:</t>
        </r>
        <r>
          <rPr>
            <sz val="9"/>
            <color indexed="81"/>
            <rFont val="Tahoma"/>
            <family val="2"/>
          </rPr>
          <t xml:space="preserve">
Invoice 6667702</t>
        </r>
      </text>
    </comment>
    <comment ref="AH37" authorId="0" shapeId="0" xr:uid="{A0F72516-2557-448A-8C90-36B71F1BAFCE}">
      <text>
        <r>
          <rPr>
            <b/>
            <sz val="9"/>
            <color indexed="81"/>
            <rFont val="Tahoma"/>
            <family val="2"/>
          </rPr>
          <t>Eve Browning:</t>
        </r>
        <r>
          <rPr>
            <sz val="9"/>
            <color indexed="81"/>
            <rFont val="Tahoma"/>
            <family val="2"/>
          </rPr>
          <t xml:space="preserve">
Invoice 6673571</t>
        </r>
      </text>
    </comment>
    <comment ref="AI37" authorId="0" shapeId="0" xr:uid="{52D100AF-4C0D-4FF6-8412-F7BCD998F224}">
      <text>
        <r>
          <rPr>
            <b/>
            <sz val="9"/>
            <color indexed="81"/>
            <rFont val="Tahoma"/>
            <family val="2"/>
          </rPr>
          <t>Eve Browning:</t>
        </r>
        <r>
          <rPr>
            <sz val="9"/>
            <color indexed="81"/>
            <rFont val="Tahoma"/>
            <family val="2"/>
          </rPr>
          <t xml:space="preserve">
Invoice 6682011</t>
        </r>
      </text>
    </comment>
    <comment ref="AJ37" authorId="0" shapeId="0" xr:uid="{4647074C-285F-4FF7-96D9-2B19CD27045A}">
      <text>
        <r>
          <rPr>
            <b/>
            <sz val="9"/>
            <color indexed="81"/>
            <rFont val="Tahoma"/>
            <family val="2"/>
          </rPr>
          <t>Eve Browning:</t>
        </r>
        <r>
          <rPr>
            <sz val="9"/>
            <color indexed="81"/>
            <rFont val="Tahoma"/>
            <family val="2"/>
          </rPr>
          <t xml:space="preserve">
Invoice 6689289</t>
        </r>
      </text>
    </comment>
    <comment ref="AK37" authorId="0" shapeId="0" xr:uid="{2C6DD73B-B220-4A94-8269-43589197573F}">
      <text>
        <r>
          <rPr>
            <b/>
            <sz val="9"/>
            <color indexed="81"/>
            <rFont val="Tahoma"/>
            <family val="2"/>
          </rPr>
          <t>Eve Browning:</t>
        </r>
        <r>
          <rPr>
            <sz val="9"/>
            <color indexed="81"/>
            <rFont val="Tahoma"/>
            <family val="2"/>
          </rPr>
          <t xml:space="preserve">
Invoice 6694884</t>
        </r>
      </text>
    </comment>
    <comment ref="AM37" authorId="0" shapeId="0" xr:uid="{CC277B01-5AA8-42D0-B1F5-163C188D191D}">
      <text>
        <r>
          <rPr>
            <b/>
            <sz val="9"/>
            <color indexed="81"/>
            <rFont val="Tahoma"/>
            <family val="2"/>
          </rPr>
          <t>Eve Browning:</t>
        </r>
        <r>
          <rPr>
            <sz val="9"/>
            <color indexed="81"/>
            <rFont val="Tahoma"/>
            <family val="2"/>
          </rPr>
          <t xml:space="preserve">
Invoice 6705968 - £31556.80</t>
        </r>
      </text>
    </comment>
    <comment ref="AN37" authorId="0" shapeId="0" xr:uid="{279E50FE-1CFF-4DF2-B886-503C7B454F62}">
      <text>
        <r>
          <rPr>
            <b/>
            <sz val="9"/>
            <color indexed="81"/>
            <rFont val="Tahoma"/>
            <family val="2"/>
          </rPr>
          <t>Eve Browning:</t>
        </r>
        <r>
          <rPr>
            <sz val="9"/>
            <color indexed="81"/>
            <rFont val="Tahoma"/>
            <family val="2"/>
          </rPr>
          <t xml:space="preserve">
Invoice 6713114
£32775
Invoice 6715527
£5087.6
</t>
        </r>
      </text>
    </comment>
    <comment ref="AO37" authorId="0" shapeId="0" xr:uid="{197B2719-3A5A-4703-95E1-6B930FE2DBF2}">
      <text>
        <r>
          <rPr>
            <b/>
            <sz val="9"/>
            <color indexed="81"/>
            <rFont val="Tahoma"/>
            <family val="2"/>
          </rPr>
          <t>Eve Browning:</t>
        </r>
        <r>
          <rPr>
            <sz val="9"/>
            <color indexed="81"/>
            <rFont val="Tahoma"/>
            <family val="2"/>
          </rPr>
          <t xml:space="preserve">
Invoice 6719092</t>
        </r>
      </text>
    </comment>
    <comment ref="AP37" authorId="0" shapeId="0" xr:uid="{630FF2DE-66D2-4CBE-A110-E143303E29E7}">
      <text>
        <r>
          <rPr>
            <b/>
            <sz val="9"/>
            <color indexed="81"/>
            <rFont val="Tahoma"/>
            <family val="2"/>
          </rPr>
          <t>Eve Browning:</t>
        </r>
        <r>
          <rPr>
            <sz val="9"/>
            <color indexed="81"/>
            <rFont val="Tahoma"/>
            <family val="2"/>
          </rPr>
          <t xml:space="preserve">
Invoice 6725701
£116060.8
Invoice 6728417
£39799.1</t>
        </r>
      </text>
    </comment>
    <comment ref="AS37" authorId="0" shapeId="0" xr:uid="{4972BE6C-4BB7-45CE-ADC1-BCCD58DAA1CB}">
      <text>
        <r>
          <rPr>
            <b/>
            <sz val="9"/>
            <color indexed="81"/>
            <rFont val="Tahoma"/>
            <family val="2"/>
          </rPr>
          <t>Eve Browning:</t>
        </r>
        <r>
          <rPr>
            <sz val="9"/>
            <color indexed="81"/>
            <rFont val="Tahoma"/>
            <family val="2"/>
          </rPr>
          <t xml:space="preserve">
Invoice 6741190
Post-submission work, S56 certificates and advice - £6556.8
Travel and subsistence - £326.25</t>
        </r>
      </text>
    </comment>
    <comment ref="AT37" authorId="0" shapeId="0" xr:uid="{DA474C05-DAD5-4DAC-8A79-7A479F439ACF}">
      <text>
        <r>
          <rPr>
            <b/>
            <sz val="9"/>
            <color indexed="81"/>
            <rFont val="Tahoma"/>
            <family val="2"/>
          </rPr>
          <t>Eve Browning:</t>
        </r>
        <r>
          <rPr>
            <sz val="9"/>
            <color indexed="81"/>
            <rFont val="Tahoma"/>
            <family val="2"/>
          </rPr>
          <t xml:space="preserve">
Invoice 6748970
Cottam legal advice - £9099.20</t>
        </r>
      </text>
    </comment>
    <comment ref="BD37" authorId="0" shapeId="0" xr:uid="{7D05DD54-2D3D-4560-9DB1-C9EDC83CC36F}">
      <text>
        <r>
          <rPr>
            <b/>
            <sz val="9"/>
            <color indexed="81"/>
            <rFont val="Tahoma"/>
            <family val="2"/>
          </rPr>
          <t>Eve Browning:</t>
        </r>
        <r>
          <rPr>
            <sz val="9"/>
            <color indexed="81"/>
            <rFont val="Tahoma"/>
            <family val="2"/>
          </rPr>
          <t xml:space="preserve">
Invoice 6815641
Professional fees £200000
Copying and other incidental expenses £2,356.00
Electronic Signature service £50.00
Hotel accommodation £215.83
Travelling &amp; Subsistence £920.12
Travelling expenses £554.56
£204096.51</t>
        </r>
      </text>
    </comment>
    <comment ref="C38" authorId="0" shapeId="0" xr:uid="{9F935ABC-1676-4F4A-8FE0-82CD31CEA263}">
      <text>
        <r>
          <rPr>
            <b/>
            <sz val="9"/>
            <color indexed="81"/>
            <rFont val="Tahoma"/>
            <family val="2"/>
          </rPr>
          <t>Eve Browning:</t>
        </r>
        <r>
          <rPr>
            <sz val="9"/>
            <color indexed="81"/>
            <rFont val="Tahoma"/>
            <family val="2"/>
          </rPr>
          <t xml:space="preserve">
Invoiced on same invoice as below and EB splits up manually</t>
        </r>
      </text>
    </comment>
    <comment ref="AX38" authorId="0" shapeId="0" xr:uid="{29D95F22-1634-4F91-981C-1791F1C9276C}">
      <text>
        <r>
          <rPr>
            <b/>
            <sz val="9"/>
            <color indexed="81"/>
            <rFont val="Tahoma"/>
            <family val="2"/>
          </rPr>
          <t>Eve Browning:</t>
        </r>
        <r>
          <rPr>
            <sz val="9"/>
            <color indexed="81"/>
            <rFont val="Tahoma"/>
            <family val="2"/>
          </rPr>
          <t xml:space="preserve">
Counter Context invoice 204983
Hire of Lincolnshire Showground - £4806.50
Team accommodation - £2884.56</t>
        </r>
      </text>
    </comment>
    <comment ref="AY38" authorId="0" shapeId="0" xr:uid="{45ACEA61-30CD-4340-97F4-FAACDB6D42D4}">
      <text>
        <r>
          <rPr>
            <b/>
            <sz val="9"/>
            <color indexed="81"/>
            <rFont val="Tahoma"/>
            <family val="2"/>
          </rPr>
          <t>Eve Browning:</t>
        </r>
        <r>
          <rPr>
            <sz val="9"/>
            <color indexed="81"/>
            <rFont val="Tahoma"/>
            <family val="2"/>
          </rPr>
          <t xml:space="preserve">
Counter Context invoice 205017
AV supplier for 3 days w/c 4th Sept - £25700</t>
        </r>
      </text>
    </comment>
    <comment ref="BB38" authorId="0" shapeId="0" xr:uid="{0B0534A4-063F-41AD-81FE-1BA80C6E5731}">
      <text>
        <r>
          <rPr>
            <b/>
            <sz val="9"/>
            <color indexed="81"/>
            <rFont val="Tahoma"/>
            <family val="2"/>
          </rPr>
          <t>Eve Browning:</t>
        </r>
        <r>
          <rPr>
            <sz val="9"/>
            <color indexed="81"/>
            <rFont val="Tahoma"/>
            <family val="2"/>
          </rPr>
          <t xml:space="preserve">
Counter Context invoice 205148
Venue hire Lincolnshire Showground - £4183
Venue hire West Lindsey District Council offices - £1996
Hire of audio-visual equipment - £50,681
Team accommodation - £3892</t>
        </r>
      </text>
    </comment>
    <comment ref="BC38" authorId="0" shapeId="0" xr:uid="{2BA2D08A-10B4-4338-9A00-D14FB07B2348}">
      <text>
        <r>
          <rPr>
            <b/>
            <sz val="9"/>
            <color indexed="81"/>
            <rFont val="Tahoma"/>
            <family val="2"/>
          </rPr>
          <t>Eve Browning:</t>
        </r>
        <r>
          <rPr>
            <sz val="9"/>
            <color indexed="81"/>
            <rFont val="Tahoma"/>
            <family val="2"/>
          </rPr>
          <t xml:space="preserve">
Invoice 205207
Lincolnshire Showground catering charge - £165</t>
        </r>
      </text>
    </comment>
    <comment ref="BD38" authorId="0" shapeId="0" xr:uid="{CB97B589-9F00-4E19-B824-A69F5395FCD8}">
      <text>
        <r>
          <rPr>
            <b/>
            <sz val="9"/>
            <color indexed="81"/>
            <rFont val="Tahoma"/>
            <family val="2"/>
          </rPr>
          <t>Eve Browning:</t>
        </r>
        <r>
          <rPr>
            <sz val="9"/>
            <color indexed="81"/>
            <rFont val="Tahoma"/>
            <family val="2"/>
          </rPr>
          <t xml:space="preserve">
Counter Context invoice 205242
Virtual Hearing for Change of Application - AV Assistance
- AV set up for virtual hearing held 28 February, including set up and delivery in line with PINS SLA requirements.
£4812</t>
        </r>
      </text>
    </comment>
    <comment ref="C39" authorId="0" shapeId="0" xr:uid="{2CE05D5D-B32C-447C-90EF-8DD24A6A12D8}">
      <text>
        <r>
          <rPr>
            <b/>
            <sz val="9"/>
            <color indexed="81"/>
            <rFont val="Tahoma"/>
            <family val="2"/>
          </rPr>
          <t>Eve Browning:</t>
        </r>
        <r>
          <rPr>
            <sz val="9"/>
            <color indexed="81"/>
            <rFont val="Tahoma"/>
            <family val="2"/>
          </rPr>
          <t xml:space="preserve">
Invoiced on same invoice as below and EB splits up manually</t>
        </r>
      </text>
    </comment>
    <comment ref="D39" authorId="0" shapeId="0" xr:uid="{EDA8C641-9D14-4340-930F-FB8B3A0F8D81}">
      <text>
        <r>
          <rPr>
            <b/>
            <sz val="9"/>
            <color indexed="81"/>
            <rFont val="Tahoma"/>
            <family val="2"/>
          </rPr>
          <t>Eve Browning:</t>
        </r>
        <r>
          <rPr>
            <sz val="9"/>
            <color indexed="81"/>
            <rFont val="Tahoma"/>
            <family val="2"/>
          </rPr>
          <t xml:space="preserve">
32k of examination costs added in Dec 2022/Jan 2023 - remove?</t>
        </r>
      </text>
    </comment>
    <comment ref="M39" authorId="0" shapeId="0" xr:uid="{C25F9824-7B24-4BE4-A7E5-076677F911E2}">
      <text>
        <r>
          <rPr>
            <b/>
            <sz val="9"/>
            <color indexed="81"/>
            <rFont val="Tahoma"/>
            <family val="2"/>
          </rPr>
          <t>Eve Browning:</t>
        </r>
        <r>
          <rPr>
            <sz val="9"/>
            <color indexed="81"/>
            <rFont val="Tahoma"/>
            <family val="2"/>
          </rPr>
          <t xml:space="preserve">
Counter Context, up to examination stage. Budget assumes £32k at examination stage</t>
        </r>
      </text>
    </comment>
    <comment ref="AC39" authorId="0" shapeId="0" xr:uid="{FFB99A55-1301-4660-BDB6-545BE52B3D5F}">
      <text>
        <r>
          <rPr>
            <b/>
            <sz val="9"/>
            <color indexed="81"/>
            <rFont val="Tahoma"/>
            <family val="2"/>
          </rPr>
          <t>Eve Browning:</t>
        </r>
        <r>
          <rPr>
            <sz val="9"/>
            <color indexed="81"/>
            <rFont val="Tahoma"/>
            <family val="2"/>
          </rPr>
          <t xml:space="preserve">
Invoice 204033</t>
        </r>
      </text>
    </comment>
    <comment ref="AE39" authorId="0" shapeId="0" xr:uid="{FD8AB9A5-4641-4914-A25D-959F71985B2A}">
      <text>
        <r>
          <rPr>
            <b/>
            <sz val="9"/>
            <color indexed="81"/>
            <rFont val="Tahoma"/>
            <family val="2"/>
          </rPr>
          <t>Eve Browning:</t>
        </r>
        <r>
          <rPr>
            <sz val="9"/>
            <color indexed="81"/>
            <rFont val="Tahoma"/>
            <family val="2"/>
          </rPr>
          <t xml:space="preserve">
Invoice 204138</t>
        </r>
      </text>
    </comment>
    <comment ref="AG39" authorId="0" shapeId="0" xr:uid="{BBC72E8B-C80A-4AFD-BEA5-A5A81A19A949}">
      <text>
        <r>
          <rPr>
            <b/>
            <sz val="9"/>
            <color indexed="81"/>
            <rFont val="Tahoma"/>
            <family val="2"/>
          </rPr>
          <t>Eve Browning:</t>
        </r>
        <r>
          <rPr>
            <sz val="9"/>
            <color indexed="81"/>
            <rFont val="Tahoma"/>
            <family val="2"/>
          </rPr>
          <t xml:space="preserve">
Invoice 204186</t>
        </r>
      </text>
    </comment>
    <comment ref="AH39" authorId="0" shapeId="0" xr:uid="{DAAE06AA-F7C0-4768-93D0-0ADAAAF61257}">
      <text>
        <r>
          <rPr>
            <b/>
            <sz val="9"/>
            <color indexed="81"/>
            <rFont val="Tahoma"/>
            <family val="2"/>
          </rPr>
          <t>Eve Browning:</t>
        </r>
        <r>
          <rPr>
            <sz val="9"/>
            <color indexed="81"/>
            <rFont val="Tahoma"/>
            <family val="2"/>
          </rPr>
          <t xml:space="preserve">
Invoice 204214</t>
        </r>
      </text>
    </comment>
    <comment ref="AI39" authorId="0" shapeId="0" xr:uid="{C49B30F0-9AD4-4B9E-B402-CB531722E802}">
      <text>
        <r>
          <rPr>
            <b/>
            <sz val="9"/>
            <color indexed="81"/>
            <rFont val="Tahoma"/>
            <family val="2"/>
          </rPr>
          <t>Eve Browning:</t>
        </r>
        <r>
          <rPr>
            <sz val="9"/>
            <color indexed="81"/>
            <rFont val="Tahoma"/>
            <family val="2"/>
          </rPr>
          <t xml:space="preserve">
Invoice 204307
Includes £34k for statutory notice advertisement fees</t>
        </r>
      </text>
    </comment>
    <comment ref="AK39" authorId="0" shapeId="0" xr:uid="{6306FBC5-7D95-43B3-93BC-7863DC00565D}">
      <text>
        <r>
          <rPr>
            <b/>
            <sz val="9"/>
            <color indexed="81"/>
            <rFont val="Tahoma"/>
            <family val="2"/>
          </rPr>
          <t>Eve Browning:</t>
        </r>
        <r>
          <rPr>
            <sz val="9"/>
            <color indexed="81"/>
            <rFont val="Tahoma"/>
            <family val="2"/>
          </rPr>
          <t xml:space="preserve">
Invoice 204339
Ongoing local community and stakeholder
engagement support - £4020
Phase Two consultation Stakeholder Engagement - £595
Drafting and design of consultation and publicity
materials to print ready - £3500
Consultation event preparation and facilitation - £4000
Digital engagement platform - £2500
Formal Section 42,46 and 48 notification requirements - £5500
Hire of consultation event venues - £375
Print and distribution of PEIR - £8845
Phase Two Consultation Leaflet and Feedback Form - £9460
Consultation Event Materials - £1500
Mileage for Lincolnshire County Council meeting on
06/06/22 - £41.40
June event expenses - £283.63
Invoice 204342
Ongoing local community and stakeholder
engagement support - £4020
Consultation event preparation and facilitation - £2000
Upload and hosting of 360 degree digital photography - £275
July event expenses - £34.20
</t>
        </r>
      </text>
    </comment>
    <comment ref="AL39" authorId="0" shapeId="0" xr:uid="{D089D9F9-D7CE-4B47-8C24-E4EFF06AC7F0}">
      <text>
        <r>
          <rPr>
            <b/>
            <sz val="9"/>
            <color indexed="81"/>
            <rFont val="Tahoma"/>
            <family val="2"/>
          </rPr>
          <t>Eve Browning:</t>
        </r>
        <r>
          <rPr>
            <sz val="9"/>
            <color indexed="81"/>
            <rFont val="Tahoma"/>
            <family val="2"/>
          </rPr>
          <t xml:space="preserve">
Invoice 204379
- Client liaison, meeting attendance and project management - Weekly media monitoring and reporting
- Management, recording and reporting of all stakeholder enquiries and ongoing community liaison
- Attendance at PINs and stakeholder meetings
- Ad hoc media support
</t>
        </r>
      </text>
    </comment>
    <comment ref="AM39" authorId="0" shapeId="0" xr:uid="{5569550A-368C-4338-B1BD-58C10BDCA55F}">
      <text>
        <r>
          <rPr>
            <b/>
            <sz val="9"/>
            <color indexed="81"/>
            <rFont val="Tahoma"/>
            <family val="2"/>
          </rPr>
          <t>Eve Browning:</t>
        </r>
        <r>
          <rPr>
            <sz val="9"/>
            <color indexed="81"/>
            <rFont val="Tahoma"/>
            <family val="2"/>
          </rPr>
          <t xml:space="preserve">
Invoice 204468
- Ongoing local community and stakeholder engagement support - £4020
- Consultation Summary Report - £4500</t>
        </r>
      </text>
    </comment>
    <comment ref="AN39" authorId="0" shapeId="0" xr:uid="{ED06A279-D665-4A6F-8169-5BEFEE25EA52}">
      <text>
        <r>
          <rPr>
            <b/>
            <sz val="9"/>
            <color indexed="81"/>
            <rFont val="Tahoma"/>
            <family val="2"/>
          </rPr>
          <t>Eve Browning:</t>
        </r>
        <r>
          <rPr>
            <sz val="9"/>
            <color indexed="81"/>
            <rFont val="Tahoma"/>
            <family val="2"/>
          </rPr>
          <t xml:space="preserve">
Invoice 204465
- Ongoing local community and stakeholder engagement support  - £4020
- Consultation analysis and production of Consultation Summary Report - £3560</t>
        </r>
      </text>
    </comment>
    <comment ref="AO39" authorId="0" shapeId="0" xr:uid="{C2B2FC08-FF95-416B-AEFA-8997E28EC618}">
      <text>
        <r>
          <rPr>
            <b/>
            <sz val="9"/>
            <color indexed="81"/>
            <rFont val="Tahoma"/>
            <family val="2"/>
          </rPr>
          <t>Eve Browning:</t>
        </r>
        <r>
          <rPr>
            <sz val="9"/>
            <color indexed="81"/>
            <rFont val="Tahoma"/>
            <family val="2"/>
          </rPr>
          <t xml:space="preserve">
Invoice 204523
Ongoing local community and stakeholder engagement support 
- Client liaison, meeting attendance and project management - Weekly media monitoring and reporting
- Management, recording and reporting of stakeholder enquiries and ongoing community liaison
- Ad hoc media support
£4020</t>
        </r>
      </text>
    </comment>
    <comment ref="AP39" authorId="0" shapeId="0" xr:uid="{3CB97DCF-05E9-44A0-B49E-B25B619FC321}">
      <text>
        <r>
          <rPr>
            <b/>
            <sz val="9"/>
            <color indexed="81"/>
            <rFont val="Tahoma"/>
            <family val="2"/>
          </rPr>
          <t>Eve Browning:</t>
        </r>
        <r>
          <rPr>
            <sz val="9"/>
            <color indexed="81"/>
            <rFont val="Tahoma"/>
            <family val="2"/>
          </rPr>
          <t xml:space="preserve">
</t>
        </r>
        <r>
          <rPr>
            <b/>
            <sz val="9"/>
            <color indexed="81"/>
            <rFont val="Tahoma"/>
            <family val="2"/>
          </rPr>
          <t>Invoice 204587</t>
        </r>
        <r>
          <rPr>
            <sz val="9"/>
            <color indexed="81"/>
            <rFont val="Tahoma"/>
            <family val="2"/>
          </rPr>
          <t xml:space="preserve">
Ongoing local community and stakeholder engagement support 
- Client liaison, meeting attendance and project management - Weekly media monitoring and reporting
- Management, recording and reporting of stakeholder enquiries and ongoing community liaison
- Ad hoc media support
£2010
</t>
        </r>
        <r>
          <rPr>
            <b/>
            <sz val="9"/>
            <color indexed="81"/>
            <rFont val="Tahoma"/>
            <family val="2"/>
          </rPr>
          <t xml:space="preserve">Invoice 204589
</t>
        </r>
        <r>
          <rPr>
            <sz val="9"/>
            <color indexed="81"/>
            <rFont val="Tahoma"/>
            <family val="2"/>
          </rPr>
          <t>Consultation Report
Collation of consultation methodology, analysis and
response to produce Consultation Report.
£9080</t>
        </r>
      </text>
    </comment>
    <comment ref="AQ39" authorId="0" shapeId="0" xr:uid="{C2DCD2B5-5770-4A48-9422-073E05897FB0}">
      <text>
        <r>
          <rPr>
            <b/>
            <sz val="9"/>
            <color indexed="81"/>
            <rFont val="Tahoma"/>
            <family val="2"/>
          </rPr>
          <t>Eve Browning:</t>
        </r>
        <r>
          <rPr>
            <sz val="9"/>
            <color indexed="81"/>
            <rFont val="Tahoma"/>
            <family val="2"/>
          </rPr>
          <t xml:space="preserve">
As per quote 202690
Invoice 204669
S56 notifications - £47174</t>
        </r>
      </text>
    </comment>
    <comment ref="AR39" authorId="0" shapeId="0" xr:uid="{1AF7C887-C448-4C00-99B4-5966F11E42F4}">
      <text>
        <r>
          <rPr>
            <b/>
            <sz val="9"/>
            <color indexed="81"/>
            <rFont val="Tahoma"/>
            <family val="2"/>
          </rPr>
          <t>Eve Browning:</t>
        </r>
        <r>
          <rPr>
            <sz val="9"/>
            <color indexed="81"/>
            <rFont val="Tahoma"/>
            <family val="2"/>
          </rPr>
          <t xml:space="preserve">
Invoice 204711
Pre-examination comms - £2564</t>
        </r>
      </text>
    </comment>
    <comment ref="AS39" authorId="0" shapeId="0" xr:uid="{951C4CEC-2F60-4E8C-97B2-7789CC7DF1C7}">
      <text>
        <r>
          <rPr>
            <b/>
            <sz val="9"/>
            <color indexed="81"/>
            <rFont val="Tahoma"/>
            <family val="2"/>
          </rPr>
          <t>Eve Browning:</t>
        </r>
        <r>
          <rPr>
            <sz val="9"/>
            <color indexed="81"/>
            <rFont val="Tahoma"/>
            <family val="2"/>
          </rPr>
          <t xml:space="preserve">
Invoice 204759
Ongoing comms support - £2564</t>
        </r>
      </text>
    </comment>
    <comment ref="AT39" authorId="0" shapeId="0" xr:uid="{18AA6EB3-AF20-4488-9EFA-8D6AA2B2FDAF}">
      <text>
        <r>
          <rPr>
            <b/>
            <sz val="9"/>
            <color indexed="81"/>
            <rFont val="Tahoma"/>
            <family val="2"/>
          </rPr>
          <t>Eve Browning:</t>
        </r>
        <r>
          <rPr>
            <sz val="9"/>
            <color indexed="81"/>
            <rFont val="Tahoma"/>
            <family val="2"/>
          </rPr>
          <t xml:space="preserve">
Invoice 204808
Ongoing comms support - £2564
Relevant reps summarising - £1400</t>
        </r>
      </text>
    </comment>
    <comment ref="AU39" authorId="0" shapeId="0" xr:uid="{65929A92-51E9-40BC-B18D-75636F60D08D}">
      <text>
        <r>
          <rPr>
            <b/>
            <sz val="9"/>
            <color indexed="81"/>
            <rFont val="Tahoma"/>
            <family val="2"/>
          </rPr>
          <t>Eve Browning:</t>
        </r>
        <r>
          <rPr>
            <sz val="9"/>
            <color indexed="81"/>
            <rFont val="Tahoma"/>
            <family val="2"/>
          </rPr>
          <t xml:space="preserve">
Invoice 204866
Ongoing comms support - £2564</t>
        </r>
      </text>
    </comment>
    <comment ref="AV39" authorId="0" shapeId="0" xr:uid="{6D308102-5B34-4567-879E-921F95943A66}">
      <text>
        <r>
          <rPr>
            <b/>
            <sz val="9"/>
            <color indexed="81"/>
            <rFont val="Tahoma"/>
            <family val="2"/>
          </rPr>
          <t>Eve Browning:</t>
        </r>
        <r>
          <rPr>
            <sz val="9"/>
            <color indexed="81"/>
            <rFont val="Tahoma"/>
            <family val="2"/>
          </rPr>
          <t xml:space="preserve">
Invoice 204920
- Ongoing comms support - £2564
- Drafting of Rule 13(6) notice - £2568
- Publication of Rule 13(6) - £8150
</t>
        </r>
      </text>
    </comment>
    <comment ref="AX39" authorId="0" shapeId="0" xr:uid="{70ACD8A2-F789-4069-BE39-B872E10F6A07}">
      <text>
        <r>
          <rPr>
            <b/>
            <sz val="9"/>
            <color indexed="81"/>
            <rFont val="Tahoma"/>
            <family val="2"/>
          </rPr>
          <t>Eve Browning:</t>
        </r>
        <r>
          <rPr>
            <sz val="9"/>
            <color indexed="81"/>
            <rFont val="Tahoma"/>
            <family val="2"/>
          </rPr>
          <t xml:space="preserve">
Invoice 204983
Ongoing communications support - £2564
Logistical support to organise hearings - £2600
Travel and subsistence expenses - £93.65</t>
        </r>
      </text>
    </comment>
    <comment ref="AY39" authorId="0" shapeId="0" xr:uid="{7FCC8C40-DFAA-4CF0-8C74-E224944E154C}">
      <text>
        <r>
          <rPr>
            <b/>
            <sz val="9"/>
            <color indexed="81"/>
            <rFont val="Tahoma"/>
            <family val="2"/>
          </rPr>
          <t>Eve Browning:</t>
        </r>
        <r>
          <rPr>
            <sz val="9"/>
            <color indexed="81"/>
            <rFont val="Tahoma"/>
            <family val="2"/>
          </rPr>
          <t xml:space="preserve">
Invoice 205017
Ongoing comms support - £2564
Attendance at prelim meetings and hearings - £2100
Car parking - £21.90</t>
        </r>
      </text>
    </comment>
    <comment ref="AZ39" authorId="0" shapeId="0" xr:uid="{35B6C77C-5BE9-4EB5-B80B-09843F249E6B}">
      <text>
        <r>
          <rPr>
            <b/>
            <sz val="9"/>
            <color indexed="81"/>
            <rFont val="Tahoma"/>
            <family val="2"/>
          </rPr>
          <t>Eve Browning:</t>
        </r>
        <r>
          <rPr>
            <sz val="9"/>
            <color indexed="81"/>
            <rFont val="Tahoma"/>
            <family val="2"/>
          </rPr>
          <t xml:space="preserve">
Invoice 205068
Ongoing comms support - £2564</t>
        </r>
      </text>
    </comment>
    <comment ref="BA39" authorId="0" shapeId="0" xr:uid="{32A10E40-0926-40AB-B563-665AEFF59232}">
      <text>
        <r>
          <rPr>
            <b/>
            <sz val="9"/>
            <color indexed="81"/>
            <rFont val="Tahoma"/>
            <family val="2"/>
          </rPr>
          <t>Eve Browning:</t>
        </r>
        <r>
          <rPr>
            <sz val="9"/>
            <color indexed="81"/>
            <rFont val="Tahoma"/>
            <family val="2"/>
          </rPr>
          <t xml:space="preserve">
Invoice 205110
- Ongoing comms support plus £480 for hearings preparation support - £3044
- Publication of Rule 13(6) notice - £8745
Total - £11789
</t>
        </r>
      </text>
    </comment>
    <comment ref="BB39" authorId="0" shapeId="0" xr:uid="{420D24F3-E31D-4A80-9AC6-E050D01B2560}">
      <text>
        <r>
          <rPr>
            <b/>
            <sz val="9"/>
            <color indexed="81"/>
            <rFont val="Tahoma"/>
            <family val="2"/>
          </rPr>
          <t>Eve Browning:</t>
        </r>
        <r>
          <rPr>
            <sz val="9"/>
            <color indexed="81"/>
            <rFont val="Tahoma"/>
            <family val="2"/>
          </rPr>
          <t xml:space="preserve">
Invoice 205148
Ongoing comms support - £2564
Attendance at hearings - £3828
Expenses - £195.49
Total £6587</t>
        </r>
      </text>
    </comment>
    <comment ref="BC39" authorId="0" shapeId="0" xr:uid="{D1F84B50-A567-4A44-91F3-E7A1A62A5C2A}">
      <text>
        <r>
          <rPr>
            <b/>
            <sz val="9"/>
            <color indexed="81"/>
            <rFont val="Tahoma"/>
            <family val="2"/>
          </rPr>
          <t>Eve Browning:</t>
        </r>
        <r>
          <rPr>
            <sz val="9"/>
            <color indexed="81"/>
            <rFont val="Tahoma"/>
            <family val="2"/>
          </rPr>
          <t xml:space="preserve">
Invoice 205207
Ongoing Communications Support, including: - Hosting of communications channels (Freephone, freepost, email) - Hosting of website
- Meeting attendance and project team liaison
- Media monitoring
- Support providing Applicant Responses ahead of Cottam
Deadline 4
- Management of issue of Change Application Notice,
including drafting, design and distribution.
£2948
ottam Change Application Notice and Cover Letter
- Print and Postage of Notice to identified consultees
- Placement of Notice for one week in the Guardian and the
London Gazette
- Placement of Notice for three weeks in the Lincolnshire Echo
and the Retford Times
£37950</t>
        </r>
      </text>
    </comment>
    <comment ref="BD39" authorId="0" shapeId="0" xr:uid="{65FFB56B-1CFB-475B-86E3-94C6CCE1DC64}">
      <text>
        <r>
          <rPr>
            <b/>
            <sz val="9"/>
            <color indexed="81"/>
            <rFont val="Tahoma"/>
            <family val="2"/>
          </rPr>
          <t>Eve Browning:</t>
        </r>
        <r>
          <rPr>
            <sz val="9"/>
            <color indexed="81"/>
            <rFont val="Tahoma"/>
            <family val="2"/>
          </rPr>
          <t xml:space="preserve">
Invoice 205242
Ongoing Communications Support, including: - Hosting of communications channels (Freephone, freepost, email) 
- Hosting of website
- Meeting attendance and project team liaison
- Media monitoring
- Management of issue of Change Application Notification of Hearings Notice, including drafting, design and distribution. 
- Management of Cottam Solar Application Documents request by USB.
£2566
Cottam Change Application- Notification of Hearings Notice and Cover Letter
- Print and Postage of Notice to Local Information Points
- Placement of Notice for one week in the Lincolnshire Echo and the Retford Times
£8250</t>
        </r>
      </text>
    </comment>
    <comment ref="BE39" authorId="0" shapeId="0" xr:uid="{B63DA483-BBBA-4A99-AAC9-F50BC4B1AD04}">
      <text>
        <r>
          <rPr>
            <b/>
            <sz val="9"/>
            <color indexed="81"/>
            <rFont val="Tahoma"/>
            <family val="2"/>
          </rPr>
          <t>Eve Browning:</t>
        </r>
        <r>
          <rPr>
            <sz val="9"/>
            <color indexed="81"/>
            <rFont val="Tahoma"/>
            <family val="2"/>
          </rPr>
          <t xml:space="preserve">
Invoice 205305
Ongoing Communications Support, including: 
- Hosting of communications channels (Freephone, freepost, email) 
- Hosting of website
- Meeting attendance and project team liaison
- Media monitoring
- Management of issue of Change Application Notification of
Hearings Notice, including drafting, design and distribution. - Management of Cottam Solar Application Documents
request by USB.
£2566</t>
        </r>
      </text>
    </comment>
    <comment ref="BF39" authorId="0" shapeId="0" xr:uid="{9D0AE406-6BD7-4EF0-BDB4-32A56C26B590}">
      <text>
        <r>
          <rPr>
            <b/>
            <sz val="9"/>
            <color indexed="81"/>
            <rFont val="Tahoma"/>
            <family val="2"/>
          </rPr>
          <t>Eve Browning:</t>
        </r>
        <r>
          <rPr>
            <sz val="9"/>
            <color indexed="81"/>
            <rFont val="Tahoma"/>
            <family val="2"/>
          </rPr>
          <t xml:space="preserve">
Invoice 205366
Single fee for limited support up to determination decision, including:
- hosting of communications lines (freephone, freepost, email
and website, including renewals where necessary).
- handling of limited enquiries and team liaison.
£1335</t>
        </r>
      </text>
    </comment>
    <comment ref="M40" authorId="0" shapeId="0" xr:uid="{BB9738E6-2F43-409D-AFB5-C1CA1CBDD30D}">
      <text>
        <r>
          <rPr>
            <b/>
            <sz val="9"/>
            <color indexed="81"/>
            <rFont val="Tahoma"/>
            <family val="2"/>
          </rPr>
          <t>Eve Browning:</t>
        </r>
        <r>
          <rPr>
            <sz val="9"/>
            <color indexed="81"/>
            <rFont val="Tahoma"/>
            <family val="2"/>
          </rPr>
          <t xml:space="preserve">
12 days at £960/day
Additionally up to 10 days required at examination</t>
        </r>
      </text>
    </comment>
    <comment ref="R40" authorId="0" shapeId="0" xr:uid="{1B0DE214-F94A-4306-A701-1C0AD98D35C1}">
      <text>
        <r>
          <rPr>
            <b/>
            <sz val="9"/>
            <color indexed="81"/>
            <rFont val="Tahoma"/>
            <family val="2"/>
          </rPr>
          <t>Eve Browning:</t>
        </r>
        <r>
          <rPr>
            <sz val="9"/>
            <color indexed="81"/>
            <rFont val="Tahoma"/>
            <family val="2"/>
          </rPr>
          <t xml:space="preserve">
Remove 1320</t>
        </r>
      </text>
    </comment>
    <comment ref="AI40" authorId="0" shapeId="0" xr:uid="{16C6C822-FB7D-4F33-A155-A755A2B8A0EC}">
      <text>
        <r>
          <rPr>
            <b/>
            <sz val="9"/>
            <color indexed="81"/>
            <rFont val="Tahoma"/>
            <family val="2"/>
          </rPr>
          <t>Eve Browning:</t>
        </r>
        <r>
          <rPr>
            <sz val="9"/>
            <color indexed="81"/>
            <rFont val="Tahoma"/>
            <family val="2"/>
          </rPr>
          <t xml:space="preserve">
Invoice 0903-2206-1
PEIR SoN draft</t>
        </r>
      </text>
    </comment>
    <comment ref="AO40" authorId="0" shapeId="0" xr:uid="{30D4F7E0-E30E-4431-AAC0-4D926A110F84}">
      <text>
        <r>
          <rPr>
            <b/>
            <sz val="9"/>
            <color indexed="81"/>
            <rFont val="Tahoma"/>
            <family val="2"/>
          </rPr>
          <t>Eve Browning:</t>
        </r>
        <r>
          <rPr>
            <sz val="9"/>
            <color indexed="81"/>
            <rFont val="Tahoma"/>
            <family val="2"/>
          </rPr>
          <t xml:space="preserve">
Invoice 0903-2212-1</t>
        </r>
      </text>
    </comment>
    <comment ref="AX40" authorId="0" shapeId="0" xr:uid="{93DC45FC-7D4E-41CD-AE90-88E66DF0D342}">
      <text>
        <r>
          <rPr>
            <b/>
            <sz val="9"/>
            <color indexed="81"/>
            <rFont val="Tahoma"/>
            <family val="2"/>
          </rPr>
          <t>Eve Browning:</t>
        </r>
        <r>
          <rPr>
            <sz val="9"/>
            <color indexed="81"/>
            <rFont val="Tahoma"/>
            <family val="2"/>
          </rPr>
          <t xml:space="preserve">
Invoice 0903-2309-1
Relevant representation responses and mock hearing - £1320</t>
        </r>
      </text>
    </comment>
    <comment ref="BA40" authorId="0" shapeId="0" xr:uid="{569C6694-6B4D-417A-B3BE-85389A430820}">
      <text>
        <r>
          <rPr>
            <b/>
            <sz val="9"/>
            <color indexed="81"/>
            <rFont val="Tahoma"/>
            <family val="2"/>
          </rPr>
          <t>Eve Browning:</t>
        </r>
        <r>
          <rPr>
            <sz val="9"/>
            <color indexed="81"/>
            <rFont val="Tahoma"/>
            <family val="2"/>
          </rPr>
          <t xml:space="preserve">
Invoice 0903-2312-1
Responses to ExA 1st Written Questions - £1920</t>
        </r>
      </text>
    </comment>
    <comment ref="BC40" authorId="0" shapeId="0" xr:uid="{8B28F60B-5D52-42AD-9991-9C363D6444D6}">
      <text>
        <r>
          <rPr>
            <b/>
            <sz val="9"/>
            <color indexed="81"/>
            <rFont val="Tahoma"/>
            <family val="2"/>
          </rPr>
          <t>Eve Browning:</t>
        </r>
        <r>
          <rPr>
            <sz val="9"/>
            <color indexed="81"/>
            <rFont val="Tahoma"/>
            <family val="2"/>
          </rPr>
          <t xml:space="preserve">
Invoice 0923-2402-1
Cottam Solar Relevant Representations, DL2 responses, DL3 responses, FWQ, DL4 responses - £1860</t>
        </r>
      </text>
    </comment>
    <comment ref="M42" authorId="0" shapeId="0" xr:uid="{2FF7A15E-8DBD-4F27-A277-1EFDC9096B30}">
      <text>
        <r>
          <rPr>
            <b/>
            <sz val="9"/>
            <color indexed="81"/>
            <rFont val="Tahoma"/>
            <family val="2"/>
          </rPr>
          <t>Eve Browning:</t>
        </r>
        <r>
          <rPr>
            <sz val="9"/>
            <color indexed="81"/>
            <rFont val="Tahoma"/>
            <family val="2"/>
          </rPr>
          <t xml:space="preserve">
Atkins</t>
        </r>
      </text>
    </comment>
    <comment ref="N42" authorId="0" shapeId="0" xr:uid="{309DFB2E-FA76-4FF5-A6F8-C23172C3A405}">
      <text>
        <r>
          <rPr>
            <b/>
            <sz val="9"/>
            <color indexed="81"/>
            <rFont val="Tahoma"/>
            <family val="2"/>
          </rPr>
          <t>Eve Browning:</t>
        </r>
        <r>
          <rPr>
            <sz val="9"/>
            <color indexed="81"/>
            <rFont val="Tahoma"/>
            <family val="2"/>
          </rPr>
          <t xml:space="preserve">
Centremaps</t>
        </r>
      </text>
    </comment>
    <comment ref="AG42" authorId="0" shapeId="0" xr:uid="{5D005BA2-6A70-4D2A-AF9B-AAFC40AE26DD}">
      <text>
        <r>
          <rPr>
            <b/>
            <sz val="9"/>
            <color indexed="81"/>
            <rFont val="Tahoma"/>
            <family val="2"/>
          </rPr>
          <t>Eve Browning:</t>
        </r>
        <r>
          <rPr>
            <sz val="9"/>
            <color indexed="81"/>
            <rFont val="Tahoma"/>
            <family val="2"/>
          </rPr>
          <t xml:space="preserve">
Invoice UK-CI-036732</t>
        </r>
      </text>
    </comment>
    <comment ref="M43" authorId="0" shapeId="0" xr:uid="{5D9CFA49-5BC8-44BC-92B5-DB68F3D00093}">
      <text>
        <r>
          <rPr>
            <b/>
            <sz val="9"/>
            <color indexed="81"/>
            <rFont val="Tahoma"/>
            <family val="2"/>
          </rPr>
          <t>Eve Browning:</t>
        </r>
        <r>
          <rPr>
            <sz val="9"/>
            <color indexed="81"/>
            <rFont val="Tahoma"/>
            <family val="2"/>
          </rPr>
          <t xml:space="preserve">
Pager Power</t>
        </r>
      </text>
    </comment>
    <comment ref="C44" authorId="0" shapeId="0" xr:uid="{508D19AE-A49B-413A-8A2B-9535C0D04AFD}">
      <text>
        <r>
          <rPr>
            <b/>
            <sz val="9"/>
            <color indexed="81"/>
            <rFont val="Tahoma"/>
            <family val="2"/>
          </rPr>
          <t>Eve Browning:</t>
        </r>
        <r>
          <rPr>
            <sz val="9"/>
            <color indexed="81"/>
            <rFont val="Tahoma"/>
            <family val="2"/>
          </rPr>
          <t xml:space="preserve">
Also invoice us for flood risk work</t>
        </r>
      </text>
    </comment>
    <comment ref="M44" authorId="0" shapeId="0" xr:uid="{AFD4CFA2-CF1A-498D-BDE2-09BB1876341E}">
      <text>
        <r>
          <rPr>
            <b/>
            <sz val="9"/>
            <color indexed="81"/>
            <rFont val="Tahoma"/>
            <family val="2"/>
          </rPr>
          <t>Eve Browning:</t>
        </r>
        <r>
          <rPr>
            <sz val="9"/>
            <color indexed="81"/>
            <rFont val="Tahoma"/>
            <family val="2"/>
          </rPr>
          <t xml:space="preserve">
Delta Simons. Includes Ragwhistle but not cable route</t>
        </r>
      </text>
    </comment>
    <comment ref="AI44" authorId="0" shapeId="0" xr:uid="{E09BC539-6462-4A71-800C-D0EBD290F268}">
      <text>
        <r>
          <rPr>
            <b/>
            <sz val="9"/>
            <color indexed="81"/>
            <rFont val="Tahoma"/>
            <family val="2"/>
          </rPr>
          <t>Eve Browning:</t>
        </r>
        <r>
          <rPr>
            <sz val="9"/>
            <color indexed="81"/>
            <rFont val="Tahoma"/>
            <family val="2"/>
          </rPr>
          <t xml:space="preserve">
Invoice DS033208</t>
        </r>
      </text>
    </comment>
    <comment ref="AJ44" authorId="0" shapeId="0" xr:uid="{B0F98F70-A45C-49A3-A440-7A6B6CE51B10}">
      <text>
        <r>
          <rPr>
            <b/>
            <sz val="9"/>
            <color indexed="81"/>
            <rFont val="Tahoma"/>
            <family val="2"/>
          </rPr>
          <t>Eve Browning:</t>
        </r>
        <r>
          <rPr>
            <sz val="9"/>
            <color indexed="81"/>
            <rFont val="Tahoma"/>
            <family val="2"/>
          </rPr>
          <t xml:space="preserve">
Cable search area Envirocheck report and PRA
Invoice DS034021</t>
        </r>
      </text>
    </comment>
    <comment ref="AL45" authorId="0" shapeId="0" xr:uid="{2C7FC7D8-643B-405B-B303-752572C40026}">
      <text>
        <r>
          <rPr>
            <b/>
            <sz val="9"/>
            <color indexed="81"/>
            <rFont val="Tahoma"/>
            <family val="2"/>
          </rPr>
          <t>Eve Browning:</t>
        </r>
        <r>
          <rPr>
            <sz val="9"/>
            <color indexed="81"/>
            <rFont val="Tahoma"/>
            <family val="2"/>
          </rPr>
          <t xml:space="preserve">
Invoice 153785</t>
        </r>
      </text>
    </comment>
    <comment ref="AH46" authorId="0" shapeId="0" xr:uid="{9DB86AA0-42A4-4A4C-B0B5-0D346327EC05}">
      <text>
        <r>
          <rPr>
            <b/>
            <sz val="9"/>
            <color indexed="81"/>
            <rFont val="Tahoma"/>
            <family val="2"/>
          </rPr>
          <t>Eve Browning:</t>
        </r>
        <r>
          <rPr>
            <sz val="9"/>
            <color indexed="81"/>
            <rFont val="Tahoma"/>
            <family val="2"/>
          </rPr>
          <t xml:space="preserve">
Invoice 22008075</t>
        </r>
      </text>
    </comment>
    <comment ref="AP46" authorId="0" shapeId="0" xr:uid="{223FE056-321F-4D55-BBED-626724FD59E2}">
      <text>
        <r>
          <rPr>
            <b/>
            <sz val="9"/>
            <color indexed="81"/>
            <rFont val="Tahoma"/>
            <family val="2"/>
          </rPr>
          <t>Eve Browning:</t>
        </r>
        <r>
          <rPr>
            <sz val="9"/>
            <color indexed="81"/>
            <rFont val="Tahoma"/>
            <family val="2"/>
          </rPr>
          <t xml:space="preserve">
Invoice 23000586
Completion of ES chapter for Climate Change and associated front end input - £3193</t>
        </r>
      </text>
    </comment>
    <comment ref="AZ46" authorId="0" shapeId="0" xr:uid="{6F35AAD6-3759-4CA0-8006-7338CB127913}">
      <text>
        <r>
          <rPr>
            <b/>
            <sz val="9"/>
            <color indexed="81"/>
            <rFont val="Tahoma"/>
            <family val="2"/>
          </rPr>
          <t>Eve Browning:</t>
        </r>
        <r>
          <rPr>
            <sz val="9"/>
            <color indexed="81"/>
            <rFont val="Tahoma"/>
            <family val="2"/>
          </rPr>
          <t xml:space="preserve">
Invoice 23015267
Input into ExAs - 6 hours Senior Consultant Time - £732</t>
        </r>
      </text>
    </comment>
    <comment ref="BB46" authorId="0" shapeId="0" xr:uid="{0E83E316-B748-49F6-8BCC-B6A89989131A}">
      <text>
        <r>
          <rPr>
            <b/>
            <sz val="9"/>
            <color indexed="81"/>
            <rFont val="Tahoma"/>
            <family val="2"/>
          </rPr>
          <t>Eve Browning:</t>
        </r>
        <r>
          <rPr>
            <sz val="9"/>
            <color indexed="81"/>
            <rFont val="Tahoma"/>
            <family val="2"/>
          </rPr>
          <t xml:space="preserve">
Input into SoCG - £1010
Input into Statement of Commonality - £1010
RR comments - hourly rate
Revisions to docs - hourly rate
ExA questions - hourly rate
Interrelationships report - £1985
Hearing attendance (full day) - £1985
Hearing attendance (half day) - £995</t>
        </r>
      </text>
    </comment>
    <comment ref="AM47" authorId="0" shapeId="0" xr:uid="{D9E34E89-3A8F-4A6B-80CE-A1B32E563489}">
      <text>
        <r>
          <rPr>
            <b/>
            <sz val="9"/>
            <color indexed="81"/>
            <rFont val="Tahoma"/>
            <family val="2"/>
          </rPr>
          <t>Eve Browning:</t>
        </r>
        <r>
          <rPr>
            <sz val="9"/>
            <color indexed="81"/>
            <rFont val="Tahoma"/>
            <family val="2"/>
          </rPr>
          <t xml:space="preserve">
JSM invoice SI31553</t>
        </r>
      </text>
    </comment>
    <comment ref="AP47" authorId="0" shapeId="0" xr:uid="{70C7A3AA-8E51-45C7-A2A8-8F548B3D2EDB}">
      <text>
        <r>
          <rPr>
            <b/>
            <sz val="9"/>
            <color indexed="81"/>
            <rFont val="Tahoma"/>
            <family val="2"/>
          </rPr>
          <t>Eve Browning:</t>
        </r>
        <r>
          <rPr>
            <sz val="9"/>
            <color indexed="81"/>
            <rFont val="Tahoma"/>
            <family val="2"/>
          </rPr>
          <t xml:space="preserve">
Invoice SI400190
Feasibility studies, engineering drawings and advice - £14151.67</t>
        </r>
      </text>
    </comment>
    <comment ref="AX47" authorId="0" shapeId="0" xr:uid="{1C255ABA-E42B-4BD8-A3A5-DA470448CC6C}">
      <text>
        <r>
          <rPr>
            <b/>
            <sz val="9"/>
            <color indexed="81"/>
            <rFont val="Tahoma"/>
            <family val="2"/>
          </rPr>
          <t>Eve Browning:</t>
        </r>
        <r>
          <rPr>
            <sz val="9"/>
            <color indexed="81"/>
            <rFont val="Tahoma"/>
            <family val="2"/>
          </rPr>
          <t xml:space="preserve">
</t>
        </r>
        <r>
          <rPr>
            <b/>
            <sz val="9"/>
            <color indexed="81"/>
            <rFont val="Tahoma"/>
            <family val="2"/>
          </rPr>
          <t>Invoice SI402426</t>
        </r>
        <r>
          <rPr>
            <sz val="9"/>
            <color indexed="81"/>
            <rFont val="Tahoma"/>
            <family val="2"/>
          </rPr>
          <t xml:space="preserve">
Bailey bridge / culvert analysis - £1084.60
</t>
        </r>
        <r>
          <rPr>
            <b/>
            <sz val="9"/>
            <color indexed="81"/>
            <rFont val="Tahoma"/>
            <family val="2"/>
          </rPr>
          <t xml:space="preserve">
Invoice SI402532
</t>
        </r>
        <r>
          <rPr>
            <sz val="9"/>
            <color indexed="81"/>
            <rFont val="Tahoma"/>
            <family val="2"/>
          </rPr>
          <t>Feasibility study (Mar-Aug 2023) - £3253.79</t>
        </r>
      </text>
    </comment>
    <comment ref="BB47" authorId="0" shapeId="0" xr:uid="{73503337-528F-4386-BD99-B1452C1B46F6}">
      <text>
        <r>
          <rPr>
            <b/>
            <sz val="9"/>
            <color indexed="81"/>
            <rFont val="Tahoma"/>
            <family val="2"/>
          </rPr>
          <t>Eve Browning:</t>
        </r>
        <r>
          <rPr>
            <sz val="9"/>
            <color indexed="81"/>
            <rFont val="Tahoma"/>
            <family val="2"/>
          </rPr>
          <t xml:space="preserve">
Invoice SI403954
Cable route engineering queries - £542.30</t>
        </r>
      </text>
    </comment>
    <comment ref="BC47" authorId="0" shapeId="0" xr:uid="{B68D25C3-7C87-41D7-A443-6347C2CBD9C1}">
      <text>
        <r>
          <rPr>
            <b/>
            <sz val="9"/>
            <color indexed="81"/>
            <rFont val="Tahoma"/>
            <family val="2"/>
          </rPr>
          <t>Eve Browning:</t>
        </r>
        <r>
          <rPr>
            <sz val="9"/>
            <color indexed="81"/>
            <rFont val="Tahoma"/>
            <family val="2"/>
          </rPr>
          <t xml:space="preserve">
Invoice SI404345
Normanby by Stow queries - £542.30</t>
        </r>
      </text>
    </comment>
    <comment ref="BF47" authorId="0" shapeId="0" xr:uid="{928BF2BD-0B81-434D-99AE-6AFC317E897A}">
      <text>
        <r>
          <rPr>
            <b/>
            <sz val="9"/>
            <color indexed="81"/>
            <rFont val="Tahoma"/>
            <family val="2"/>
          </rPr>
          <t>Eve Browning:</t>
        </r>
        <r>
          <rPr>
            <sz val="9"/>
            <color indexed="81"/>
            <rFont val="Tahoma"/>
            <family val="2"/>
          </rPr>
          <t xml:space="preserve">
Invoice SI406022
Feasibility Studies - railway crossings - £135.57</t>
        </r>
      </text>
    </comment>
    <comment ref="AL48" authorId="0" shapeId="0" xr:uid="{DFCAF09F-7E8B-4A80-B078-A8CC98EA92A4}">
      <text>
        <r>
          <rPr>
            <b/>
            <sz val="9"/>
            <color indexed="81"/>
            <rFont val="Tahoma"/>
            <family val="2"/>
          </rPr>
          <t>Eve Browning:</t>
        </r>
        <r>
          <rPr>
            <sz val="9"/>
            <color indexed="81"/>
            <rFont val="Tahoma"/>
            <family val="2"/>
          </rPr>
          <t xml:space="preserve">
Invoice 1860GV003977
Ecology surveys on EDF land £1500 per access, plus £2000 licence entry fee</t>
        </r>
      </text>
    </comment>
    <comment ref="AM49" authorId="0" shapeId="0" xr:uid="{34FE452A-14A8-45B9-923B-5F3E52BD8CF0}">
      <text>
        <r>
          <rPr>
            <b/>
            <sz val="9"/>
            <color indexed="81"/>
            <rFont val="Tahoma"/>
            <family val="2"/>
          </rPr>
          <t>Eve Browning:</t>
        </r>
        <r>
          <rPr>
            <sz val="9"/>
            <color indexed="81"/>
            <rFont val="Tahoma"/>
            <family val="2"/>
          </rPr>
          <t xml:space="preserve">
Solar Energy UK invoice INV-3070</t>
        </r>
      </text>
    </comment>
    <comment ref="AX49" authorId="0" shapeId="0" xr:uid="{0834909D-363B-4D84-BA4B-8D31B695B8DE}">
      <text>
        <r>
          <rPr>
            <b/>
            <sz val="9"/>
            <color indexed="81"/>
            <rFont val="Tahoma"/>
            <family val="2"/>
          </rPr>
          <t>Eve Browning:</t>
        </r>
        <r>
          <rPr>
            <sz val="9"/>
            <color indexed="81"/>
            <rFont val="Tahoma"/>
            <family val="2"/>
          </rPr>
          <t xml:space="preserve">
Invoice INV-3568
NSIP Forum membership - £10000</t>
        </r>
      </text>
    </comment>
    <comment ref="AM50" authorId="0" shapeId="0" xr:uid="{08573344-A87C-4E65-A70A-2AC91A496C83}">
      <text>
        <r>
          <rPr>
            <b/>
            <sz val="9"/>
            <color indexed="81"/>
            <rFont val="Tahoma"/>
            <family val="2"/>
          </rPr>
          <t>Eve Browning:</t>
        </r>
        <r>
          <rPr>
            <sz val="9"/>
            <color indexed="81"/>
            <rFont val="Tahoma"/>
            <family val="2"/>
          </rPr>
          <t xml:space="preserve">
Viking Energy invoice CSP-001
Construction schedule and waste estimation</t>
        </r>
      </text>
    </comment>
    <comment ref="AN50" authorId="0" shapeId="0" xr:uid="{42EE6246-FA1A-4CAD-8746-6C6756880E45}">
      <text>
        <r>
          <rPr>
            <b/>
            <sz val="9"/>
            <color indexed="81"/>
            <rFont val="Tahoma"/>
            <family val="2"/>
          </rPr>
          <t>Eve Browning:</t>
        </r>
        <r>
          <rPr>
            <sz val="9"/>
            <color indexed="81"/>
            <rFont val="Tahoma"/>
            <family val="2"/>
          </rPr>
          <t xml:space="preserve">
Invoice CSP-002</t>
        </r>
      </text>
    </comment>
    <comment ref="C51" authorId="0" shapeId="0" xr:uid="{6B4387C4-178E-442A-BF82-3DC2637D1819}">
      <text>
        <r>
          <rPr>
            <b/>
            <sz val="9"/>
            <color indexed="81"/>
            <rFont val="Tahoma"/>
            <family val="2"/>
          </rPr>
          <t>Eve Browning:</t>
        </r>
        <r>
          <rPr>
            <sz val="9"/>
            <color indexed="81"/>
            <rFont val="Tahoma"/>
            <family val="2"/>
          </rPr>
          <t xml:space="preserve">
Client account that then Pinsent draws down on when third party legal teams request money
</t>
        </r>
      </text>
    </comment>
    <comment ref="AM51" authorId="0" shapeId="0" xr:uid="{7C239A9B-F7C7-4C69-B6E3-CFDB9AB796C2}">
      <text>
        <r>
          <rPr>
            <b/>
            <sz val="9"/>
            <color indexed="81"/>
            <rFont val="Tahoma"/>
            <family val="2"/>
          </rPr>
          <t>Eve Browning:</t>
        </r>
        <r>
          <rPr>
            <sz val="9"/>
            <color indexed="81"/>
            <rFont val="Tahoma"/>
            <family val="2"/>
          </rPr>
          <t xml:space="preserve">
Payment made to Pinsent Masons for protective provision undertakings for:
- NGET
- NG Gas
- NPG
- WPD
- Anglian Water
- Uniper
All circa £3k each</t>
        </r>
      </text>
    </comment>
    <comment ref="AR51" authorId="0" shapeId="0" xr:uid="{A80E8E85-992E-4807-8169-13208F03484C}">
      <text>
        <r>
          <rPr>
            <b/>
            <sz val="9"/>
            <color indexed="81"/>
            <rFont val="Tahoma"/>
            <family val="2"/>
          </rPr>
          <t>Eve Browning:</t>
        </r>
        <r>
          <rPr>
            <sz val="9"/>
            <color indexed="81"/>
            <rFont val="Tahoma"/>
            <family val="2"/>
          </rPr>
          <t xml:space="preserve">
Cadent Gas
Exolum
NETS
Network Rail
Severn Trent
NG Elec Distr
Canal and River Trust
Environment Agency</t>
        </r>
      </text>
    </comment>
    <comment ref="AU51" authorId="0" shapeId="0" xr:uid="{EC0010B5-0D4D-4BAB-9C62-5818F4E17786}">
      <text>
        <r>
          <rPr>
            <b/>
            <sz val="9"/>
            <color indexed="81"/>
            <rFont val="Tahoma"/>
            <family val="2"/>
          </rPr>
          <t>Eve Browning:</t>
        </r>
        <r>
          <rPr>
            <sz val="9"/>
            <color indexed="81"/>
            <rFont val="Tahoma"/>
            <family val="2"/>
          </rPr>
          <t xml:space="preserve">
Invoiced to date:
Invoice 02160112 Weightmans
Northern Powergrid £441.63</t>
        </r>
      </text>
    </comment>
    <comment ref="AX51" authorId="0" shapeId="0" xr:uid="{7BB62326-B392-4C4C-8509-5D5BF1FAEC0C}">
      <text>
        <r>
          <rPr>
            <b/>
            <sz val="9"/>
            <color indexed="81"/>
            <rFont val="Tahoma"/>
            <family val="2"/>
          </rPr>
          <t>Eve Browning:</t>
        </r>
        <r>
          <rPr>
            <sz val="9"/>
            <color indexed="81"/>
            <rFont val="Tahoma"/>
            <family val="2"/>
          </rPr>
          <t xml:space="preserve">
£2158.20 Canal and Rivers Trust authorised</t>
        </r>
      </text>
    </comment>
    <comment ref="AZ51" authorId="0" shapeId="0" xr:uid="{0E4453F3-F6AF-4473-88EB-D7EA3B36AC8A}">
      <text>
        <r>
          <rPr>
            <b/>
            <sz val="9"/>
            <color indexed="81"/>
            <rFont val="Tahoma"/>
            <family val="2"/>
          </rPr>
          <t>Eve Browning:</t>
        </r>
        <r>
          <rPr>
            <sz val="9"/>
            <color indexed="81"/>
            <rFont val="Tahoma"/>
            <family val="2"/>
          </rPr>
          <t xml:space="preserve">
Gross interest paid in - £189.89</t>
        </r>
      </text>
    </comment>
    <comment ref="BA51" authorId="0" shapeId="0" xr:uid="{2A2CCB19-00F1-4AEB-AAE1-BF9F3BCC4373}">
      <text>
        <r>
          <rPr>
            <b/>
            <sz val="9"/>
            <color indexed="81"/>
            <rFont val="Tahoma"/>
            <family val="2"/>
          </rPr>
          <t>Eve Browning:</t>
        </r>
        <r>
          <rPr>
            <sz val="9"/>
            <color indexed="81"/>
            <rFont val="Tahoma"/>
            <family val="2"/>
          </rPr>
          <t xml:space="preserve">
Gross interest paid in - £99.83</t>
        </r>
      </text>
    </comment>
    <comment ref="BB51" authorId="0" shapeId="0" xr:uid="{F0066B0B-DE08-4575-982D-F169A965DA26}">
      <text>
        <r>
          <rPr>
            <b/>
            <sz val="9"/>
            <color indexed="81"/>
            <rFont val="Tahoma"/>
            <family val="2"/>
          </rPr>
          <t>Eve Browning:</t>
        </r>
        <r>
          <rPr>
            <sz val="9"/>
            <color indexed="81"/>
            <rFont val="Tahoma"/>
            <family val="2"/>
          </rPr>
          <t xml:space="preserve">
Gross interest paid in - £99.94</t>
        </r>
      </text>
    </comment>
    <comment ref="BC51" authorId="0" shapeId="0" xr:uid="{5EB7459A-E870-4C6F-9E10-EA85F3FDC91E}">
      <text>
        <r>
          <rPr>
            <b/>
            <sz val="9"/>
            <color indexed="81"/>
            <rFont val="Tahoma"/>
            <family val="2"/>
          </rPr>
          <t>Eve Browning:</t>
        </r>
        <r>
          <rPr>
            <sz val="9"/>
            <color indexed="81"/>
            <rFont val="Tahoma"/>
            <family val="2"/>
          </rPr>
          <t xml:space="preserve">
£810.81 Weightmans invoice 02198519 - Northern Powergrid legal costs for negotiating protective provisions
Weightmans invoice 02232693
- Northern Powergrid legal costs for negotiating protective provisions - £1392.93</t>
        </r>
      </text>
    </comment>
    <comment ref="BD51" authorId="0" shapeId="0" xr:uid="{B3A79F01-2A16-4F0E-B286-21F595B24C6E}">
      <text>
        <r>
          <rPr>
            <b/>
            <sz val="9"/>
            <color indexed="81"/>
            <rFont val="Tahoma"/>
            <family val="2"/>
          </rPr>
          <t>Eve Browning:</t>
        </r>
        <r>
          <rPr>
            <sz val="9"/>
            <color indexed="81"/>
            <rFont val="Tahoma"/>
            <family val="2"/>
          </rPr>
          <t xml:space="preserve">
£5500 Cadent Gas PPs and side agreement legal fees
NGED (Osborne Clarke)
Contribution to reasonable legal fees in connection with the negotiation and completion of the Asset Protection Agreement and related matters - £9000
Ref: AHPK/1192249
</t>
        </r>
      </text>
    </comment>
    <comment ref="BE51" authorId="0" shapeId="0" xr:uid="{C57A1A5D-DE47-4F42-84FA-5F298DA1BAA9}">
      <text>
        <r>
          <rPr>
            <b/>
            <sz val="9"/>
            <color indexed="81"/>
            <rFont val="Tahoma"/>
            <family val="2"/>
          </rPr>
          <t>Eve Browning:</t>
        </r>
        <r>
          <rPr>
            <sz val="9"/>
            <color indexed="81"/>
            <rFont val="Tahoma"/>
            <family val="2"/>
          </rPr>
          <t xml:space="preserve">
vwv invoice BN1-00175149-02
Exolum protective provisions negotiation - £1915</t>
        </r>
      </text>
    </comment>
    <comment ref="BF51" authorId="0" shapeId="0" xr:uid="{20297FF9-65DF-4C7C-8BFD-6CA7BC270CF5}">
      <text>
        <r>
          <rPr>
            <b/>
            <sz val="9"/>
            <color indexed="81"/>
            <rFont val="Tahoma"/>
            <family val="2"/>
          </rPr>
          <t>Eve Browning:</t>
        </r>
        <r>
          <rPr>
            <sz val="9"/>
            <color indexed="81"/>
            <rFont val="Tahoma"/>
            <family val="2"/>
          </rPr>
          <t xml:space="preserve">
CMS Invoice 1000-0184184
Negotiation of EDF protective provisions - £2589.78</t>
        </r>
      </text>
    </comment>
    <comment ref="BG51" authorId="0" shapeId="0" xr:uid="{00325D37-100A-457E-BAA4-899517353175}">
      <text>
        <r>
          <rPr>
            <b/>
            <sz val="9"/>
            <color indexed="81"/>
            <rFont val="Tahoma"/>
            <family val="2"/>
          </rPr>
          <t>Eve Browning:</t>
        </r>
        <r>
          <rPr>
            <sz val="9"/>
            <color indexed="81"/>
            <rFont val="Tahoma"/>
            <family val="2"/>
          </rPr>
          <t xml:space="preserve">
</t>
        </r>
        <r>
          <rPr>
            <b/>
            <sz val="9"/>
            <color indexed="81"/>
            <rFont val="Tahoma"/>
            <family val="2"/>
          </rPr>
          <t>CMS Cameron McKenna Nabarro Olswang LLP invoice 1000-020177</t>
        </r>
        <r>
          <rPr>
            <sz val="9"/>
            <color indexed="81"/>
            <rFont val="Tahoma"/>
            <family val="2"/>
          </rPr>
          <t xml:space="preserve">8
Negotiation of EDF protective provisions £1802.34
</t>
        </r>
        <r>
          <rPr>
            <b/>
            <sz val="9"/>
            <color indexed="81"/>
            <rFont val="Tahoma"/>
            <family val="2"/>
          </rPr>
          <t>Weightmans LLP invoice 02253178</t>
        </r>
        <r>
          <rPr>
            <sz val="9"/>
            <color indexed="81"/>
            <rFont val="Tahoma"/>
            <family val="2"/>
          </rPr>
          <t xml:space="preserve">
Negotiation of Northern Powergrid protective provisions £228.69</t>
        </r>
      </text>
    </comment>
    <comment ref="AO52" authorId="0" shapeId="0" xr:uid="{4DC8B4F9-1E2B-4F45-99F4-C1F5899B6E68}">
      <text>
        <r>
          <rPr>
            <b/>
            <sz val="9"/>
            <color indexed="81"/>
            <rFont val="Tahoma"/>
            <family val="2"/>
          </rPr>
          <t>Eve Browning:</t>
        </r>
        <r>
          <rPr>
            <sz val="9"/>
            <color indexed="81"/>
            <rFont val="Tahoma"/>
            <family val="2"/>
          </rPr>
          <t xml:space="preserve">
Invoice 6722956</t>
        </r>
      </text>
    </comment>
    <comment ref="AY53" authorId="0" shapeId="0" xr:uid="{5E2BB661-0AEC-497E-A18A-284EA953BDA3}">
      <text>
        <r>
          <rPr>
            <b/>
            <sz val="9"/>
            <color indexed="81"/>
            <rFont val="Tahoma"/>
            <family val="2"/>
          </rPr>
          <t>Eve Browning:</t>
        </r>
        <r>
          <rPr>
            <sz val="9"/>
            <color indexed="81"/>
            <rFont val="Tahoma"/>
            <family val="2"/>
          </rPr>
          <t xml:space="preserve">
BST&amp;T Consultancy Services
Invoice 1527
Technical review of battery fire safety
management plan. Hours worked x
Review process includes meetings, document analysis (OBFSMP + fire note), content recommendations &amp; amendments - £8400
</t>
        </r>
      </text>
    </comment>
    <comment ref="BA53" authorId="0" shapeId="0" xr:uid="{0235D6D2-6861-4F11-9513-A136AD7274D1}">
      <text>
        <r>
          <rPr>
            <b/>
            <sz val="9"/>
            <color indexed="81"/>
            <rFont val="Tahoma"/>
            <family val="2"/>
          </rPr>
          <t>Eve Browning:</t>
        </r>
        <r>
          <rPr>
            <sz val="9"/>
            <color indexed="81"/>
            <rFont val="Tahoma"/>
            <family val="2"/>
          </rPr>
          <t xml:space="preserve">
BST&amp;T invoice 1528
Review of OBSSMP
Review process includes meetings (LFR engagement), 
document analysis (OBSSMP + Fire note) , DCO 
submissions, content recommendations &amp; amendments 
(OBSSMP + Fire note)
£5600</t>
        </r>
      </text>
    </comment>
    <comment ref="BB53" authorId="0" shapeId="0" xr:uid="{78FACC07-9A3C-40E2-BEDD-C6A62099DC43}">
      <text>
        <r>
          <rPr>
            <b/>
            <sz val="9"/>
            <color indexed="81"/>
            <rFont val="Tahoma"/>
            <family val="2"/>
          </rPr>
          <t>Eve Browning:</t>
        </r>
        <r>
          <rPr>
            <sz val="9"/>
            <color indexed="81"/>
            <rFont val="Tahoma"/>
            <family val="2"/>
          </rPr>
          <t xml:space="preserve">
Invoice 1532
Expert witness hearing - daily rate Flat rate for DCO planning meeting £ 1,600.00
Mileage Total mileage for Cottam DCO hearing attendance £115.20
Expert witness content preparation Hours x
DCO meeting, submissions and hearing content
provision £800.00
Technical review of battery fire safety
management plan. Review process includes FRS meeting, FRS engagement, ERP content template for OBSSMP, site
design review £1000
Total £3515.20</t>
        </r>
      </text>
    </comment>
    <comment ref="BC53" authorId="0" shapeId="0" xr:uid="{08BDF54E-E32B-4FA3-9C9A-F654ACE68B25}">
      <text>
        <r>
          <rPr>
            <b/>
            <sz val="9"/>
            <color indexed="81"/>
            <rFont val="Tahoma"/>
            <family val="2"/>
          </rPr>
          <t>Eve Browning:</t>
        </r>
        <r>
          <rPr>
            <sz val="9"/>
            <color indexed="81"/>
            <rFont val="Tahoma"/>
            <family val="2"/>
          </rPr>
          <t xml:space="preserve">
Invoice 1536
Expert witness content preparation 
Hours x Cottam DCO written submission content
preparation - £1400</t>
        </r>
      </text>
    </comment>
    <comment ref="BD53" authorId="0" shapeId="0" xr:uid="{13A7AFD0-B4DE-4784-9FB6-DABFE08D3C4D}">
      <text>
        <r>
          <rPr>
            <b/>
            <sz val="9"/>
            <color indexed="81"/>
            <rFont val="Tahoma"/>
            <family val="2"/>
          </rPr>
          <t>Eve Browning:</t>
        </r>
        <r>
          <rPr>
            <sz val="9"/>
            <color indexed="81"/>
            <rFont val="Tahoma"/>
            <family val="2"/>
          </rPr>
          <t xml:space="preserve">
Invoice 1544
Written submission content preparation 2.5hrs - £500</t>
        </r>
      </text>
    </comment>
    <comment ref="C54" authorId="0" shapeId="0" xr:uid="{A486DD8C-EEED-4E90-9A3E-3B6F3DEFD1E1}">
      <text>
        <r>
          <rPr>
            <b/>
            <sz val="9"/>
            <color indexed="81"/>
            <rFont val="Tahoma"/>
            <family val="2"/>
          </rPr>
          <t>Eve Browning:</t>
        </r>
        <r>
          <rPr>
            <sz val="9"/>
            <color indexed="81"/>
            <rFont val="Tahoma"/>
            <family val="2"/>
          </rPr>
          <t xml:space="preserve">
Will we need a PO for this refund?
</t>
        </r>
      </text>
    </comment>
    <comment ref="BC54" authorId="0" shapeId="0" xr:uid="{F1799A0A-C6B4-4EC2-AB97-A5A0CFA7A13D}">
      <text>
        <r>
          <rPr>
            <b/>
            <sz val="9"/>
            <color indexed="81"/>
            <rFont val="Tahoma"/>
            <family val="2"/>
          </rPr>
          <t>Eve Browning:</t>
        </r>
        <r>
          <rPr>
            <sz val="9"/>
            <color indexed="81"/>
            <rFont val="Tahoma"/>
            <family val="2"/>
          </rPr>
          <t xml:space="preserve">
1. Cable Route Corridor survey costs
Archaeology (GeoPhys)   £   3,582.36 
Archaeology (Trial Trenching) £   22,479.47 
Archaeology (Landowner Fees) £    6,048.74 
Archaeology (LIDAR) £    1,042.04 
Archaeology (geophys Normanby by Stow) £    1,012.50
Ecology (Normanby by Stow) £       530.00
Total £    34,695.12
2. Cottam survey costs on Tillbridge Principal Site
Ecology £              25,900.15 
Arch (GeoPhys)   £              35,635.50 
Arch (Trial Trenching) £              40,259.95 
Data Collection £                    825.00 
Total   £            102,620.60 
Grand Total (1 and 2)   £            137,315.72
</t>
        </r>
      </text>
    </comment>
    <comment ref="M55" authorId="0" shapeId="0" xr:uid="{2F5DE52C-7B08-4556-829E-17D774680789}">
      <text>
        <r>
          <rPr>
            <b/>
            <sz val="9"/>
            <color indexed="81"/>
            <rFont val="Tahoma"/>
            <family val="2"/>
          </rPr>
          <t>Eve Browning:</t>
        </r>
        <r>
          <rPr>
            <sz val="9"/>
            <color indexed="81"/>
            <rFont val="Tahoma"/>
            <family val="2"/>
          </rPr>
          <t xml:space="preserve">
Dalcour Maclaren, quote includes expenses and post DCO submission work. Additional invoice (quote from 20.10.21  + out of scope items added on) + £650 for highways searches  + half of addional quote 12.11.21 +12134 additional predicted spend (Rob Jones budget review email)</t>
        </r>
      </text>
    </comment>
    <comment ref="N55" authorId="0" shapeId="0" xr:uid="{AEB5C504-2F4D-49CF-88E9-47C05E2CFE18}">
      <text>
        <r>
          <rPr>
            <b/>
            <sz val="9"/>
            <color indexed="81"/>
            <rFont val="Tahoma"/>
            <family val="2"/>
          </rPr>
          <t>Eve Browning:</t>
        </r>
        <r>
          <rPr>
            <sz val="9"/>
            <color indexed="81"/>
            <rFont val="Tahoma"/>
            <family val="2"/>
          </rPr>
          <t xml:space="preserve">
RSK estimated between £103k to £188k for each project, this figure is in the middle. Based upon new cable routes</t>
        </r>
      </text>
    </comment>
    <comment ref="AG55" authorId="0" shapeId="0" xr:uid="{BD7C8DA0-F439-4F97-A914-29B3DF91281B}">
      <text>
        <r>
          <rPr>
            <b/>
            <sz val="9"/>
            <color indexed="81"/>
            <rFont val="Tahoma"/>
            <family val="2"/>
          </rPr>
          <t>Eve Browning:</t>
        </r>
        <r>
          <rPr>
            <sz val="9"/>
            <color indexed="81"/>
            <rFont val="Tahoma"/>
            <family val="2"/>
          </rPr>
          <t xml:space="preserve">
Invoice UK-Ci-036732</t>
        </r>
      </text>
    </comment>
    <comment ref="AH55" authorId="0" shapeId="0" xr:uid="{D3A0BC50-1361-42A7-819D-74BFA6510FEB}">
      <text>
        <r>
          <rPr>
            <b/>
            <sz val="9"/>
            <color indexed="81"/>
            <rFont val="Tahoma"/>
            <family val="2"/>
          </rPr>
          <t>Eve Browning:</t>
        </r>
        <r>
          <rPr>
            <sz val="9"/>
            <color indexed="81"/>
            <rFont val="Tahoma"/>
            <family val="2"/>
          </rPr>
          <t xml:space="preserve">
Invoice UK-CI-043782</t>
        </r>
      </text>
    </comment>
    <comment ref="AI55" authorId="0" shapeId="0" xr:uid="{F9F5618B-C4BF-4F34-88BF-CD337CC25518}">
      <text>
        <r>
          <rPr>
            <b/>
            <sz val="9"/>
            <color indexed="81"/>
            <rFont val="Tahoma"/>
            <family val="2"/>
          </rPr>
          <t>Eve Browning:</t>
        </r>
        <r>
          <rPr>
            <sz val="9"/>
            <color indexed="81"/>
            <rFont val="Tahoma"/>
            <family val="2"/>
          </rPr>
          <t xml:space="preserve">
Invoice UK-CI-049692</t>
        </r>
      </text>
    </comment>
    <comment ref="AJ55" authorId="0" shapeId="0" xr:uid="{8F660320-43A8-43BC-A10A-DDCAE28250AC}">
      <text>
        <r>
          <rPr>
            <b/>
            <sz val="9"/>
            <color indexed="81"/>
            <rFont val="Tahoma"/>
            <family val="2"/>
          </rPr>
          <t>Eve Browning:</t>
        </r>
        <r>
          <rPr>
            <sz val="9"/>
            <color indexed="81"/>
            <rFont val="Tahoma"/>
            <family val="2"/>
          </rPr>
          <t xml:space="preserve">
Invoice UK-CI-058020</t>
        </r>
      </text>
    </comment>
    <comment ref="AK55" authorId="0" shapeId="0" xr:uid="{B61A20BB-A7DB-49BB-80C9-CD7449C9AFAD}">
      <text>
        <r>
          <rPr>
            <b/>
            <sz val="9"/>
            <color indexed="81"/>
            <rFont val="Tahoma"/>
            <family val="2"/>
          </rPr>
          <t>Eve Browning:</t>
        </r>
        <r>
          <rPr>
            <sz val="9"/>
            <color indexed="81"/>
            <rFont val="Tahoma"/>
            <family val="2"/>
          </rPr>
          <t xml:space="preserve">
Invoice UK-CI-065058
Includes previously missed expenses</t>
        </r>
      </text>
    </comment>
    <comment ref="AL55" authorId="0" shapeId="0" xr:uid="{AE0638ED-F414-4936-B80C-B90C4CECD088}">
      <text>
        <r>
          <rPr>
            <b/>
            <sz val="9"/>
            <color indexed="81"/>
            <rFont val="Tahoma"/>
            <family val="2"/>
          </rPr>
          <t>Eve Browning:</t>
        </r>
        <r>
          <rPr>
            <sz val="9"/>
            <color indexed="81"/>
            <rFont val="Tahoma"/>
            <family val="2"/>
          </rPr>
          <t xml:space="preserve">
Invoice UK-CI-069048</t>
        </r>
      </text>
    </comment>
    <comment ref="AM55" authorId="0" shapeId="0" xr:uid="{B95824B2-2FEB-4006-B4FC-B97BADB304CC}">
      <text>
        <r>
          <rPr>
            <b/>
            <sz val="9"/>
            <color indexed="81"/>
            <rFont val="Tahoma"/>
            <family val="2"/>
          </rPr>
          <t>Eve Browning:</t>
        </r>
        <r>
          <rPr>
            <sz val="9"/>
            <color indexed="81"/>
            <rFont val="Tahoma"/>
            <family val="2"/>
          </rPr>
          <t xml:space="preserve">
Invoice  UK-CI-079014
Land agency services</t>
        </r>
      </text>
    </comment>
    <comment ref="AN55" authorId="0" shapeId="0" xr:uid="{5B8D4E8B-D918-48F0-88C3-84B5D9E3A9AD}">
      <text>
        <r>
          <rPr>
            <b/>
            <sz val="9"/>
            <color indexed="81"/>
            <rFont val="Tahoma"/>
            <family val="2"/>
          </rPr>
          <t>Eve Browning:</t>
        </r>
        <r>
          <rPr>
            <sz val="9"/>
            <color indexed="81"/>
            <rFont val="Tahoma"/>
            <family val="2"/>
          </rPr>
          <t xml:space="preserve">
Invoice  UK-CI-083466
Book of reference creation</t>
        </r>
      </text>
    </comment>
    <comment ref="AO55" authorId="0" shapeId="0" xr:uid="{1A8C3350-4505-48B7-A5E2-582792EB7CC7}">
      <text>
        <r>
          <rPr>
            <b/>
            <sz val="9"/>
            <color indexed="81"/>
            <rFont val="Tahoma"/>
            <family val="2"/>
          </rPr>
          <t>Eve Browning:</t>
        </r>
        <r>
          <rPr>
            <sz val="9"/>
            <color indexed="81"/>
            <rFont val="Tahoma"/>
            <family val="2"/>
          </rPr>
          <t xml:space="preserve">
Invoice UK-CI-094470</t>
        </r>
      </text>
    </comment>
    <comment ref="AP55" authorId="0" shapeId="0" xr:uid="{7AE3EA93-77C6-43F1-9CF0-4442A67849F3}">
      <text>
        <r>
          <rPr>
            <b/>
            <sz val="9"/>
            <color indexed="81"/>
            <rFont val="Tahoma"/>
            <family val="2"/>
          </rPr>
          <t>Eve Browning:</t>
        </r>
        <r>
          <rPr>
            <sz val="9"/>
            <color indexed="81"/>
            <rFont val="Tahoma"/>
            <family val="2"/>
          </rPr>
          <t xml:space="preserve">
Invoice UK-CI-099222
Land agency services - £54,349.55
</t>
        </r>
      </text>
    </comment>
    <comment ref="AQ55" authorId="0" shapeId="0" xr:uid="{8E8AE9E8-21F0-4D80-A95A-3F3E5CD6A00A}">
      <text>
        <r>
          <rPr>
            <b/>
            <sz val="9"/>
            <color indexed="81"/>
            <rFont val="Tahoma"/>
            <family val="2"/>
          </rPr>
          <t>Eve Browning:</t>
        </r>
        <r>
          <rPr>
            <sz val="9"/>
            <color indexed="81"/>
            <rFont val="Tahoma"/>
            <family val="2"/>
          </rPr>
          <t xml:space="preserve">
Invoice UK-CI-109710
Pre and post-submission work - £5994.20</t>
        </r>
      </text>
    </comment>
    <comment ref="AR55" authorId="0" shapeId="0" xr:uid="{C0BFD143-E014-4D3F-86F0-0C51EBAFBE07}">
      <text>
        <r>
          <rPr>
            <b/>
            <sz val="9"/>
            <color indexed="81"/>
            <rFont val="Tahoma"/>
            <family val="2"/>
          </rPr>
          <t>Eve Browning:</t>
        </r>
        <r>
          <rPr>
            <sz val="9"/>
            <color indexed="81"/>
            <rFont val="Tahoma"/>
            <family val="2"/>
          </rPr>
          <t xml:space="preserve">
Invoice UK-CI-115176
Post-submission S56 notices - £18417.62</t>
        </r>
      </text>
    </comment>
    <comment ref="AS55" authorId="0" shapeId="0" xr:uid="{98C1767F-9392-4A6B-96B5-BE49B18C7A63}">
      <text>
        <r>
          <rPr>
            <b/>
            <sz val="9"/>
            <color indexed="81"/>
            <rFont val="Tahoma"/>
            <family val="2"/>
          </rPr>
          <t>Eve Browning:</t>
        </r>
        <r>
          <rPr>
            <sz val="9"/>
            <color indexed="81"/>
            <rFont val="Tahoma"/>
            <family val="2"/>
          </rPr>
          <t xml:space="preserve">
Invoice UK-CI-126216
Land agency services - £8533.90</t>
        </r>
      </text>
    </comment>
    <comment ref="AT55" authorId="0" shapeId="0" xr:uid="{045C401E-90C8-4743-A4F6-7D6E1371B61D}">
      <text>
        <r>
          <rPr>
            <b/>
            <sz val="9"/>
            <color indexed="81"/>
            <rFont val="Tahoma"/>
            <family val="2"/>
          </rPr>
          <t>Eve Browning:</t>
        </r>
        <r>
          <rPr>
            <sz val="9"/>
            <color indexed="81"/>
            <rFont val="Tahoma"/>
            <family val="2"/>
          </rPr>
          <t xml:space="preserve">
Invoice UK-CI-130458
Land agency services - £4060.50</t>
        </r>
      </text>
    </comment>
    <comment ref="AU55" authorId="0" shapeId="0" xr:uid="{5AD713E1-5683-4063-947D-1F41C1EE7B65}">
      <text>
        <r>
          <rPr>
            <b/>
            <sz val="9"/>
            <color indexed="81"/>
            <rFont val="Tahoma"/>
            <family val="2"/>
          </rPr>
          <t>Eve Browning:</t>
        </r>
        <r>
          <rPr>
            <sz val="9"/>
            <color indexed="81"/>
            <rFont val="Tahoma"/>
            <family val="2"/>
          </rPr>
          <t xml:space="preserve">
Invoice - UK-CI-138030
Land agency services - £2768.95</t>
        </r>
      </text>
    </comment>
    <comment ref="AV55" authorId="0" shapeId="0" xr:uid="{D09CB069-A346-4D53-A2A2-AB78212BF839}">
      <text>
        <r>
          <rPr>
            <b/>
            <sz val="9"/>
            <color indexed="81"/>
            <rFont val="Tahoma"/>
            <family val="2"/>
          </rPr>
          <t>Eve Browning:</t>
        </r>
        <r>
          <rPr>
            <sz val="9"/>
            <color indexed="81"/>
            <rFont val="Tahoma"/>
            <family val="2"/>
          </rPr>
          <t xml:space="preserve">
Invoice UK-CI-147324
Land agency services - £2465.50</t>
        </r>
      </text>
    </comment>
    <comment ref="AW55" authorId="0" shapeId="0" xr:uid="{13913B1D-FE08-4D5F-83AF-0D358E4FA121}">
      <text>
        <r>
          <rPr>
            <b/>
            <sz val="9"/>
            <color indexed="81"/>
            <rFont val="Tahoma"/>
            <family val="2"/>
          </rPr>
          <t>Eve Browning:</t>
        </r>
        <r>
          <rPr>
            <sz val="9"/>
            <color indexed="81"/>
            <rFont val="Tahoma"/>
            <family val="2"/>
          </rPr>
          <t xml:space="preserve">
Invoice UK-CI-155280
Land agency services - £2361.75</t>
        </r>
      </text>
    </comment>
    <comment ref="AX55" authorId="0" shapeId="0" xr:uid="{3C6943B9-C7A0-447C-8CDD-1B7386CB358C}">
      <text>
        <r>
          <rPr>
            <b/>
            <sz val="9"/>
            <color indexed="81"/>
            <rFont val="Tahoma"/>
            <family val="2"/>
          </rPr>
          <t>Eve Browning:</t>
        </r>
        <r>
          <rPr>
            <sz val="9"/>
            <color indexed="81"/>
            <rFont val="Tahoma"/>
            <family val="2"/>
          </rPr>
          <t xml:space="preserve">
Invoice UK-CI-163062
Land agency services - £2536.50</t>
        </r>
      </text>
    </comment>
    <comment ref="AY55" authorId="0" shapeId="0" xr:uid="{1E1EA82E-A325-4C5B-AD36-7591529B2CA9}">
      <text>
        <r>
          <rPr>
            <b/>
            <sz val="9"/>
            <color indexed="81"/>
            <rFont val="Tahoma"/>
            <family val="2"/>
          </rPr>
          <t>Eve Browning:</t>
        </r>
        <r>
          <rPr>
            <sz val="9"/>
            <color indexed="81"/>
            <rFont val="Tahoma"/>
            <family val="2"/>
          </rPr>
          <t xml:space="preserve">
Invoice UK-CI-171390
Land agency services - £2204.25</t>
        </r>
      </text>
    </comment>
    <comment ref="AZ55" authorId="0" shapeId="0" xr:uid="{82070F6F-4BF7-4047-8ABE-7DC397E7D000}">
      <text>
        <r>
          <rPr>
            <b/>
            <sz val="9"/>
            <color indexed="81"/>
            <rFont val="Tahoma"/>
            <family val="2"/>
          </rPr>
          <t>Eve Browning:</t>
        </r>
        <r>
          <rPr>
            <sz val="9"/>
            <color indexed="81"/>
            <rFont val="Tahoma"/>
            <family val="2"/>
          </rPr>
          <t xml:space="preserve">
Invoice UK-CI-179862
Land agency services - £11,492.88</t>
        </r>
      </text>
    </comment>
    <comment ref="BA55" authorId="0" shapeId="0" xr:uid="{00CC0774-1B10-48D2-AB0D-8A4AF78E44DF}">
      <text>
        <r>
          <rPr>
            <b/>
            <sz val="9"/>
            <color indexed="81"/>
            <rFont val="Tahoma"/>
            <family val="2"/>
          </rPr>
          <t>Eve Browning:</t>
        </r>
        <r>
          <rPr>
            <sz val="9"/>
            <color indexed="81"/>
            <rFont val="Tahoma"/>
            <family val="2"/>
          </rPr>
          <t xml:space="preserve">
Invoice UK-CI-185598
Book of Reference updates for deadlines and change application - £9738.19
</t>
        </r>
      </text>
    </comment>
    <comment ref="BB55" authorId="0" shapeId="0" xr:uid="{B7559A20-6BF6-4EA6-8146-C1352EE81997}">
      <text>
        <r>
          <rPr>
            <b/>
            <sz val="9"/>
            <color indexed="81"/>
            <rFont val="Tahoma"/>
            <family val="2"/>
          </rPr>
          <t>Eve Browning:</t>
        </r>
        <r>
          <rPr>
            <sz val="9"/>
            <color indexed="81"/>
            <rFont val="Tahoma"/>
            <family val="2"/>
          </rPr>
          <t xml:space="preserve">
Invoice UK-CI-194040
Land agency services - £7470.68</t>
        </r>
      </text>
    </comment>
    <comment ref="BC55" authorId="0" shapeId="0" xr:uid="{BC89513D-5D6F-4E8A-B5AF-6DD2380CE5A3}">
      <text>
        <r>
          <rPr>
            <b/>
            <sz val="9"/>
            <color indexed="81"/>
            <rFont val="Tahoma"/>
            <family val="2"/>
          </rPr>
          <t>Eve Browning:</t>
        </r>
        <r>
          <rPr>
            <sz val="9"/>
            <color indexed="81"/>
            <rFont val="Tahoma"/>
            <family val="2"/>
          </rPr>
          <t xml:space="preserve">
Invoice UK-CI-200178
Land agency services - £6438.29</t>
        </r>
      </text>
    </comment>
    <comment ref="BD55" authorId="0" shapeId="0" xr:uid="{E38264A0-ED83-4581-8828-BB787E536146}">
      <text>
        <r>
          <rPr>
            <b/>
            <sz val="9"/>
            <color indexed="81"/>
            <rFont val="Tahoma"/>
            <family val="2"/>
          </rPr>
          <t>Eve Browning:</t>
        </r>
        <r>
          <rPr>
            <sz val="9"/>
            <color indexed="81"/>
            <rFont val="Tahoma"/>
            <family val="2"/>
          </rPr>
          <t xml:space="preserve">
Invoice UK-CI-208914
Land agency services - £4319.67</t>
        </r>
      </text>
    </comment>
    <comment ref="BE55" authorId="0" shapeId="0" xr:uid="{7F8483A6-BB0A-4FA6-BF70-DE073A49C19D}">
      <text>
        <r>
          <rPr>
            <b/>
            <sz val="9"/>
            <color indexed="81"/>
            <rFont val="Tahoma"/>
            <family val="2"/>
          </rPr>
          <t>Eve Browning:</t>
        </r>
        <r>
          <rPr>
            <sz val="9"/>
            <color indexed="81"/>
            <rFont val="Tahoma"/>
            <family val="2"/>
          </rPr>
          <t xml:space="preserve">
Invoice UK-CI-216222
Land agency services - £855.12</t>
        </r>
      </text>
    </comment>
    <comment ref="BF55" authorId="0" shapeId="0" xr:uid="{87E85747-FDC5-470E-A15D-F5E632497D4B}">
      <text>
        <r>
          <rPr>
            <b/>
            <sz val="9"/>
            <color indexed="81"/>
            <rFont val="Tahoma"/>
            <family val="2"/>
          </rPr>
          <t>Eve Browning:</t>
        </r>
        <r>
          <rPr>
            <sz val="9"/>
            <color indexed="81"/>
            <rFont val="Tahoma"/>
            <family val="2"/>
          </rPr>
          <t xml:space="preserve">
Invoice UK-CI-225564
Land agency £938.07
Utilities search report £3535
Utility search map £2510
Total £6983.07</t>
        </r>
      </text>
    </comment>
    <comment ref="BH55" authorId="0" shapeId="0" xr:uid="{146E6DAB-65C2-4A92-8DF3-9A6FDFC389B5}">
      <text>
        <r>
          <rPr>
            <b/>
            <sz val="9"/>
            <color indexed="81"/>
            <rFont val="Tahoma"/>
            <family val="2"/>
          </rPr>
          <t>Eve Browning:</t>
        </r>
        <r>
          <rPr>
            <sz val="9"/>
            <color indexed="81"/>
            <rFont val="Tahoma"/>
            <family val="2"/>
          </rPr>
          <t xml:space="preserve">
Invoice UK-CI-234510
Land referencing - £412.50</t>
        </r>
      </text>
    </comment>
    <comment ref="BJ55" authorId="0" shapeId="0" xr:uid="{CF3F19E9-ACC2-4C01-BA8A-A3F86A79028E}">
      <text>
        <r>
          <rPr>
            <b/>
            <sz val="9"/>
            <color indexed="81"/>
            <rFont val="Tahoma"/>
            <charset val="1"/>
          </rPr>
          <t>Eve Browning:</t>
        </r>
        <r>
          <rPr>
            <sz val="9"/>
            <color indexed="81"/>
            <rFont val="Tahoma"/>
            <charset val="1"/>
          </rPr>
          <t xml:space="preserve">
Thank you for contacting us regarding the service of your s134 Notices. We have reviewed the Section’s requirements and detail our quote below:
• HMLR Title Refresh and Registered Company Address checks
• Mail merge of s134 documents, including a letter and s134 Notice
• Quality assurance reviews of the statutory documents prior to posting
• Preparation of site notices
• Erection of site notices
• Maintenance of site notices for 6 weeks
• Removal of site notices
• Project management including meetings
Our quote assumes that the s134 Notice and associated letter templates will be provided to us. We would use the same notice locations as those at s56 (no more than 5km apart is good practice) and a site notice will be erected for all unregistered land.
The cost to prepare and issue the above documentation is £7300.00 excluding expenses.
Expenses will include:
• HM Land Registry costs
• External printing
• Postage costs (we would recommend sending recorded)
• Mileage
Expenses estimate £2700</t>
        </r>
      </text>
    </comment>
    <comment ref="AG56" authorId="0" shapeId="0" xr:uid="{48C6D0B5-BE7C-44EE-BC28-71590B2E3F32}">
      <text>
        <r>
          <rPr>
            <b/>
            <sz val="9"/>
            <color indexed="81"/>
            <rFont val="Tahoma"/>
            <family val="2"/>
          </rPr>
          <t>Eve Browning:</t>
        </r>
        <r>
          <rPr>
            <sz val="9"/>
            <color indexed="81"/>
            <rFont val="Tahoma"/>
            <family val="2"/>
          </rPr>
          <t xml:space="preserve">
Invoice INSU00215673</t>
        </r>
      </text>
    </comment>
    <comment ref="AH56" authorId="0" shapeId="0" xr:uid="{B440320A-141D-4DBB-9F3B-9AFB1EAFC275}">
      <text>
        <r>
          <rPr>
            <b/>
            <sz val="9"/>
            <color indexed="81"/>
            <rFont val="Tahoma"/>
            <family val="2"/>
          </rPr>
          <t>Eve Browning:</t>
        </r>
        <r>
          <rPr>
            <sz val="9"/>
            <color indexed="81"/>
            <rFont val="Tahoma"/>
            <family val="2"/>
          </rPr>
          <t xml:space="preserve">
Invoice INSU00224477</t>
        </r>
      </text>
    </comment>
    <comment ref="AI56" authorId="0" shapeId="0" xr:uid="{7F3735A6-1094-422E-9D54-BC8038792CD5}">
      <text>
        <r>
          <rPr>
            <b/>
            <sz val="9"/>
            <color indexed="81"/>
            <rFont val="Tahoma"/>
            <family val="2"/>
          </rPr>
          <t>Eve Browning:</t>
        </r>
        <r>
          <rPr>
            <sz val="9"/>
            <color indexed="81"/>
            <rFont val="Tahoma"/>
            <family val="2"/>
          </rPr>
          <t xml:space="preserve">
Invoice INSU00230106</t>
        </r>
      </text>
    </comment>
    <comment ref="AJ56" authorId="0" shapeId="0" xr:uid="{E6F91565-152D-444E-A80B-E7DCFD9A71BA}">
      <text>
        <r>
          <rPr>
            <b/>
            <sz val="9"/>
            <color indexed="81"/>
            <rFont val="Tahoma"/>
            <family val="2"/>
          </rPr>
          <t>Eve Browning:</t>
        </r>
        <r>
          <rPr>
            <sz val="9"/>
            <color indexed="81"/>
            <rFont val="Tahoma"/>
            <family val="2"/>
          </rPr>
          <t xml:space="preserve">
Invoice INSU00241036
Land agency work, project management</t>
        </r>
      </text>
    </comment>
    <comment ref="AK56" authorId="0" shapeId="0" xr:uid="{7FD20C1C-6E0C-4EF7-922F-655918C6CAC9}">
      <text>
        <r>
          <rPr>
            <b/>
            <sz val="9"/>
            <color indexed="81"/>
            <rFont val="Tahoma"/>
            <family val="2"/>
          </rPr>
          <t>Eve Browning:</t>
        </r>
        <r>
          <rPr>
            <sz val="9"/>
            <color indexed="81"/>
            <rFont val="Tahoma"/>
            <family val="2"/>
          </rPr>
          <t xml:space="preserve">
Invoice INSU00246663</t>
        </r>
      </text>
    </comment>
    <comment ref="AL56" authorId="0" shapeId="0" xr:uid="{448D5E07-1301-4FD4-AEE8-DCD2CD33C733}">
      <text>
        <r>
          <rPr>
            <b/>
            <sz val="9"/>
            <color indexed="81"/>
            <rFont val="Tahoma"/>
            <family val="2"/>
          </rPr>
          <t>Eve Browning:</t>
        </r>
        <r>
          <rPr>
            <sz val="9"/>
            <color indexed="81"/>
            <rFont val="Tahoma"/>
            <family val="2"/>
          </rPr>
          <t xml:space="preserve">
Invoice INSU00254910
Land agency and project management</t>
        </r>
      </text>
    </comment>
    <comment ref="AM56" authorId="0" shapeId="0" xr:uid="{B29DA768-A9C1-4940-9361-076DAAB7DE69}">
      <text>
        <r>
          <rPr>
            <b/>
            <sz val="9"/>
            <color indexed="81"/>
            <rFont val="Tahoma"/>
            <family val="2"/>
          </rPr>
          <t>Eve Browning:</t>
        </r>
        <r>
          <rPr>
            <sz val="9"/>
            <color indexed="81"/>
            <rFont val="Tahoma"/>
            <family val="2"/>
          </rPr>
          <t xml:space="preserve">
Invoice INSU00263963</t>
        </r>
      </text>
    </comment>
    <comment ref="AO56" authorId="0" shapeId="0" xr:uid="{F123276B-0485-4127-8E40-33020D4A8372}">
      <text>
        <r>
          <rPr>
            <b/>
            <sz val="9"/>
            <color indexed="81"/>
            <rFont val="Tahoma"/>
            <family val="2"/>
          </rPr>
          <t>Eve Browning:</t>
        </r>
        <r>
          <rPr>
            <sz val="9"/>
            <color indexed="81"/>
            <rFont val="Tahoma"/>
            <family val="2"/>
          </rPr>
          <t xml:space="preserve">
Invoice INSU00293464
Our Land Agency Services for work completed on the following;
Cottam Solar Project - £1966.25 plus 50% of project management
time £1026.25 = £2992.50</t>
        </r>
      </text>
    </comment>
    <comment ref="AQ56" authorId="0" shapeId="0" xr:uid="{3D4BA344-5DFF-4524-92AB-5676E7450F2B}">
      <text>
        <r>
          <rPr>
            <b/>
            <sz val="9"/>
            <color indexed="81"/>
            <rFont val="Tahoma"/>
            <family val="2"/>
          </rPr>
          <t>Eve Browning:</t>
        </r>
        <r>
          <rPr>
            <sz val="9"/>
            <color indexed="81"/>
            <rFont val="Tahoma"/>
            <family val="2"/>
          </rPr>
          <t xml:space="preserve">
Invoice INSU00300887 (Savills)
Land Agency services - £213.75
Invoice UAI-23-08803 (Bruton Knowles)
HoTs negotiations - £5939.40
</t>
        </r>
      </text>
    </comment>
    <comment ref="AR56" authorId="0" shapeId="0" xr:uid="{6B1D688F-6EB9-4A20-8E10-0479A51BDA78}">
      <text>
        <r>
          <rPr>
            <b/>
            <sz val="9"/>
            <color indexed="81"/>
            <rFont val="Tahoma"/>
            <family val="2"/>
          </rPr>
          <t>Eve Browning:</t>
        </r>
        <r>
          <rPr>
            <sz val="9"/>
            <color indexed="81"/>
            <rFont val="Tahoma"/>
            <family val="2"/>
          </rPr>
          <t xml:space="preserve">
</t>
        </r>
        <r>
          <rPr>
            <b/>
            <sz val="9"/>
            <color indexed="81"/>
            <rFont val="Tahoma"/>
            <family val="2"/>
          </rPr>
          <t>Invoice UAI-23-09051 (Bruton Knowles)</t>
        </r>
        <r>
          <rPr>
            <sz val="9"/>
            <color indexed="81"/>
            <rFont val="Tahoma"/>
            <family val="2"/>
          </rPr>
          <t xml:space="preserve">
HoTs negotiation - £5261.75
</t>
        </r>
        <r>
          <rPr>
            <b/>
            <sz val="9"/>
            <color indexed="81"/>
            <rFont val="Tahoma"/>
            <family val="2"/>
          </rPr>
          <t>Invoice INSU00309485 (Savills)</t>
        </r>
        <r>
          <rPr>
            <sz val="9"/>
            <color indexed="81"/>
            <rFont val="Tahoma"/>
            <family val="2"/>
          </rPr>
          <t xml:space="preserve">
(dated November 2022?)
Land agency- £6348.75</t>
        </r>
      </text>
    </comment>
    <comment ref="AS56" authorId="0" shapeId="0" xr:uid="{4DE53DC9-E023-482C-BC25-77DD280F5139}">
      <text>
        <r>
          <rPr>
            <b/>
            <sz val="9"/>
            <color indexed="81"/>
            <rFont val="Tahoma"/>
            <family val="2"/>
          </rPr>
          <t>Eve Browning:</t>
        </r>
        <r>
          <rPr>
            <sz val="9"/>
            <color indexed="81"/>
            <rFont val="Tahoma"/>
            <family val="2"/>
          </rPr>
          <t xml:space="preserve">
Invoice UAI-23-09334
HoTs negotiation, data processing and plan production - £8820</t>
        </r>
      </text>
    </comment>
    <comment ref="AT56" authorId="0" shapeId="0" xr:uid="{970C0918-C993-4872-851A-5AEF227C34CD}">
      <text>
        <r>
          <rPr>
            <b/>
            <sz val="9"/>
            <color indexed="81"/>
            <rFont val="Tahoma"/>
            <family val="2"/>
          </rPr>
          <t>Eve Browning:</t>
        </r>
        <r>
          <rPr>
            <sz val="9"/>
            <color indexed="81"/>
            <rFont val="Tahoma"/>
            <family val="2"/>
          </rPr>
          <t xml:space="preserve">
Invoice UAI-23-09870
HoTs negotiations - £4291.50</t>
        </r>
      </text>
    </comment>
    <comment ref="AU56" authorId="0" shapeId="0" xr:uid="{CE9CA642-80D8-47D0-B1AF-E79E8C2966DF}">
      <text>
        <r>
          <rPr>
            <b/>
            <sz val="9"/>
            <color indexed="81"/>
            <rFont val="Tahoma"/>
            <family val="2"/>
          </rPr>
          <t>Eve Browning:</t>
        </r>
        <r>
          <rPr>
            <sz val="9"/>
            <color indexed="81"/>
            <rFont val="Tahoma"/>
            <family val="2"/>
          </rPr>
          <t xml:space="preserve">
Invoice UAI-23-09872
HoTs negotiations - £5222.75</t>
        </r>
      </text>
    </comment>
    <comment ref="AV56" authorId="0" shapeId="0" xr:uid="{CE0D776C-541C-43D4-AF0C-E2A64BDC7A03}">
      <text>
        <r>
          <rPr>
            <b/>
            <sz val="9"/>
            <color indexed="81"/>
            <rFont val="Tahoma"/>
            <family val="2"/>
          </rPr>
          <t>Eve Browning:</t>
        </r>
        <r>
          <rPr>
            <sz val="9"/>
            <color indexed="81"/>
            <rFont val="Tahoma"/>
            <family val="2"/>
          </rPr>
          <t xml:space="preserve">
Invoice UAI-24-10184
HoTs negotiation - £6450.50</t>
        </r>
      </text>
    </comment>
    <comment ref="AW56" authorId="0" shapeId="0" xr:uid="{DD0684C3-F872-4781-9E33-D0B2FD45613D}">
      <text>
        <r>
          <rPr>
            <b/>
            <sz val="9"/>
            <color indexed="81"/>
            <rFont val="Tahoma"/>
            <family val="2"/>
          </rPr>
          <t>Eve Browning:</t>
        </r>
        <r>
          <rPr>
            <sz val="9"/>
            <color indexed="81"/>
            <rFont val="Tahoma"/>
            <family val="2"/>
          </rPr>
          <t xml:space="preserve">
Invoice UAI-24-10535
HoTs negotiation - £6266.44</t>
        </r>
      </text>
    </comment>
    <comment ref="AX56" authorId="0" shapeId="0" xr:uid="{A285B96C-7556-425F-8F05-4A5F4F78EEE0}">
      <text>
        <r>
          <rPr>
            <b/>
            <sz val="9"/>
            <color indexed="81"/>
            <rFont val="Tahoma"/>
            <family val="2"/>
          </rPr>
          <t>Eve Browning:</t>
        </r>
        <r>
          <rPr>
            <sz val="9"/>
            <color indexed="81"/>
            <rFont val="Tahoma"/>
            <family val="2"/>
          </rPr>
          <t xml:space="preserve">
Invoice UAI-24-10804
HoTs negotiations - £7719.02</t>
        </r>
      </text>
    </comment>
    <comment ref="AY56" authorId="0" shapeId="0" xr:uid="{F7B15973-D72C-43B3-9F8B-6DDE742D056E}">
      <text>
        <r>
          <rPr>
            <b/>
            <sz val="9"/>
            <color indexed="81"/>
            <rFont val="Tahoma"/>
            <family val="2"/>
          </rPr>
          <t>Eve Browning:</t>
        </r>
        <r>
          <rPr>
            <sz val="9"/>
            <color indexed="81"/>
            <rFont val="Tahoma"/>
            <family val="2"/>
          </rPr>
          <t xml:space="preserve">
Invoice UAI-24-10961
HoTs negotiations - £6374.75
Expenses: £2.27</t>
        </r>
      </text>
    </comment>
    <comment ref="AZ56" authorId="0" shapeId="0" xr:uid="{5C1099A4-B11F-4CA0-A552-0FF0D304CAE4}">
      <text>
        <r>
          <rPr>
            <b/>
            <sz val="9"/>
            <color indexed="81"/>
            <rFont val="Tahoma"/>
            <family val="2"/>
          </rPr>
          <t>Eve Browning:</t>
        </r>
        <r>
          <rPr>
            <sz val="9"/>
            <color indexed="81"/>
            <rFont val="Tahoma"/>
            <family val="2"/>
          </rPr>
          <t xml:space="preserve">
Invoice UAI-24-11212
Access licences and HoTs negotiations - £6101.25</t>
        </r>
      </text>
    </comment>
    <comment ref="BA56" authorId="0" shapeId="0" xr:uid="{D74A2187-C80E-41CA-B1B4-D11D71260FED}">
      <text>
        <r>
          <rPr>
            <b/>
            <sz val="9"/>
            <color indexed="81"/>
            <rFont val="Tahoma"/>
            <family val="2"/>
          </rPr>
          <t>Eve Browning:</t>
        </r>
        <r>
          <rPr>
            <sz val="9"/>
            <color indexed="81"/>
            <rFont val="Tahoma"/>
            <family val="2"/>
          </rPr>
          <t xml:space="preserve">
Invoice UAI-24-11580
Cable route negotiations - £8828.50</t>
        </r>
      </text>
    </comment>
    <comment ref="BB56" authorId="0" shapeId="0" xr:uid="{44BC23AD-AA69-4F04-9DE5-BE7252AB07B3}">
      <text>
        <r>
          <rPr>
            <b/>
            <sz val="9"/>
            <color indexed="81"/>
            <rFont val="Tahoma"/>
            <family val="2"/>
          </rPr>
          <t>Eve Browning:</t>
        </r>
        <r>
          <rPr>
            <sz val="9"/>
            <color indexed="81"/>
            <rFont val="Tahoma"/>
            <family val="2"/>
          </rPr>
          <t xml:space="preserve">
Bruton Knowles invoice UAI-24-11877
Cable route landowner negotiations - £4032.50
Expenses - £3
Total £4035.50</t>
        </r>
      </text>
    </comment>
    <comment ref="BC56" authorId="0" shapeId="0" xr:uid="{2B31D277-819A-43DE-89A9-F1F598F14515}">
      <text>
        <r>
          <rPr>
            <b/>
            <sz val="9"/>
            <color indexed="81"/>
            <rFont val="Tahoma"/>
            <family val="2"/>
          </rPr>
          <t>Eve Browning:</t>
        </r>
        <r>
          <rPr>
            <sz val="9"/>
            <color indexed="81"/>
            <rFont val="Tahoma"/>
            <family val="2"/>
          </rPr>
          <t xml:space="preserve">
Invoice  UAI-24-12436
HoTs negotiation and production of option and easement plans - £8758.25</t>
        </r>
      </text>
    </comment>
    <comment ref="BD56" authorId="0" shapeId="0" xr:uid="{2A30E671-6041-4D52-AABB-D339F7A8AF96}">
      <text>
        <r>
          <rPr>
            <b/>
            <sz val="9"/>
            <color indexed="81"/>
            <rFont val="Tahoma"/>
            <family val="2"/>
          </rPr>
          <t>Eve Browning:</t>
        </r>
        <r>
          <rPr>
            <sz val="9"/>
            <color indexed="81"/>
            <rFont val="Tahoma"/>
            <family val="2"/>
          </rPr>
          <t xml:space="preserve">
</t>
        </r>
        <r>
          <rPr>
            <b/>
            <sz val="9"/>
            <color indexed="81"/>
            <rFont val="Tahoma"/>
            <family val="2"/>
          </rPr>
          <t>Bruton Knowles Invoice UAI-24-12603</t>
        </r>
        <r>
          <rPr>
            <sz val="9"/>
            <color indexed="81"/>
            <rFont val="Tahoma"/>
            <family val="2"/>
          </rPr>
          <t xml:space="preserve">
Land agency services - £6780.50
Expenses - £3.00
</t>
        </r>
        <r>
          <rPr>
            <b/>
            <sz val="9"/>
            <color indexed="81"/>
            <rFont val="Tahoma"/>
            <family val="2"/>
          </rPr>
          <t xml:space="preserve">Savills refund from client account
</t>
        </r>
        <r>
          <rPr>
            <sz val="9"/>
            <color indexed="81"/>
            <rFont val="Tahoma"/>
            <family val="2"/>
          </rPr>
          <t>Returned leftover amount from client account for survey access fees - £1581.89</t>
        </r>
      </text>
    </comment>
    <comment ref="BE56" authorId="0" shapeId="0" xr:uid="{6902C272-8C1A-4CC0-9F34-BE7976319FED}">
      <text>
        <r>
          <rPr>
            <b/>
            <sz val="9"/>
            <color indexed="81"/>
            <rFont val="Tahoma"/>
            <family val="2"/>
          </rPr>
          <t>Eve Browning:</t>
        </r>
        <r>
          <rPr>
            <sz val="9"/>
            <color indexed="81"/>
            <rFont val="Tahoma"/>
            <family val="2"/>
          </rPr>
          <t xml:space="preserve">
Invoice UAE-24-13026
Land agency services - £4321.50</t>
        </r>
      </text>
    </comment>
    <comment ref="BF56" authorId="0" shapeId="0" xr:uid="{02E71452-ADEC-422A-AB4A-A25FAB4352E2}">
      <text>
        <r>
          <rPr>
            <b/>
            <sz val="9"/>
            <color indexed="81"/>
            <rFont val="Tahoma"/>
            <family val="2"/>
          </rPr>
          <t>Eve Browning:</t>
        </r>
        <r>
          <rPr>
            <sz val="9"/>
            <color indexed="81"/>
            <rFont val="Tahoma"/>
            <family val="2"/>
          </rPr>
          <t xml:space="preserve">
Invoice UAI-24-13302
Land agency services £3023.75
Expenses £6</t>
        </r>
      </text>
    </comment>
    <comment ref="BG56" authorId="0" shapeId="0" xr:uid="{29EED336-4ED9-4229-9DDB-FAC450E4C7FE}">
      <text>
        <r>
          <rPr>
            <b/>
            <sz val="9"/>
            <color indexed="81"/>
            <rFont val="Tahoma"/>
            <family val="2"/>
          </rPr>
          <t>Eve Browning:</t>
        </r>
        <r>
          <rPr>
            <sz val="9"/>
            <color indexed="81"/>
            <rFont val="Tahoma"/>
            <family val="2"/>
          </rPr>
          <t xml:space="preserve">
Invoice  UAI-24-13643
Easement negotiation, project meetings, land valuation advice £1993.75</t>
        </r>
      </text>
    </comment>
    <comment ref="BH56" authorId="0" shapeId="0" xr:uid="{31A62DA8-1F32-4F1E-A332-511647A4ED21}">
      <text>
        <r>
          <rPr>
            <b/>
            <sz val="9"/>
            <color indexed="81"/>
            <rFont val="Tahoma"/>
            <family val="2"/>
          </rPr>
          <t>Eve Browning:</t>
        </r>
        <r>
          <rPr>
            <sz val="9"/>
            <color indexed="81"/>
            <rFont val="Tahoma"/>
            <family val="2"/>
          </rPr>
          <t xml:space="preserve">
Invoice UAI-24-13884
Land agency £939.35
Expenses £23.85 
Total £963.20</t>
        </r>
      </text>
    </comment>
    <comment ref="C57" authorId="0" shapeId="0" xr:uid="{17A18882-EAB7-448A-8D58-3AEDA4FA23BC}">
      <text>
        <r>
          <rPr>
            <b/>
            <sz val="9"/>
            <color indexed="81"/>
            <rFont val="Tahoma"/>
            <family val="2"/>
          </rPr>
          <t>Eve Browning:</t>
        </r>
        <r>
          <rPr>
            <sz val="9"/>
            <color indexed="81"/>
            <rFont val="Tahoma"/>
            <family val="2"/>
          </rPr>
          <t xml:space="preserve">
How do we do POs for these?</t>
        </r>
      </text>
    </comment>
    <comment ref="AG57" authorId="0" shapeId="0" xr:uid="{219D1018-AE8F-46A4-86C5-D47299CEAD04}">
      <text>
        <r>
          <rPr>
            <b/>
            <sz val="9"/>
            <color indexed="81"/>
            <rFont val="Tahoma"/>
            <family val="2"/>
          </rPr>
          <t>Eve Browning:</t>
        </r>
        <r>
          <rPr>
            <sz val="9"/>
            <color indexed="81"/>
            <rFont val="Tahoma"/>
            <family val="2"/>
          </rPr>
          <t xml:space="preserve">
Paid to Savills client account after Request for Payment to agree survey access</t>
        </r>
      </text>
    </comment>
    <comment ref="AN57" authorId="0" shapeId="0" xr:uid="{81E6692B-6AD1-4906-9707-920F9F983173}">
      <text>
        <r>
          <rPr>
            <b/>
            <sz val="9"/>
            <color indexed="81"/>
            <rFont val="Tahoma"/>
            <family val="2"/>
          </rPr>
          <t>Eve Browning:</t>
        </r>
        <r>
          <rPr>
            <sz val="9"/>
            <color indexed="81"/>
            <rFont val="Tahoma"/>
            <family val="2"/>
          </rPr>
          <t xml:space="preserve">
Payment Request: 2022/002C
Landowner access payments (surveys and access licences)</t>
        </r>
      </text>
    </comment>
    <comment ref="AQ57" authorId="0" shapeId="0" xr:uid="{6BC1B650-244F-4C8F-8E0B-5B993CE9975F}">
      <text>
        <r>
          <rPr>
            <b/>
            <sz val="9"/>
            <color indexed="81"/>
            <rFont val="Tahoma"/>
            <family val="2"/>
          </rPr>
          <t>Eve Browning:</t>
        </r>
        <r>
          <rPr>
            <sz val="9"/>
            <color indexed="81"/>
            <rFont val="Tahoma"/>
            <family val="2"/>
          </rPr>
          <t xml:space="preserve">
</t>
        </r>
        <r>
          <rPr>
            <b/>
            <sz val="9"/>
            <color indexed="81"/>
            <rFont val="Tahoma"/>
            <family val="2"/>
          </rPr>
          <t>Perkins George Mawer and Co</t>
        </r>
        <r>
          <rPr>
            <sz val="9"/>
            <color indexed="81"/>
            <rFont val="Tahoma"/>
            <family val="2"/>
          </rPr>
          <t xml:space="preserve">
Invoice - EM/RW/C6.2
1.0 Angela Shirley Riddle option incentive fee - £250
Invoice - EM/RW/C.62
13.0 Matthew Thomas Winter, Michael Winter &amp; Neil Richard Winter &amp; Tim Winter option incentive fee - £250
Invoice - EM/RW/C.62
7.0/8.0 JMR Farms option incentive fee - £1000
</t>
        </r>
        <r>
          <rPr>
            <b/>
            <sz val="9"/>
            <color indexed="81"/>
            <rFont val="Tahoma"/>
            <family val="2"/>
          </rPr>
          <t>EPR - Adie Pepperdine</t>
        </r>
        <r>
          <rPr>
            <sz val="9"/>
            <color indexed="81"/>
            <rFont val="Tahoma"/>
            <family val="2"/>
          </rPr>
          <t xml:space="preserve">
37.0 - Williams - legal fees - £1200
</t>
        </r>
        <r>
          <rPr>
            <b/>
            <sz val="9"/>
            <color indexed="81"/>
            <rFont val="Tahoma"/>
            <family val="2"/>
          </rPr>
          <t>EPR - Sills and Betteridge</t>
        </r>
        <r>
          <rPr>
            <sz val="9"/>
            <color indexed="81"/>
            <rFont val="Tahoma"/>
            <family val="2"/>
          </rPr>
          <t xml:space="preserve">
Winter 13.0 - legal fees - £2200</t>
        </r>
      </text>
    </comment>
    <comment ref="AR57" authorId="0" shapeId="0" xr:uid="{730AD0C7-E951-4420-B716-95CE0664AB0A}">
      <text>
        <r>
          <rPr>
            <b/>
            <sz val="9"/>
            <color indexed="81"/>
            <rFont val="Tahoma"/>
            <family val="2"/>
          </rPr>
          <t>Eve Browning:</t>
        </r>
        <r>
          <rPr>
            <sz val="9"/>
            <color indexed="81"/>
            <rFont val="Tahoma"/>
            <family val="2"/>
          </rPr>
          <t xml:space="preserve">
</t>
        </r>
        <r>
          <rPr>
            <b/>
            <sz val="9"/>
            <color indexed="81"/>
            <rFont val="Tahoma"/>
            <family val="2"/>
          </rPr>
          <t>George Perkins Mawer invoice EM/AP/S.61</t>
        </r>
        <r>
          <rPr>
            <sz val="9"/>
            <color indexed="81"/>
            <rFont val="Tahoma"/>
            <family val="2"/>
          </rPr>
          <t xml:space="preserve">
18.0 Alan Searby option incentive fee - £250
</t>
        </r>
        <r>
          <rPr>
            <b/>
            <sz val="9"/>
            <color indexed="81"/>
            <rFont val="Tahoma"/>
            <family val="2"/>
          </rPr>
          <t xml:space="preserve">
EPR - Taylor Vinters</t>
        </r>
        <r>
          <rPr>
            <sz val="9"/>
            <color indexed="81"/>
            <rFont val="Tahoma"/>
            <family val="2"/>
          </rPr>
          <t xml:space="preserve">
20.0 Winterquay - £5000
</t>
        </r>
        <r>
          <rPr>
            <b/>
            <sz val="9"/>
            <color indexed="81"/>
            <rFont val="Tahoma"/>
            <family val="2"/>
          </rPr>
          <t xml:space="preserve">
EPR - Wilkin Chapman</t>
        </r>
        <r>
          <rPr>
            <sz val="9"/>
            <color indexed="81"/>
            <rFont val="Tahoma"/>
            <family val="2"/>
          </rPr>
          <t xml:space="preserve">
28.0 Taylor legal fees - £1200
</t>
        </r>
        <r>
          <rPr>
            <b/>
            <sz val="9"/>
            <color indexed="81"/>
            <rFont val="Tahoma"/>
            <family val="2"/>
          </rPr>
          <t>EPR - Burton and Dyson</t>
        </r>
        <r>
          <rPr>
            <sz val="9"/>
            <color indexed="81"/>
            <rFont val="Tahoma"/>
            <family val="2"/>
          </rPr>
          <t xml:space="preserve">
11.0 Blades agent fees - £1200
11.0 Blades legal fees - £1200
7.0 - JMR agent fees - £1200
7.0 - JMR legal fees - £1200
1.0 - Angela Riddle agent fees - £1200
1.0 - Angela Riddle legal fees - £1200
</t>
        </r>
        <r>
          <rPr>
            <b/>
            <sz val="9"/>
            <color indexed="81"/>
            <rFont val="Tahoma"/>
            <family val="2"/>
          </rPr>
          <t xml:space="preserve">
EPR - G and J Lonsdale (LH Farming Ltd)
</t>
        </r>
        <r>
          <rPr>
            <sz val="9"/>
            <color indexed="81"/>
            <rFont val="Tahoma"/>
            <family val="2"/>
          </rPr>
          <t>EPR then invoiced December 2023 - invoice no: 904
36.0 Lonsdale agent fees - £1200</t>
        </r>
      </text>
    </comment>
    <comment ref="AS57" authorId="0" shapeId="0" xr:uid="{84E55533-EFDF-49B9-863C-F9A6EA930593}">
      <text>
        <r>
          <rPr>
            <b/>
            <sz val="9"/>
            <color indexed="81"/>
            <rFont val="Tahoma"/>
            <family val="2"/>
          </rPr>
          <t>Eve Browning:</t>
        </r>
        <r>
          <rPr>
            <sz val="9"/>
            <color indexed="81"/>
            <rFont val="Tahoma"/>
            <family val="2"/>
          </rPr>
          <t xml:space="preserve">
</t>
        </r>
        <r>
          <rPr>
            <b/>
            <sz val="9"/>
            <color indexed="81"/>
            <rFont val="Tahoma"/>
            <family val="2"/>
          </rPr>
          <t>JAS Martin &amp; Co invoice RDS/sab/SD1</t>
        </r>
        <r>
          <rPr>
            <sz val="9"/>
            <color indexed="81"/>
            <rFont val="Tahoma"/>
            <family val="2"/>
          </rPr>
          <t xml:space="preserve">
HoTs incentive payments for:
- Southwell and Nottingham Board of Finance - £500
- Ann Marie Lobley - £500
- Mills and Reeve and Buxton - £500
- Mills and Reeve and Buxton - £500
</t>
        </r>
        <r>
          <rPr>
            <b/>
            <sz val="9"/>
            <color indexed="81"/>
            <rFont val="Tahoma"/>
            <family val="2"/>
          </rPr>
          <t>Perkins George Mawer&amp; Co invoice EM/SH/W.62</t>
        </r>
        <r>
          <rPr>
            <sz val="9"/>
            <color indexed="81"/>
            <rFont val="Tahoma"/>
            <family val="2"/>
          </rPr>
          <t xml:space="preserve">
HoTs incentive payment for:
- 26.0 Timothy Leslie Waudby - £1000
</t>
        </r>
      </text>
    </comment>
    <comment ref="AU57" authorId="0" shapeId="0" xr:uid="{65FBB00F-3B54-4C1B-AB09-96D92A64B0C5}">
      <text>
        <r>
          <rPr>
            <b/>
            <sz val="9"/>
            <color indexed="81"/>
            <rFont val="Tahoma"/>
            <family val="2"/>
          </rPr>
          <t>Eve Browning:</t>
        </r>
        <r>
          <rPr>
            <sz val="9"/>
            <color indexed="81"/>
            <rFont val="Tahoma"/>
            <family val="2"/>
          </rPr>
          <t xml:space="preserve">
</t>
        </r>
        <r>
          <rPr>
            <b/>
            <sz val="9"/>
            <color indexed="81"/>
            <rFont val="Tahoma"/>
            <family val="2"/>
          </rPr>
          <t>Invoice from Jas Martin &amp; Co.</t>
        </r>
        <r>
          <rPr>
            <sz val="9"/>
            <color indexed="81"/>
            <rFont val="Tahoma"/>
            <family val="2"/>
          </rPr>
          <t xml:space="preserve">
Southwell &amp; Nottingham Diocesan Board of Finance 
- Survey access payment £250 (no VAT)
- Agent fee £300 (plus VAT)
</t>
        </r>
        <r>
          <rPr>
            <b/>
            <sz val="9"/>
            <color indexed="81"/>
            <rFont val="Tahoma"/>
            <family val="2"/>
          </rPr>
          <t xml:space="preserve">
(EPR) Burgess Salmon LLP Client Account </t>
        </r>
        <r>
          <rPr>
            <sz val="9"/>
            <color indexed="81"/>
            <rFont val="Tahoma"/>
            <family val="2"/>
          </rPr>
          <t xml:space="preserve">
Ref: 36.1 - Lonsdale
Legal fees - £2000</t>
        </r>
      </text>
    </comment>
    <comment ref="AW57" authorId="0" shapeId="0" xr:uid="{81696F46-8482-4376-9D72-1CF7022B071A}">
      <text>
        <r>
          <rPr>
            <b/>
            <sz val="9"/>
            <color indexed="81"/>
            <rFont val="Tahoma"/>
            <family val="2"/>
          </rPr>
          <t>Eve Browning:</t>
        </r>
        <r>
          <rPr>
            <sz val="9"/>
            <color indexed="81"/>
            <rFont val="Tahoma"/>
            <family val="2"/>
          </rPr>
          <t xml:space="preserve">
</t>
        </r>
        <r>
          <rPr>
            <b/>
            <sz val="9"/>
            <color indexed="81"/>
            <rFont val="Tahoma"/>
            <family val="2"/>
          </rPr>
          <t xml:space="preserve">Hall Consultancy (Agribusiness) Ltd - Invoice SI-693
</t>
        </r>
        <r>
          <rPr>
            <sz val="9"/>
            <color indexed="81"/>
            <rFont val="Tahoma"/>
            <family val="2"/>
          </rPr>
          <t xml:space="preserve">Ref:CM &amp; AM Developments
HoTs signing incentive - £2000
Agents fees - 50% at HoTs - £1000
Farmers/landowners time - 50% at HoTs - £500
</t>
        </r>
        <r>
          <rPr>
            <b/>
            <sz val="9"/>
            <color indexed="81"/>
            <rFont val="Tahoma"/>
            <family val="2"/>
          </rPr>
          <t xml:space="preserve">Hall Consultancy (Agribusiness) Ltd - Invoice SI-691
</t>
        </r>
        <r>
          <rPr>
            <sz val="9"/>
            <color indexed="81"/>
            <rFont val="Tahoma"/>
            <family val="2"/>
          </rPr>
          <t xml:space="preserve">Ref: Jennifer Anne Taylor
HoTs signing incentive - £1000
Agents fees - 50% at HoTs - £1000
Farmers/landowners time - 50% at HoTs - £500
</t>
        </r>
        <r>
          <rPr>
            <b/>
            <sz val="9"/>
            <color indexed="81"/>
            <rFont val="Tahoma"/>
            <family val="2"/>
          </rPr>
          <t xml:space="preserve">Hall Consultancy (Agribusiness) Ltd - Invoice SI-692
</t>
        </r>
        <r>
          <rPr>
            <sz val="9"/>
            <color indexed="81"/>
            <rFont val="Tahoma"/>
            <family val="2"/>
          </rPr>
          <t>Ref: Charles Marshall</t>
        </r>
        <r>
          <rPr>
            <b/>
            <sz val="9"/>
            <color indexed="81"/>
            <rFont val="Tahoma"/>
            <family val="2"/>
          </rPr>
          <t xml:space="preserve">
</t>
        </r>
        <r>
          <rPr>
            <sz val="9"/>
            <color indexed="81"/>
            <rFont val="Tahoma"/>
            <family val="2"/>
          </rPr>
          <t>HoTs signing incentive - £1000
Agents fees - 50% at HoTs - £1000
Farmers/landowners time - 50% at HoTs - £500</t>
        </r>
      </text>
    </comment>
    <comment ref="AX57" authorId="0" shapeId="0" xr:uid="{01852C8C-559D-4E34-A982-6142F2074C3C}">
      <text>
        <r>
          <rPr>
            <b/>
            <sz val="9"/>
            <color indexed="81"/>
            <rFont val="Tahoma"/>
            <family val="2"/>
          </rPr>
          <t>Eve Browning:</t>
        </r>
        <r>
          <rPr>
            <sz val="9"/>
            <color indexed="81"/>
            <rFont val="Tahoma"/>
            <family val="2"/>
          </rPr>
          <t xml:space="preserve">
</t>
        </r>
        <r>
          <rPr>
            <b/>
            <sz val="9"/>
            <color indexed="81"/>
            <rFont val="Tahoma"/>
            <family val="2"/>
          </rPr>
          <t>Rebecca Andrews</t>
        </r>
        <r>
          <rPr>
            <sz val="9"/>
            <color indexed="81"/>
            <rFont val="Tahoma"/>
            <family val="2"/>
          </rPr>
          <t xml:space="preserve">
Incentive payment - £500
</t>
        </r>
        <r>
          <rPr>
            <b/>
            <sz val="9"/>
            <color indexed="81"/>
            <rFont val="Tahoma"/>
            <family val="2"/>
          </rPr>
          <t xml:space="preserve">
JAS Martin &amp; Co.- Invoice RDS/sab/SDTV SOL</t>
        </r>
        <r>
          <rPr>
            <sz val="9"/>
            <color indexed="81"/>
            <rFont val="Tahoma"/>
            <family val="2"/>
          </rPr>
          <t xml:space="preserve">
Ref: Southwell Diocese 
Agent fee - £1245
</t>
        </r>
        <r>
          <rPr>
            <b/>
            <sz val="9"/>
            <color indexed="81"/>
            <rFont val="Tahoma"/>
            <family val="2"/>
          </rPr>
          <t xml:space="preserve">Sills and Betteridge LLP (exceptional payment)
</t>
        </r>
        <r>
          <rPr>
            <sz val="9"/>
            <color indexed="81"/>
            <rFont val="Tahoma"/>
            <family val="2"/>
          </rPr>
          <t>Ref: 13.0 Winter
Landowner mortgage fee - £300</t>
        </r>
      </text>
    </comment>
    <comment ref="BA57" authorId="0" shapeId="0" xr:uid="{BA824CB2-88E2-4492-B4C4-5FAB9C08974E}">
      <text>
        <r>
          <rPr>
            <b/>
            <sz val="9"/>
            <color indexed="81"/>
            <rFont val="Tahoma"/>
            <family val="2"/>
          </rPr>
          <t>Eve Browning:</t>
        </r>
        <r>
          <rPr>
            <sz val="9"/>
            <color indexed="81"/>
            <rFont val="Tahoma"/>
            <family val="2"/>
          </rPr>
          <t xml:space="preserve">
</t>
        </r>
        <r>
          <rPr>
            <b/>
            <sz val="9"/>
            <color indexed="81"/>
            <rFont val="Tahoma"/>
            <family val="2"/>
          </rPr>
          <t>G and J Lonsdale (LH Farming Ltd)</t>
        </r>
        <r>
          <rPr>
            <sz val="9"/>
            <color indexed="81"/>
            <rFont val="Tahoma"/>
            <family val="2"/>
          </rPr>
          <t xml:space="preserve">
- Invoice no: 974
36.0 Lonsdale agent fees - £1000</t>
        </r>
      </text>
    </comment>
    <comment ref="BB57" authorId="0" shapeId="0" xr:uid="{88E35493-1506-4064-8596-DFD7DA729EC2}">
      <text>
        <r>
          <rPr>
            <b/>
            <sz val="9"/>
            <color indexed="81"/>
            <rFont val="Tahoma"/>
            <family val="2"/>
          </rPr>
          <t>Eve Browning:</t>
        </r>
        <r>
          <rPr>
            <sz val="9"/>
            <color indexed="81"/>
            <rFont val="Tahoma"/>
            <family val="2"/>
          </rPr>
          <t xml:space="preserve">
Fisher German Invoice 2125110
Ref: 36.0 Cottam Farming
Agent fees £1418.85
Mileage £56.25
Total £1475.10</t>
        </r>
      </text>
    </comment>
    <comment ref="C58" authorId="0" shapeId="0" xr:uid="{29382609-A604-4329-8994-46439E11C184}">
      <text>
        <r>
          <rPr>
            <b/>
            <sz val="9"/>
            <color indexed="81"/>
            <rFont val="Tahoma"/>
            <family val="2"/>
          </rPr>
          <t>Eve Browning:</t>
        </r>
        <r>
          <rPr>
            <sz val="9"/>
            <color indexed="81"/>
            <rFont val="Tahoma"/>
            <family val="2"/>
          </rPr>
          <t xml:space="preserve">
Would need to agree an individual PO each time
</t>
        </r>
      </text>
    </comment>
    <comment ref="AH58" authorId="0" shapeId="0" xr:uid="{CC70354C-44DB-4489-9AEA-C28E85952B61}">
      <text>
        <r>
          <rPr>
            <b/>
            <sz val="9"/>
            <color indexed="81"/>
            <rFont val="Tahoma"/>
            <family val="2"/>
          </rPr>
          <t>Eve Browning:</t>
        </r>
        <r>
          <rPr>
            <sz val="9"/>
            <color indexed="81"/>
            <rFont val="Tahoma"/>
            <family val="2"/>
          </rPr>
          <t xml:space="preserve">
Pinsent Masons HoTs and option review, creation and advice
Invoice 6673252</t>
        </r>
      </text>
    </comment>
    <comment ref="AI58" authorId="0" shapeId="0" xr:uid="{AF28FA0D-28C4-425B-A20A-AF3114E2CFC5}">
      <text>
        <r>
          <rPr>
            <b/>
            <sz val="9"/>
            <color indexed="81"/>
            <rFont val="Tahoma"/>
            <family val="2"/>
          </rPr>
          <t>Eve Browning:</t>
        </r>
        <r>
          <rPr>
            <sz val="9"/>
            <color indexed="81"/>
            <rFont val="Tahoma"/>
            <family val="2"/>
          </rPr>
          <t xml:space="preserve">
Invoice 6683352
Bank consent work</t>
        </r>
      </text>
    </comment>
    <comment ref="AL58" authorId="0" shapeId="0" xr:uid="{B44F2DA4-324E-4217-9074-A493C73E4309}">
      <text>
        <r>
          <rPr>
            <b/>
            <sz val="9"/>
            <color indexed="81"/>
            <rFont val="Tahoma"/>
            <family val="2"/>
          </rPr>
          <t>Eve Browning:</t>
        </r>
        <r>
          <rPr>
            <sz val="9"/>
            <color indexed="81"/>
            <rFont val="Tahoma"/>
            <family val="2"/>
          </rPr>
          <t xml:space="preserve">
Invoice 6699951</t>
        </r>
      </text>
    </comment>
    <comment ref="AU58" authorId="0" shapeId="0" xr:uid="{DB6B197D-9BCE-4DF4-AF66-378A5890F614}">
      <text>
        <r>
          <rPr>
            <b/>
            <sz val="9"/>
            <color indexed="81"/>
            <rFont val="Tahoma"/>
            <family val="2"/>
          </rPr>
          <t>Eve Browning:</t>
        </r>
        <r>
          <rPr>
            <sz val="9"/>
            <color indexed="81"/>
            <rFont val="Tahoma"/>
            <family val="2"/>
          </rPr>
          <t xml:space="preserve">
Invoice 3145398 - Walker Morris
Counsel’s fees incurred for provision of an opinion letter on the Cottam/West Burton cable route - £3300</t>
        </r>
      </text>
    </comment>
    <comment ref="AV58" authorId="0" shapeId="0" xr:uid="{0EF7DE87-6FA9-4823-BA81-A90A98135897}">
      <text>
        <r>
          <rPr>
            <b/>
            <sz val="9"/>
            <color indexed="81"/>
            <rFont val="Tahoma"/>
            <family val="2"/>
          </rPr>
          <t>Eve Browning:</t>
        </r>
        <r>
          <rPr>
            <sz val="9"/>
            <color indexed="81"/>
            <rFont val="Tahoma"/>
            <family val="2"/>
          </rPr>
          <t xml:space="preserve">
Invoice 3147028 - Walker Morris
Professional fees in connection with cable reporting for Cottam Solar Project - £20900</t>
        </r>
      </text>
    </comment>
    <comment ref="BC58" authorId="0" shapeId="0" xr:uid="{B0F108C1-A6AF-4A2E-8226-E8BCDFFB3092}">
      <text>
        <r>
          <rPr>
            <b/>
            <sz val="9"/>
            <color indexed="81"/>
            <rFont val="Tahoma"/>
            <family val="2"/>
          </rPr>
          <t>Eve Browning:</t>
        </r>
        <r>
          <rPr>
            <sz val="9"/>
            <color indexed="81"/>
            <rFont val="Tahoma"/>
            <family val="2"/>
          </rPr>
          <t xml:space="preserve">
Walker Morris invoice 313262
- Cable reporting - £2500
- Disbursements
    - Index map search - £52
    - Office copy entries - £132
</t>
        </r>
      </text>
    </comment>
    <comment ref="BD58" authorId="0" shapeId="0" xr:uid="{22BBDF10-0B26-4CC3-8135-9922AC17696A}">
      <text>
        <r>
          <rPr>
            <b/>
            <sz val="9"/>
            <color indexed="81"/>
            <rFont val="Tahoma"/>
            <family val="2"/>
          </rPr>
          <t>Eve Browning:</t>
        </r>
        <r>
          <rPr>
            <sz val="9"/>
            <color indexed="81"/>
            <rFont val="Tahoma"/>
            <family val="2"/>
          </rPr>
          <t xml:space="preserve">
Pinsent Masons quote for Network Rail property agreements</t>
        </r>
      </text>
    </comment>
    <comment ref="BB59" authorId="1" shapeId="0" xr:uid="{26312E36-D479-4A8C-BA89-15457EC8EB3F}">
      <text>
        <r>
          <rPr>
            <b/>
            <sz val="9"/>
            <color indexed="81"/>
            <rFont val="Tahoma"/>
            <family val="2"/>
          </rPr>
          <t>David Elvin:</t>
        </r>
        <r>
          <rPr>
            <sz val="9"/>
            <color indexed="81"/>
            <rFont val="Tahoma"/>
            <family val="2"/>
          </rPr>
          <t xml:space="preserve">
£6153 added manually as this was the balancing contingency payment for month 1 when reviewing cashflow on 17/05/21</t>
        </r>
      </text>
    </comment>
    <comment ref="AF61" authorId="0" shapeId="0" xr:uid="{B7DAB126-FFA5-4B5E-9A4A-4194F35C792F}">
      <text>
        <r>
          <rPr>
            <b/>
            <sz val="9"/>
            <color indexed="81"/>
            <rFont val="Tahoma"/>
            <family val="2"/>
          </rPr>
          <t>Eve Browning:</t>
        </r>
        <r>
          <rPr>
            <sz val="9"/>
            <color indexed="81"/>
            <rFont val="Tahoma"/>
            <family val="2"/>
          </rPr>
          <t xml:space="preserve">
Euros - need to adjust for exchange rate? 
Noel Ryan and Associates - annual accounts</t>
        </r>
      </text>
    </comment>
    <comment ref="AQ61" authorId="0" shapeId="0" xr:uid="{CBC31C9E-8FCE-46FB-BDDF-A004CD21DEE2}">
      <text>
        <r>
          <rPr>
            <b/>
            <sz val="9"/>
            <color indexed="81"/>
            <rFont val="Tahoma"/>
            <family val="2"/>
          </rPr>
          <t>Eve Browning:</t>
        </r>
        <r>
          <rPr>
            <sz val="9"/>
            <color indexed="81"/>
            <rFont val="Tahoma"/>
            <family val="2"/>
          </rPr>
          <t xml:space="preserve">
Invoice 2063442 - Blick Rothenburg
Annual charge for the year to 31 December 2023 in respect of company registrar services, including maintenance of the companys statutory books, preparation and filing with the Registrar of Companies of the Confirmation Statement and notifications of any changes in respect of the companys officers and registered office, in accordance with the information and particulars supplied to us. £500
Annual confirmation statement filing fee. £13
Total £513</t>
        </r>
      </text>
    </comment>
    <comment ref="AS61" authorId="0" shapeId="0" xr:uid="{0706DA33-8D3C-453C-B427-64AC5D033A6B}">
      <text>
        <r>
          <rPr>
            <b/>
            <sz val="9"/>
            <color indexed="81"/>
            <rFont val="Tahoma"/>
            <family val="2"/>
          </rPr>
          <t>Eve Browning:</t>
        </r>
        <r>
          <rPr>
            <sz val="9"/>
            <color indexed="81"/>
            <rFont val="Tahoma"/>
            <family val="2"/>
          </rPr>
          <t xml:space="preserve">
Blick Rothenberg invoice 2063875
Bonsdale Solar Farm Ltd
Annual charge for the year to 31 December 2023 in respect of company registrar services,  including maintenance of the companys statutory books, preparation and filing with the Registrar of Companies of the Confirmation Statement and notifications of any changes in respect of the  companys officers and registered office, in accordance with the information and particulars  supplied to us. £500
Annual confirmation statement filing fee.    £13</t>
        </r>
      </text>
    </comment>
    <comment ref="BB61" authorId="0" shapeId="0" xr:uid="{DDB09F7C-F9E2-4769-B300-07C334B319A2}">
      <text>
        <r>
          <rPr>
            <b/>
            <sz val="9"/>
            <color indexed="81"/>
            <rFont val="Tahoma"/>
            <family val="2"/>
          </rPr>
          <t>Eve Browning:</t>
        </r>
        <r>
          <rPr>
            <sz val="9"/>
            <color indexed="81"/>
            <rFont val="Tahoma"/>
            <family val="2"/>
          </rPr>
          <t xml:space="preserve">
Shakespeare Martineau invoice 100161053
Professional Charges for 
preparing and filing a UK Trade Mark 
Application for the COTTAM SOLAR 
PROJECT device - £900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Lesley Giles</author>
    <author>tc={A75EFF12-18CA-441A-B190-1C0B9015B46B}</author>
    <author>tc={E2BFBE4D-8068-4E95-B424-118497607E21}</author>
    <author>tc={EA8BCF4F-C8BC-4F1D-8FBC-7F2E8D73C9D7}</author>
  </authors>
  <commentList>
    <comment ref="AH4" authorId="0" shapeId="0" xr:uid="{E9BC6F12-B631-4118-B232-80A2182C24D4}">
      <text>
        <r>
          <rPr>
            <b/>
            <sz val="9"/>
            <color indexed="81"/>
            <rFont val="Tahoma"/>
            <family val="2"/>
          </rPr>
          <t>Lesley Giles:</t>
        </r>
        <r>
          <rPr>
            <sz val="9"/>
            <color indexed="81"/>
            <rFont val="Tahoma"/>
            <family val="2"/>
          </rPr>
          <t xml:space="preserve">
Blick Rothenberg
</t>
        </r>
      </text>
    </comment>
    <comment ref="AF6" authorId="0" shapeId="0" xr:uid="{A1CF828A-CF9D-49D1-808A-512B581C4E9A}">
      <text>
        <r>
          <rPr>
            <b/>
            <sz val="9"/>
            <color indexed="81"/>
            <rFont val="Tahoma"/>
            <family val="2"/>
          </rPr>
          <t>Lesley Giles:</t>
        </r>
        <r>
          <rPr>
            <sz val="9"/>
            <color indexed="81"/>
            <rFont val="Tahoma"/>
            <family val="2"/>
          </rPr>
          <t xml:space="preserve">
Grid feasability surveys (not part of grid offer costs)
</t>
        </r>
      </text>
    </comment>
    <comment ref="AJ11" authorId="1" shapeId="0" xr:uid="{A75EFF12-18CA-441A-B190-1C0B9015B46B}">
      <text>
        <t>[Threaded comment]
Your version of Excel allows you to read this threaded comment; however, any edits to it will get removed if the file is opened in a newer version of Excel. Learn more: https://go.microsoft.com/fwlink/?linkid=870924
Comment:
    Daniel Baird hearing fee</t>
      </text>
    </comment>
    <comment ref="X20" authorId="0" shapeId="0" xr:uid="{12C5F0E6-939D-42D3-AE84-8B2E15A1420F}">
      <text>
        <r>
          <rPr>
            <b/>
            <sz val="9"/>
            <color indexed="81"/>
            <rFont val="Tahoma"/>
            <family val="2"/>
          </rPr>
          <t xml:space="preserve">Lesley Giles
EIA re-screening
</t>
        </r>
      </text>
    </comment>
    <comment ref="AD20" authorId="2" shapeId="0" xr:uid="{E2BFBE4D-8068-4E95-B424-118497607E21}">
      <text>
        <t>[Threaded comment]
Your version of Excel allows you to read this threaded comment; however, any edits to it will get removed if the file is opened in a newer version of Excel. Learn more: https://go.microsoft.com/fwlink/?linkid=870924
Comment:
    Costs were given for an Inquiry, we will pursue a Hearing, should be cheaper</t>
      </text>
    </comment>
    <comment ref="I26" authorId="0" shapeId="0" xr:uid="{91A66020-E003-4863-81B4-71E7F9F45FAC}">
      <text>
        <r>
          <rPr>
            <b/>
            <sz val="9"/>
            <color indexed="81"/>
            <rFont val="Tahoma"/>
            <family val="2"/>
          </rPr>
          <t>Lesley Giles:</t>
        </r>
        <r>
          <rPr>
            <sz val="9"/>
            <color indexed="81"/>
            <rFont val="Tahoma"/>
            <family val="2"/>
          </rPr>
          <t xml:space="preserve">
£45,780 added to balance total spend on ledger 12/01/2022</t>
        </r>
      </text>
    </comment>
    <comment ref="AL27" authorId="3" shapeId="0" xr:uid="{EA8BCF4F-C8BC-4F1D-8FBC-7F2E8D73C9D7}">
      <text>
        <t>[Threaded comment]
Your version of Excel allows you to read this threaded comment; however, any edits to it will get removed if the file is opened in a newer version of Excel. Learn more: https://go.microsoft.com/fwlink/?linkid=870924
Comment:
    £27,500 added for Gareth to advocate at Hearings</t>
      </text>
    </comment>
    <comment ref="AN27" authorId="0" shapeId="0" xr:uid="{0FCE3408-EA68-4A63-AD8E-DF88A0E4D5FC}">
      <text>
        <r>
          <rPr>
            <sz val="11"/>
            <color theme="1"/>
            <rFont val="Calibri"/>
            <family val="2"/>
            <scheme val="minor"/>
          </rPr>
          <t>Lesley Giles:
Statutory challenge</t>
        </r>
      </text>
    </comment>
    <comment ref="AO27" authorId="0" shapeId="0" xr:uid="{89A28518-1987-4BF5-8B54-A435EC4FA3D3}">
      <text>
        <r>
          <rPr>
            <sz val="11"/>
            <color theme="1"/>
            <rFont val="Calibri"/>
            <family val="2"/>
            <scheme val="minor"/>
          </rPr>
          <t xml:space="preserve">Lesley Giles:
PM Statutory challenge
</t>
        </r>
      </text>
    </comment>
    <comment ref="AQ27" authorId="0" shapeId="0" xr:uid="{6BF4F692-F088-4879-A00A-32D8B47F5D22}">
      <text>
        <r>
          <rPr>
            <sz val="11"/>
            <color theme="1"/>
            <rFont val="Calibri"/>
            <family val="2"/>
            <scheme val="minor"/>
          </rPr>
          <t>Lesley Giles:
Pinsent Masons 6784039</t>
        </r>
      </text>
    </comment>
    <comment ref="AR27" authorId="0" shapeId="0" xr:uid="{B3AF344B-7091-49FA-AB28-7C1785BAFB5D}">
      <text>
        <r>
          <rPr>
            <b/>
            <sz val="9"/>
            <color indexed="81"/>
            <rFont val="Tahoma"/>
            <family val="2"/>
          </rPr>
          <t>Lesley Giles:</t>
        </r>
        <r>
          <rPr>
            <sz val="9"/>
            <color indexed="81"/>
            <rFont val="Tahoma"/>
            <family val="2"/>
          </rPr>
          <t xml:space="preserve">
6792373
6799196</t>
        </r>
      </text>
    </comment>
    <comment ref="E32" authorId="0" shapeId="0" xr:uid="{37F14AB6-CBBB-4A7A-8619-3953C6CD2583}">
      <text>
        <r>
          <rPr>
            <b/>
            <sz val="9"/>
            <color indexed="81"/>
            <rFont val="Tahoma"/>
            <family val="2"/>
          </rPr>
          <t>Lesley Giles:</t>
        </r>
        <r>
          <rPr>
            <sz val="9"/>
            <color indexed="81"/>
            <rFont val="Tahoma"/>
            <family val="2"/>
          </rPr>
          <t xml:space="preserve">
Not Including £800,000 grid payment in Q3 2022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Lesley Giles</author>
    <author>tc={D13C664B-54BB-49F1-A3C7-2C56945B1344}</author>
  </authors>
  <commentList>
    <comment ref="AM5" authorId="0" shapeId="0" xr:uid="{ADCD51AB-05AA-49F7-97E8-187AE8239464}">
      <text>
        <r>
          <rPr>
            <sz val="11"/>
            <color theme="1"/>
            <rFont val="Calibri"/>
            <family val="2"/>
            <scheme val="minor"/>
          </rPr>
          <t>Lesley Giles:
Success Connections</t>
        </r>
      </text>
    </comment>
    <comment ref="AP5" authorId="0" shapeId="0" xr:uid="{42A94565-5F5C-45A4-BEF1-E9EDEE71149C}">
      <text>
        <r>
          <rPr>
            <sz val="11"/>
            <color theme="1"/>
            <rFont val="Calibri"/>
            <family val="2"/>
            <scheme val="minor"/>
          </rPr>
          <t xml:space="preserve">Lesley Giles:
GEW2 Design costs
</t>
        </r>
      </text>
    </comment>
    <comment ref="I7" authorId="0" shapeId="0" xr:uid="{75F4549B-9530-46C0-B853-0302B375D33F}">
      <text>
        <r>
          <rPr>
            <b/>
            <sz val="9"/>
            <color indexed="81"/>
            <rFont val="Tahoma"/>
            <family val="2"/>
          </rPr>
          <t>Lesley Giles:</t>
        </r>
        <r>
          <rPr>
            <sz val="9"/>
            <color indexed="81"/>
            <rFont val="Tahoma"/>
            <family val="2"/>
          </rPr>
          <t xml:space="preserve">
Retainer paid to Walker Morris for Landlords Legal and Agent fees in Oct 2019</t>
        </r>
      </text>
    </comment>
    <comment ref="J7" authorId="0" shapeId="0" xr:uid="{298CA398-B1DC-4A44-9827-A69D3224C6D5}">
      <text>
        <r>
          <rPr>
            <b/>
            <sz val="9"/>
            <color indexed="81"/>
            <rFont val="Tahoma"/>
            <family val="2"/>
          </rPr>
          <t>Lesley Giles:</t>
        </r>
        <r>
          <rPr>
            <sz val="9"/>
            <color indexed="81"/>
            <rFont val="Tahoma"/>
            <family val="2"/>
          </rPr>
          <t xml:space="preserve">
DDM Agriculture Land Agent fees Feb 2020
Townend Clegg &amp; co £10,000 Feb 2020
</t>
        </r>
      </text>
    </comment>
    <comment ref="AF7" authorId="0" shapeId="0" xr:uid="{0D821592-0E3A-415D-AB7C-87118AE2F3C3}">
      <text>
        <r>
          <rPr>
            <b/>
            <sz val="9"/>
            <color indexed="81"/>
            <rFont val="Tahoma"/>
            <family val="2"/>
          </rPr>
          <t>Lesley Giles:</t>
        </r>
        <r>
          <rPr>
            <sz val="9"/>
            <color indexed="81"/>
            <rFont val="Tahoma"/>
            <family val="2"/>
          </rPr>
          <t xml:space="preserve">
Retainer for Knights
</t>
        </r>
      </text>
    </comment>
    <comment ref="AG7" authorId="0" shapeId="0" xr:uid="{9476B050-67C7-442B-998E-A5B8E35A13AF}">
      <text>
        <r>
          <rPr>
            <b/>
            <sz val="9"/>
            <color indexed="81"/>
            <rFont val="Tahoma"/>
            <family val="2"/>
          </rPr>
          <t>Lesley Giles:</t>
        </r>
        <r>
          <rPr>
            <sz val="9"/>
            <color indexed="81"/>
            <rFont val="Tahoma"/>
            <family val="2"/>
          </rPr>
          <t xml:space="preserve">
Walker Morris invoice for their work </t>
        </r>
      </text>
    </comment>
    <comment ref="AJ7" authorId="1" shapeId="0" xr:uid="{D13C664B-54BB-49F1-A3C7-2C56945B1344}">
      <text>
        <t>[Threaded comment]
Your version of Excel allows you to read this threaded comment; however, any edits to it will get removed if the file is opened in a newer version of Excel. Learn more: https://go.microsoft.com/fwlink/?linkid=870924
Comment:
    Budd Legal</t>
      </text>
    </comment>
    <comment ref="AK7" authorId="0" shapeId="0" xr:uid="{7AB07219-E782-4465-A6A7-13D669360667}">
      <text>
        <r>
          <rPr>
            <sz val="11"/>
            <color theme="1"/>
            <rFont val="Calibri"/>
            <family val="2"/>
            <scheme val="minor"/>
          </rPr>
          <t xml:space="preserve">Lesley Giles:
Philips tenancy agreement legal costs
</t>
        </r>
      </text>
    </comment>
    <comment ref="AL7" authorId="0" shapeId="0" xr:uid="{06BF4C00-1037-4A3E-81F1-4AB6BADB1CB0}">
      <text>
        <r>
          <rPr>
            <sz val="11"/>
            <color theme="1"/>
            <rFont val="Calibri"/>
            <family val="2"/>
            <scheme val="minor"/>
          </rPr>
          <t>Lesley Giles:
walker morris costs</t>
        </r>
      </text>
    </comment>
    <comment ref="AN7" authorId="0" shapeId="0" xr:uid="{BBD57CA7-22A8-4F38-93A7-4328D118DE88}">
      <text>
        <r>
          <rPr>
            <sz val="11"/>
            <color theme="1"/>
            <rFont val="Calibri"/>
            <family val="2"/>
            <scheme val="minor"/>
          </rPr>
          <t xml:space="preserve">Lesley Giles:
Knights </t>
        </r>
      </text>
    </comment>
    <comment ref="AO7" authorId="0" shapeId="0" xr:uid="{D804481B-C67C-4D45-A34A-1F6C1434ECE4}">
      <text>
        <r>
          <rPr>
            <sz val="11"/>
            <color theme="1"/>
            <rFont val="Calibri"/>
            <family val="2"/>
            <scheme val="minor"/>
          </rPr>
          <t xml:space="preserve">Lesley Giles:
£2500 Knights - Aire and Ouse DoV to Lease
£3000 Neil Budd - neighbours agreement for the sublease paddock 
</t>
        </r>
      </text>
    </comment>
    <comment ref="AP7" authorId="0" shapeId="0" xr:uid="{85BEF343-5622-4810-A258-54B85BDCB884}">
      <text>
        <r>
          <rPr>
            <sz val="11"/>
            <color theme="1"/>
            <rFont val="Calibri"/>
            <family val="2"/>
            <scheme val="minor"/>
          </rPr>
          <t xml:space="preserve">Lesley Giles:
DDM grass seed on Guy Poskitt's land
</t>
        </r>
      </text>
    </comment>
    <comment ref="AR7" authorId="0" shapeId="0" xr:uid="{5938225D-E8BF-4898-AFFC-7624A80BF8C0}">
      <text>
        <r>
          <rPr>
            <sz val="11"/>
            <color theme="1"/>
            <rFont val="Calibri"/>
            <family val="2"/>
            <scheme val="minor"/>
          </rPr>
          <t xml:space="preserve">Lesley Giles:
1. Aire and Ouse grass seed
2. Walker Morris No.3158312
3. </t>
        </r>
      </text>
    </comment>
    <comment ref="AH8" authorId="0" shapeId="0" xr:uid="{7DA6A0A9-3645-4B4E-91A1-7EBCD6C70746}">
      <text>
        <r>
          <rPr>
            <b/>
            <sz val="9"/>
            <color indexed="81"/>
            <rFont val="Tahoma"/>
            <family val="2"/>
          </rPr>
          <t>Lesley Giles:</t>
        </r>
        <r>
          <rPr>
            <sz val="9"/>
            <color indexed="81"/>
            <rFont val="Tahoma"/>
            <family val="2"/>
          </rPr>
          <t xml:space="preserve">
Blick Rothenberg</t>
        </r>
      </text>
    </comment>
    <comment ref="AD11" authorId="0" shapeId="0" xr:uid="{750BF9E2-DD47-48E3-9617-FAFCB30855D7}">
      <text>
        <r>
          <rPr>
            <b/>
            <sz val="9"/>
            <color indexed="81"/>
            <rFont val="Tahoma"/>
            <family val="2"/>
          </rPr>
          <t>Lesley Giles:</t>
        </r>
        <r>
          <rPr>
            <sz val="9"/>
            <color indexed="81"/>
            <rFont val="Tahoma"/>
            <family val="2"/>
          </rPr>
          <t xml:space="preserve">
Utility search</t>
        </r>
      </text>
    </comment>
    <comment ref="AG11" authorId="0" shapeId="0" xr:uid="{5B93C65F-A77E-4949-BDD2-32C0C834D111}">
      <text>
        <r>
          <rPr>
            <b/>
            <sz val="9"/>
            <color indexed="81"/>
            <rFont val="Tahoma"/>
            <family val="2"/>
          </rPr>
          <t>Lesley Giles:</t>
        </r>
        <r>
          <rPr>
            <sz val="9"/>
            <color indexed="81"/>
            <rFont val="Tahoma"/>
            <family val="2"/>
          </rPr>
          <t xml:space="preserve">
centre maps
</t>
        </r>
      </text>
    </comment>
    <comment ref="AQ13" authorId="0" shapeId="0" xr:uid="{195EF1FD-0F68-4FFD-AFC0-4AF3E072740C}">
      <text>
        <r>
          <rPr>
            <sz val="11"/>
            <color theme="1"/>
            <rFont val="Calibri"/>
            <family val="2"/>
            <scheme val="minor"/>
          </rPr>
          <t>Lesley Giles:
ALS surveyor marking out the field boundary.</t>
        </r>
      </text>
    </comment>
    <comment ref="AG28" authorId="0" shapeId="0" xr:uid="{AEC30B21-4801-4015-BC55-C23CD69C9F36}">
      <text>
        <r>
          <rPr>
            <b/>
            <sz val="9"/>
            <color indexed="81"/>
            <rFont val="Tahoma"/>
            <family val="2"/>
          </rPr>
          <t>Lesley Giles:</t>
        </r>
        <r>
          <rPr>
            <sz val="9"/>
            <color indexed="81"/>
            <rFont val="Tahoma"/>
            <family val="2"/>
          </rPr>
          <t xml:space="preserve">
GPR Survey by RSK</t>
        </r>
      </text>
    </comment>
    <comment ref="AN28" authorId="0" shapeId="0" xr:uid="{5BBDCE88-04E3-433A-A70D-CBBF7AA28033}">
      <text>
        <r>
          <rPr>
            <sz val="11"/>
            <color theme="1"/>
            <rFont val="Calibri"/>
            <family val="2"/>
            <scheme val="minor"/>
          </rPr>
          <t xml:space="preserve">Lesley Giles:
JSM s14018775
</t>
        </r>
      </text>
    </comment>
    <comment ref="AQ28" authorId="0" shapeId="0" xr:uid="{3DBBE626-431E-4679-B10C-0B73647C3754}">
      <text>
        <r>
          <rPr>
            <sz val="11"/>
            <color theme="1"/>
            <rFont val="Calibri"/>
            <family val="2"/>
            <scheme val="minor"/>
          </rPr>
          <t>Lesley Giles:
Open Reach A243906</t>
        </r>
      </text>
    </comment>
    <comment ref="AQ29" authorId="0" shapeId="0" xr:uid="{0E31FABE-322C-401F-BC0E-D189B3388E6C}">
      <text>
        <r>
          <rPr>
            <sz val="11"/>
            <color theme="1"/>
            <rFont val="Calibri"/>
            <family val="2"/>
            <scheme val="minor"/>
          </rPr>
          <t>Lesley Giles:
Guy Poskitt grass seed invoice Nov 2023</t>
        </r>
      </text>
    </comment>
    <comment ref="AG31" authorId="0" shapeId="0" xr:uid="{E691DDA5-3AA6-49FF-81BE-631A9D75DC3B}">
      <text>
        <r>
          <rPr>
            <b/>
            <sz val="9"/>
            <color indexed="81"/>
            <rFont val="Tahoma"/>
            <family val="2"/>
          </rPr>
          <t>Lesley Giles:</t>
        </r>
        <r>
          <rPr>
            <sz val="9"/>
            <color indexed="81"/>
            <rFont val="Tahoma"/>
            <family val="2"/>
          </rPr>
          <t xml:space="preserve">
3 x days survey on Drax £5400 and £600 legal costs STA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Lesley Giles</author>
    <author>tc={22A3432F-CAA0-43EF-AF10-592FBB4500D8}</author>
    <author>tc={0ED4C313-0DF9-43CB-AF8B-BF95E2E16B71}</author>
  </authors>
  <commentList>
    <comment ref="AN4" authorId="0" shapeId="0" xr:uid="{A02A3CD8-E6F7-4E66-B561-3AB252AFF810}">
      <text>
        <r>
          <rPr>
            <sz val="11"/>
            <color theme="1"/>
            <rFont val="Calibri"/>
            <family val="2"/>
            <scheme val="minor"/>
          </rPr>
          <t xml:space="preserve">Lesley Giles:
3rd and 4th grid stage payments
</t>
        </r>
      </text>
    </comment>
    <comment ref="O5" authorId="0" shapeId="0" xr:uid="{FF2C1F75-A0EF-4D80-8386-6E29789176CB}">
      <text>
        <r>
          <rPr>
            <b/>
            <sz val="9"/>
            <color indexed="81"/>
            <rFont val="Tahoma"/>
            <family val="2"/>
          </rPr>
          <t>Lesley Giles:</t>
        </r>
        <r>
          <rPr>
            <sz val="9"/>
            <color indexed="81"/>
            <rFont val="Tahoma"/>
            <family val="2"/>
          </rPr>
          <t xml:space="preserve">
WSP
</t>
        </r>
      </text>
    </comment>
    <comment ref="P7" authorId="0" shapeId="0" xr:uid="{B6EAA283-2DD1-42D3-A1DE-FF991F7B843C}">
      <text>
        <r>
          <rPr>
            <b/>
            <sz val="9"/>
            <color indexed="81"/>
            <rFont val="Tahoma"/>
            <family val="2"/>
          </rPr>
          <t>Lesley Giles:</t>
        </r>
        <r>
          <rPr>
            <sz val="9"/>
            <color indexed="81"/>
            <rFont val="Tahoma"/>
            <family val="2"/>
          </rPr>
          <t xml:space="preserve">
£4000 to Walker Morris for Option Variation
</t>
        </r>
      </text>
    </comment>
    <comment ref="AB7" authorId="0" shapeId="0" xr:uid="{67B17CB2-694F-410E-965C-E58F43FD06F0}">
      <text>
        <r>
          <rPr>
            <b/>
            <sz val="9"/>
            <color indexed="81"/>
            <rFont val="Tahoma"/>
            <family val="2"/>
          </rPr>
          <t>Lesley Giles:</t>
        </r>
        <r>
          <rPr>
            <sz val="9"/>
            <color indexed="81"/>
            <rFont val="Tahoma"/>
            <family val="2"/>
          </rPr>
          <t xml:space="preserve">
Undertaking for Brian Richards solicitor for Option Variaiton £3000
</t>
        </r>
      </text>
    </comment>
    <comment ref="AG7" authorId="0" shapeId="0" xr:uid="{6B95B6B5-9DC7-4C2D-A41F-3DDC9BAEF513}">
      <text>
        <r>
          <rPr>
            <b/>
            <sz val="9"/>
            <color indexed="81"/>
            <rFont val="Tahoma"/>
            <family val="2"/>
          </rPr>
          <t>Lesley Giles:</t>
        </r>
        <r>
          <rPr>
            <sz val="9"/>
            <color indexed="81"/>
            <rFont val="Tahoma"/>
            <family val="2"/>
          </rPr>
          <t xml:space="preserve">
£1000 mount estate fees
£70,000 Rees Richards introduction fee
</t>
        </r>
      </text>
    </comment>
    <comment ref="AK7" authorId="0" shapeId="0" xr:uid="{C2033C18-139B-457E-99EB-25CBF60128B4}">
      <text>
        <r>
          <rPr>
            <sz val="11"/>
            <color theme="1"/>
            <rFont val="Calibri"/>
            <family val="2"/>
            <scheme val="minor"/>
          </rPr>
          <t>Lesley Giles:
Jenkins crop loss for trial pits £200</t>
        </r>
      </text>
    </comment>
    <comment ref="AL7" authorId="0" shapeId="0" xr:uid="{73DBEA6C-12BD-49E0-9C17-4D9F335904A9}">
      <text>
        <r>
          <rPr>
            <sz val="11"/>
            <color theme="1"/>
            <rFont val="Calibri"/>
            <family val="2"/>
            <scheme val="minor"/>
          </rPr>
          <t xml:space="preserve">Lesley Giles:
jenkins crop loss 800
Landowner legal fees for lease variations
Walker Morris legal fees £35,280
</t>
        </r>
      </text>
    </comment>
    <comment ref="AM7" authorId="0" shapeId="0" xr:uid="{4F18C261-D07B-46FD-876F-F6944CBA3232}">
      <text>
        <r>
          <rPr>
            <sz val="11"/>
            <color theme="1"/>
            <rFont val="Calibri"/>
            <family val="2"/>
            <scheme val="minor"/>
          </rPr>
          <t xml:space="preserve">Lesley Giles:
£960 Brian Richards crop loss/damages
</t>
        </r>
      </text>
    </comment>
    <comment ref="AN7" authorId="0" shapeId="0" xr:uid="{5C0AB3C4-5B2F-4562-8D7A-B9F39804A79E}">
      <text>
        <r>
          <rPr>
            <sz val="11"/>
            <color theme="1"/>
            <rFont val="Calibri"/>
            <family val="2"/>
            <scheme val="minor"/>
          </rPr>
          <t>Lesley Giles:
£1200 to HCR Brian Richards solicitor for cow side letter
£1000 Morgan La Roche for Jenkins variation</t>
        </r>
      </text>
    </comment>
    <comment ref="I8" authorId="0" shapeId="0" xr:uid="{DA6D596C-EB26-492F-AEF5-C790958144E9}">
      <text>
        <r>
          <rPr>
            <b/>
            <sz val="9"/>
            <color indexed="81"/>
            <rFont val="Tahoma"/>
            <family val="2"/>
          </rPr>
          <t>Lesley Giles:</t>
        </r>
        <r>
          <rPr>
            <sz val="9"/>
            <color indexed="81"/>
            <rFont val="Tahoma"/>
            <family val="2"/>
          </rPr>
          <t xml:space="preserve">
Blick Rothenburg and Noel Ryan &amp; Associates (Accountants &amp; Auditors)</t>
        </r>
      </text>
    </comment>
    <comment ref="AL8" authorId="0" shapeId="0" xr:uid="{A57A83F2-71EC-4DBB-9F16-FB442B36C126}">
      <text>
        <r>
          <rPr>
            <sz val="11"/>
            <color theme="1"/>
            <rFont val="Calibri"/>
            <family val="2"/>
            <scheme val="minor"/>
          </rPr>
          <t xml:space="preserve">Lesley Giles:
Ansarada payment
</t>
        </r>
      </text>
    </comment>
    <comment ref="Q11" authorId="0" shapeId="0" xr:uid="{1314B695-7129-4ABB-AC88-83132A37D1C0}">
      <text>
        <r>
          <rPr>
            <b/>
            <sz val="9"/>
            <color indexed="81"/>
            <rFont val="Tahoma"/>
            <family val="2"/>
          </rPr>
          <t>Lesley Giles:</t>
        </r>
        <r>
          <rPr>
            <sz val="9"/>
            <color indexed="81"/>
            <rFont val="Tahoma"/>
            <family val="2"/>
          </rPr>
          <t xml:space="preserve">
Discretionary advise service NRW
</t>
        </r>
      </text>
    </comment>
    <comment ref="T11" authorId="0" shapeId="0" xr:uid="{C1CC4002-D3F3-4BCF-A9F9-93CF583E83D2}">
      <text>
        <r>
          <rPr>
            <b/>
            <sz val="9"/>
            <color indexed="81"/>
            <rFont val="Tahoma"/>
            <family val="2"/>
          </rPr>
          <t>Lesley Giles:</t>
        </r>
        <r>
          <rPr>
            <sz val="9"/>
            <color indexed="81"/>
            <rFont val="Tahoma"/>
            <family val="2"/>
          </rPr>
          <t xml:space="preserve">
DNS Variation fee
</t>
        </r>
      </text>
    </comment>
    <comment ref="F18" authorId="0" shapeId="0" xr:uid="{B084E2DB-10A3-4CF3-B1F4-3D6FB9ADA321}">
      <text>
        <r>
          <rPr>
            <sz val="11"/>
            <color theme="1"/>
            <rFont val="Calibri"/>
            <family val="2"/>
            <scheme val="minor"/>
          </rPr>
          <t xml:space="preserve">Lesley Giles:
Burroughs quote + assumed £15k for surveys
£3k for application fee
 </t>
        </r>
      </text>
    </comment>
    <comment ref="O19" authorId="1" shapeId="0" xr:uid="{22A3432F-CAA0-43EF-AF10-592FBB4500D8}">
      <text>
        <t>[Threaded comment]
Your version of Excel allows you to read this threaded comment; however, any edits to it will get removed if the file is opened in a newer version of Excel. Learn more: https://go.microsoft.com/fwlink/?linkid=870924
Comment:
    Additional geophys by WYAS</t>
      </text>
    </comment>
    <comment ref="V22" authorId="0" shapeId="0" xr:uid="{73F81ED6-E156-4192-A8BC-DC89A90B6E5C}">
      <text>
        <r>
          <rPr>
            <b/>
            <sz val="9"/>
            <color indexed="81"/>
            <rFont val="Tahoma"/>
            <family val="2"/>
          </rPr>
          <t>Lesley Giles:</t>
        </r>
        <r>
          <rPr>
            <sz val="9"/>
            <color indexed="81"/>
            <rFont val="Tahoma"/>
            <family val="2"/>
          </rPr>
          <t xml:space="preserve">
speed survey
</t>
        </r>
      </text>
    </comment>
    <comment ref="N24" authorId="0" shapeId="0" xr:uid="{1165F5D0-06EF-4485-8982-63C90B84790E}">
      <text>
        <r>
          <rPr>
            <b/>
            <sz val="9"/>
            <color indexed="81"/>
            <rFont val="Tahoma"/>
            <family val="2"/>
          </rPr>
          <t xml:space="preserve">Lesley Giles:
</t>
        </r>
        <r>
          <rPr>
            <sz val="9"/>
            <color indexed="81"/>
            <rFont val="Tahoma"/>
            <family val="2"/>
          </rPr>
          <t xml:space="preserve">RVAA
</t>
        </r>
      </text>
    </comment>
    <comment ref="AL27" authorId="0" shapeId="0" xr:uid="{D3F1A52C-27C5-4DCF-A399-6046D87517C9}">
      <text>
        <r>
          <rPr>
            <sz val="11"/>
            <color theme="1"/>
            <rFont val="Calibri"/>
            <family val="2"/>
            <scheme val="minor"/>
          </rPr>
          <t>Lesley Giles:
Hydrogeo</t>
        </r>
      </text>
    </comment>
    <comment ref="AJ34" authorId="2" shapeId="0" xr:uid="{0ED4C313-0DF9-43CB-AF8B-BF95E2E16B71}">
      <text>
        <t>[Threaded comment]
Your version of Excel allows you to read this threaded comment; however, any edits to it will get removed if the file is opened in a newer version of Excel. Learn more: https://go.microsoft.com/fwlink/?linkid=870924
Comment:
    ansarada</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Lesley Giles</author>
    <author>Sam Aitchison</author>
    <author>tc={0121110B-2F08-45D6-9C5B-8378F32C8F70}</author>
    <author>tc={A7160C20-7C52-4B7B-81C4-10680A855A39}</author>
  </authors>
  <commentList>
    <comment ref="AB5" authorId="0" shapeId="0" xr:uid="{0D4D3F64-D7E9-4BCE-939B-DC97C04060C1}">
      <text>
        <r>
          <rPr>
            <sz val="11"/>
            <color theme="1"/>
            <rFont val="Calibri"/>
            <family val="2"/>
            <scheme val="minor"/>
          </rPr>
          <t>Lesley Giles:
EZQ273</t>
        </r>
      </text>
    </comment>
    <comment ref="AF5" authorId="1" shapeId="0" xr:uid="{A800BD2C-E2FC-48CA-95DF-F81443CACAA7}">
      <text>
        <r>
          <rPr>
            <b/>
            <sz val="9"/>
            <color indexed="81"/>
            <rFont val="Tahoma"/>
            <family val="2"/>
          </rPr>
          <t>Sam Aitchison:</t>
        </r>
        <r>
          <rPr>
            <sz val="9"/>
            <color indexed="81"/>
            <rFont val="Tahoma"/>
            <family val="2"/>
          </rPr>
          <t xml:space="preserve">
Credit Note on variable App fee - 80295216</t>
        </r>
      </text>
    </comment>
    <comment ref="AE6" authorId="0" shapeId="0" xr:uid="{37C699D8-A20C-48C6-B660-4BD74665CAF1}">
      <text>
        <r>
          <rPr>
            <sz val="11"/>
            <color theme="1"/>
            <rFont val="Calibri"/>
            <family val="2"/>
            <scheme val="minor"/>
          </rPr>
          <t>Lesley Giles:
INV-231-081</t>
        </r>
      </text>
    </comment>
    <comment ref="AF6" authorId="0" shapeId="0" xr:uid="{C2B531C0-9660-4157-9C74-381FF66F228D}">
      <text>
        <r>
          <rPr>
            <b/>
            <sz val="9"/>
            <color indexed="81"/>
            <rFont val="Tahoma"/>
            <family val="2"/>
          </rPr>
          <t>Lesley Giles:</t>
        </r>
        <r>
          <rPr>
            <sz val="9"/>
            <color indexed="81"/>
            <rFont val="Tahoma"/>
            <family val="2"/>
          </rPr>
          <t xml:space="preserve">
INV-2311-040</t>
        </r>
      </text>
    </comment>
    <comment ref="AG6" authorId="0" shapeId="0" xr:uid="{B6315A04-11E8-4999-BC6C-C6ECDAAF77C2}">
      <text>
        <r>
          <rPr>
            <b/>
            <sz val="9"/>
            <color indexed="81"/>
            <rFont val="Tahoma"/>
            <family val="2"/>
          </rPr>
          <t>Lesley Giles:</t>
        </r>
        <r>
          <rPr>
            <sz val="9"/>
            <color indexed="81"/>
            <rFont val="Tahoma"/>
            <family val="2"/>
          </rPr>
          <t xml:space="preserve">
INV-2401-138</t>
        </r>
      </text>
    </comment>
    <comment ref="AI6" authorId="0" shapeId="0" xr:uid="{B60A7BBF-BAD4-43F2-9B8F-757E4F312D9D}">
      <text>
        <r>
          <rPr>
            <b/>
            <sz val="9"/>
            <color indexed="81"/>
            <rFont val="Tahoma"/>
            <family val="2"/>
          </rPr>
          <t>Lesley Giles:</t>
        </r>
        <r>
          <rPr>
            <sz val="9"/>
            <color indexed="81"/>
            <rFont val="Tahoma"/>
            <family val="2"/>
          </rPr>
          <t xml:space="preserve">
INV-2402-192
</t>
        </r>
      </text>
    </comment>
    <comment ref="AJ6" authorId="0" shapeId="0" xr:uid="{133EC43C-8886-46F5-9431-5BACD78452DB}">
      <text>
        <r>
          <rPr>
            <sz val="11"/>
            <color theme="1"/>
            <rFont val="Calibri"/>
            <family val="2"/>
            <scheme val="minor"/>
          </rPr>
          <t>Lesley Giles:
INV-2403-168</t>
        </r>
      </text>
    </comment>
    <comment ref="AK6" authorId="0" shapeId="0" xr:uid="{F97705C8-1237-4311-85B9-EE33E2C71943}">
      <text>
        <r>
          <rPr>
            <sz val="11"/>
            <color theme="1"/>
            <rFont val="Calibri"/>
            <family val="2"/>
            <scheme val="minor"/>
          </rPr>
          <t>Lesley Giles:
INV-13000187</t>
        </r>
      </text>
    </comment>
    <comment ref="T10" authorId="2" shapeId="0" xr:uid="{0121110B-2F08-45D6-9C5B-8378F32C8F70}">
      <text>
        <t>[Threaded comment]
Your version of Excel allows you to read this threaded comment; however, any edits to it will get removed if the file is opened in a newer version of Excel. Learn more: https://go.microsoft.com/fwlink/?linkid=870924
Comment:
    Ricard Gibbs land agent fee</t>
      </text>
    </comment>
    <comment ref="U10" authorId="0" shapeId="0" xr:uid="{203A90CE-D2ED-4B03-8365-2D0A9551287A}">
      <text>
        <r>
          <rPr>
            <b/>
            <sz val="9"/>
            <color indexed="81"/>
            <rFont val="Tahoma"/>
            <family val="2"/>
          </rPr>
          <t>Lesley Giles:</t>
        </r>
        <r>
          <rPr>
            <sz val="9"/>
            <color indexed="81"/>
            <rFont val="Tahoma"/>
            <family val="2"/>
          </rPr>
          <t xml:space="preserve">
Centremaps</t>
        </r>
      </text>
    </comment>
    <comment ref="I11" authorId="0" shapeId="0" xr:uid="{F4FAEE00-229B-47A6-A084-8C72E7238227}">
      <text>
        <r>
          <rPr>
            <b/>
            <sz val="9"/>
            <color indexed="81"/>
            <rFont val="Tahoma"/>
            <family val="2"/>
          </rPr>
          <t>Lesley Giles:</t>
        </r>
        <r>
          <rPr>
            <sz val="9"/>
            <color indexed="81"/>
            <rFont val="Tahoma"/>
            <family val="2"/>
          </rPr>
          <t xml:space="preserve">
Blick Rothernberg
</t>
        </r>
      </text>
    </comment>
    <comment ref="AE11" authorId="0" shapeId="0" xr:uid="{48A037C2-86D9-4CEA-A770-32C329FF9F65}">
      <text>
        <r>
          <rPr>
            <sz val="11"/>
            <color theme="1"/>
            <rFont val="Calibri"/>
            <family val="2"/>
            <scheme val="minor"/>
          </rPr>
          <t>Lesley Giles:
Pinsent Masons 6785919</t>
        </r>
      </text>
    </comment>
    <comment ref="F13" authorId="0" shapeId="0" xr:uid="{D5F9298C-E45D-424B-B727-D9F09A5E9409}">
      <text>
        <r>
          <rPr>
            <sz val="11"/>
            <color theme="1"/>
            <rFont val="Calibri"/>
            <family val="2"/>
            <scheme val="minor"/>
          </rPr>
          <t xml:space="preserve">Lesley Giles:
Original Quote £31,810
£6000 increase agreed 17/08/2023 due to delays caused by SSEN changing the substation design </t>
        </r>
      </text>
    </comment>
    <comment ref="AE13" authorId="0" shapeId="0" xr:uid="{09316262-88CB-4CD2-88E1-1A9484F49E02}">
      <text>
        <r>
          <rPr>
            <sz val="11"/>
            <color theme="1"/>
            <rFont val="Calibri"/>
            <family val="2"/>
            <scheme val="minor"/>
          </rPr>
          <t>Lesley Giles:
164/10</t>
        </r>
      </text>
    </comment>
    <comment ref="AF13" authorId="0" shapeId="0" xr:uid="{556445C1-1256-4447-9190-7C10B0938D61}">
      <text>
        <r>
          <rPr>
            <b/>
            <sz val="9"/>
            <color indexed="81"/>
            <rFont val="Tahoma"/>
            <family val="2"/>
          </rPr>
          <t>Lesley Giles:</t>
        </r>
        <r>
          <rPr>
            <sz val="9"/>
            <color indexed="81"/>
            <rFont val="Tahoma"/>
            <family val="2"/>
          </rPr>
          <t xml:space="preserve">
164/12
</t>
        </r>
      </text>
    </comment>
    <comment ref="AG13" authorId="0" shapeId="0" xr:uid="{EAA6CC5F-86C9-4C67-971F-7F98B4915A04}">
      <text>
        <r>
          <rPr>
            <sz val="11"/>
            <color theme="1"/>
            <rFont val="Calibri"/>
            <family val="2"/>
            <scheme val="minor"/>
          </rPr>
          <t xml:space="preserve">Lesley Giles:
164/13
</t>
        </r>
      </text>
    </comment>
    <comment ref="AH13" authorId="0" shapeId="0" xr:uid="{1DA57E0D-D875-4311-B601-B5E81F50CD89}">
      <text>
        <r>
          <rPr>
            <sz val="11"/>
            <color theme="1"/>
            <rFont val="Calibri"/>
            <family val="2"/>
            <scheme val="minor"/>
          </rPr>
          <t>Lesley Giles:
164/14</t>
        </r>
      </text>
    </comment>
    <comment ref="AK13" authorId="0" shapeId="0" xr:uid="{1BC513BC-0C89-4F5A-8B11-FE5BBB4D8A10}">
      <text>
        <r>
          <rPr>
            <sz val="11"/>
            <color theme="1"/>
            <rFont val="Calibri"/>
            <family val="2"/>
            <scheme val="minor"/>
          </rPr>
          <t>Lesley Giles:
164/16</t>
        </r>
      </text>
    </comment>
    <comment ref="AL13" authorId="0" shapeId="0" xr:uid="{9D75025E-D012-4F6A-9056-80CA3729F78A}">
      <text>
        <r>
          <rPr>
            <sz val="11"/>
            <color theme="1"/>
            <rFont val="Calibri"/>
            <family val="2"/>
            <scheme val="minor"/>
          </rPr>
          <t>Lesley Giles:
164/17</t>
        </r>
      </text>
    </comment>
    <comment ref="F14" authorId="3" shapeId="0" xr:uid="{A7160C20-7C52-4B7B-81C4-10680A855A39}">
      <text>
        <t>[Threaded comment]
Your version of Excel allows you to read this threaded comment; however, any edits to it will get removed if the file is opened in a newer version of Excel. Learn more: https://go.microsoft.com/fwlink/?linkid=870924
Comment:
    £2250 for Geo-environmental phase 1 assessment
£1,925 Heritage DBA</t>
      </text>
    </comment>
    <comment ref="AB14" authorId="0" shapeId="0" xr:uid="{2C50C47B-3A28-4464-8B06-8772C6579F03}">
      <text>
        <r>
          <rPr>
            <sz val="11"/>
            <color theme="1"/>
            <rFont val="Calibri"/>
            <family val="2"/>
            <scheme val="minor"/>
          </rPr>
          <t>Lesley Giles:
consultation cost</t>
        </r>
      </text>
    </comment>
    <comment ref="AB22" authorId="0" shapeId="0" xr:uid="{F19CFCB1-F888-43D5-A189-FA62242E659F}">
      <text>
        <r>
          <rPr>
            <sz val="11"/>
            <color theme="1"/>
            <rFont val="Calibri"/>
            <family val="2"/>
            <scheme val="minor"/>
          </rPr>
          <t xml:space="preserve">Lesley Giles:
£475 completion of transport statement </t>
        </r>
      </text>
    </comment>
    <comment ref="Z23" authorId="0" shapeId="0" xr:uid="{19BA62F1-2AAE-4A99-A858-BDA6E5D2EF73}">
      <text>
        <r>
          <rPr>
            <sz val="11"/>
            <color theme="1"/>
            <rFont val="Calibri"/>
            <family val="2"/>
            <scheme val="minor"/>
          </rPr>
          <t xml:space="preserve">Lesley Giles:
SPP &amp; BEP
</t>
        </r>
      </text>
    </comment>
    <comment ref="AF25" authorId="0" shapeId="0" xr:uid="{F016994C-3E96-4384-A365-6AF56E6434BA}">
      <text>
        <r>
          <rPr>
            <b/>
            <sz val="9"/>
            <color indexed="81"/>
            <rFont val="Tahoma"/>
            <family val="2"/>
          </rPr>
          <t>Lesley Giles:</t>
        </r>
        <r>
          <rPr>
            <sz val="9"/>
            <color indexed="81"/>
            <rFont val="Tahoma"/>
            <family val="2"/>
          </rPr>
          <t xml:space="preserve">
1252</t>
        </r>
      </text>
    </comment>
    <comment ref="AF30" authorId="0" shapeId="0" xr:uid="{29DF0B5B-E0DA-4CEF-A13A-AB2AD37FECB6}">
      <text>
        <r>
          <rPr>
            <b/>
            <sz val="9"/>
            <color indexed="81"/>
            <rFont val="Tahoma"/>
            <family val="2"/>
          </rPr>
          <t>Lesley Giles:</t>
        </r>
        <r>
          <rPr>
            <sz val="9"/>
            <color indexed="81"/>
            <rFont val="Tahoma"/>
            <family val="2"/>
          </rPr>
          <t xml:space="preserve">
1048
1044
1043</t>
        </r>
      </text>
    </comment>
    <comment ref="AH30" authorId="0" shapeId="0" xr:uid="{09259DCB-0A0F-4F3E-9D3F-7E58FB05D249}">
      <text>
        <r>
          <rPr>
            <b/>
            <sz val="9"/>
            <color indexed="81"/>
            <rFont val="Tahoma"/>
            <family val="2"/>
          </rPr>
          <t>Lesley Giles:</t>
        </r>
        <r>
          <rPr>
            <sz val="9"/>
            <color indexed="81"/>
            <rFont val="Tahoma"/>
            <family val="2"/>
          </rPr>
          <t xml:space="preserve">
1057</t>
        </r>
      </text>
    </comment>
    <comment ref="AI30" authorId="0" shapeId="0" xr:uid="{A145D79B-AA00-4EE7-8FFD-50482484A86A}">
      <text>
        <r>
          <rPr>
            <sz val="11"/>
            <color theme="1"/>
            <rFont val="Calibri"/>
            <family val="2"/>
            <scheme val="minor"/>
          </rPr>
          <t>Lesley Giles:
1208</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Natasha Worrall</author>
    <author>Sam Aitchison</author>
  </authors>
  <commentList>
    <comment ref="S9" authorId="0" shapeId="0" xr:uid="{E2C404AB-AF56-42BA-8946-3CBE891B92C9}">
      <text>
        <r>
          <rPr>
            <b/>
            <sz val="9"/>
            <color indexed="81"/>
            <rFont val="Tahoma"/>
            <family val="2"/>
          </rPr>
          <t>Natasha Worrall:</t>
        </r>
        <r>
          <rPr>
            <sz val="9"/>
            <color indexed="81"/>
            <rFont val="Tahoma"/>
            <family val="2"/>
          </rPr>
          <t xml:space="preserve">
Feb 23 Deal sheet: £1,200 accounting &amp; admin 
£13,200 legal fees 
</t>
        </r>
      </text>
    </comment>
    <comment ref="F12" authorId="1" shapeId="0" xr:uid="{CC49EAE4-A9B5-4CDC-AB20-67D2285BAFB9}">
      <text>
        <r>
          <rPr>
            <b/>
            <sz val="9"/>
            <color indexed="81"/>
            <rFont val="Tahoma"/>
            <family val="2"/>
          </rPr>
          <t>Sam Aitchison:</t>
        </r>
        <r>
          <rPr>
            <sz val="9"/>
            <color indexed="81"/>
            <rFont val="Tahoma"/>
            <family val="2"/>
          </rPr>
          <t xml:space="preserve">
PO000396 -Forsters LLP - Cable Route Legals - £23,000 (1 of 3 agreements)
</t>
        </r>
      </text>
    </comment>
    <comment ref="W12" authorId="0" shapeId="0" xr:uid="{3B8AB2CA-9D4B-4E40-90F1-F0EE49E45A25}">
      <text>
        <r>
          <rPr>
            <b/>
            <sz val="9"/>
            <color indexed="81"/>
            <rFont val="Tahoma"/>
            <family val="2"/>
          </rPr>
          <t>Natasha Worrall:</t>
        </r>
        <r>
          <rPr>
            <sz val="9"/>
            <color indexed="81"/>
            <rFont val="Tahoma"/>
            <family val="2"/>
          </rPr>
          <t xml:space="preserve">
Survey Licenses
Holden A1382
Holden 01
</t>
        </r>
      </text>
    </comment>
    <comment ref="W14" authorId="0" shapeId="0" xr:uid="{DFB41A09-BE6D-4DED-8D4C-34DDFAF0B052}">
      <text>
        <r>
          <rPr>
            <b/>
            <sz val="9"/>
            <color indexed="81"/>
            <rFont val="Tahoma"/>
            <family val="2"/>
          </rPr>
          <t>Natasha Worrall:</t>
        </r>
        <r>
          <rPr>
            <sz val="9"/>
            <color indexed="81"/>
            <rFont val="Tahoma"/>
            <family val="2"/>
          </rPr>
          <t xml:space="preserve">
680018394</t>
        </r>
      </text>
    </comment>
    <comment ref="AA14" authorId="0" shapeId="0" xr:uid="{D87D6738-153C-4C84-A777-6E7AC658B695}">
      <text>
        <r>
          <rPr>
            <b/>
            <sz val="9"/>
            <color indexed="81"/>
            <rFont val="Tahoma"/>
            <family val="2"/>
          </rPr>
          <t>Natasha Worrall:</t>
        </r>
        <r>
          <rPr>
            <sz val="9"/>
            <color indexed="81"/>
            <rFont val="Tahoma"/>
            <family val="2"/>
          </rPr>
          <t xml:space="preserve">
680029334 </t>
        </r>
      </text>
    </comment>
    <comment ref="AB14" authorId="0" shapeId="0" xr:uid="{7378FDA4-8166-40B2-ACDF-376CD7D252D3}">
      <text>
        <r>
          <rPr>
            <b/>
            <sz val="9"/>
            <color indexed="81"/>
            <rFont val="Tahoma"/>
            <family val="2"/>
          </rPr>
          <t>Natasha Worrall:</t>
        </r>
        <r>
          <rPr>
            <sz val="9"/>
            <color indexed="81"/>
            <rFont val="Tahoma"/>
            <family val="2"/>
          </rPr>
          <t xml:space="preserve">
680031831</t>
        </r>
      </text>
    </comment>
    <comment ref="AC14" authorId="1" shapeId="0" xr:uid="{6B042B6D-0CE2-4EEC-9D00-C17B35AB0C3C}">
      <text>
        <r>
          <rPr>
            <b/>
            <sz val="9"/>
            <color indexed="81"/>
            <rFont val="Tahoma"/>
            <family val="2"/>
          </rPr>
          <t>Sam Aitchison:</t>
        </r>
        <r>
          <rPr>
            <sz val="9"/>
            <color indexed="81"/>
            <rFont val="Tahoma"/>
            <family val="2"/>
          </rPr>
          <t xml:space="preserve">
680031831
</t>
        </r>
      </text>
    </comment>
    <comment ref="AD14" authorId="0" shapeId="0" xr:uid="{F24D84EF-0ED1-4E40-88CA-1F28132EF099}">
      <text>
        <r>
          <rPr>
            <b/>
            <sz val="9"/>
            <color indexed="81"/>
            <rFont val="Tahoma"/>
            <family val="2"/>
          </rPr>
          <t>Natasha Worrall:</t>
        </r>
        <r>
          <rPr>
            <sz val="9"/>
            <color indexed="81"/>
            <rFont val="Tahoma"/>
            <family val="2"/>
          </rPr>
          <t xml:space="preserve">
680036521</t>
        </r>
      </text>
    </comment>
    <comment ref="AE14" authorId="1" shapeId="0" xr:uid="{435110B1-2EF6-4F1D-A321-E727BC70BDBC}">
      <text>
        <r>
          <rPr>
            <b/>
            <sz val="9"/>
            <color indexed="81"/>
            <rFont val="Tahoma"/>
            <family val="2"/>
          </rPr>
          <t>Sam Aitchison:</t>
        </r>
        <r>
          <rPr>
            <sz val="9"/>
            <color indexed="81"/>
            <rFont val="Tahoma"/>
            <family val="2"/>
          </rPr>
          <t xml:space="preserve">
Inovice: 680039159</t>
        </r>
      </text>
    </comment>
    <comment ref="AF14" authorId="0" shapeId="0" xr:uid="{E70F27AF-8E62-47C0-97EE-C6EF75B3BA9A}">
      <text>
        <r>
          <rPr>
            <b/>
            <sz val="9"/>
            <color indexed="81"/>
            <rFont val="Tahoma"/>
            <family val="2"/>
          </rPr>
          <t>Natasha Worrall:</t>
        </r>
        <r>
          <rPr>
            <sz val="9"/>
            <color indexed="81"/>
            <rFont val="Tahoma"/>
            <family val="2"/>
          </rPr>
          <t xml:space="preserve">
680042015</t>
        </r>
      </text>
    </comment>
    <comment ref="AG14" authorId="1" shapeId="0" xr:uid="{7DD52E4E-F9EF-4FDE-BF27-BE4D5659B90F}">
      <text>
        <r>
          <rPr>
            <b/>
            <sz val="9"/>
            <color indexed="81"/>
            <rFont val="Tahoma"/>
            <family val="2"/>
          </rPr>
          <t>Sam Aitchison:</t>
        </r>
        <r>
          <rPr>
            <sz val="9"/>
            <color indexed="81"/>
            <rFont val="Tahoma"/>
            <family val="2"/>
          </rPr>
          <t xml:space="preserve">
Invoice 680044281</t>
        </r>
      </text>
    </comment>
    <comment ref="Y15" authorId="1" shapeId="0" xr:uid="{DEFCAD38-63F7-44AC-A2B9-CF07CF262274}">
      <text>
        <r>
          <rPr>
            <sz val="11"/>
            <color theme="1"/>
            <rFont val="Calibri"/>
            <family val="2"/>
            <scheme val="minor"/>
          </rPr>
          <t>Sam Aitchison:
Paid on SA Pleo.</t>
        </r>
      </text>
    </comment>
    <comment ref="F17" authorId="1" shapeId="0" xr:uid="{71206021-04EF-4036-850A-38DE02A7AF3D}">
      <text>
        <r>
          <rPr>
            <b/>
            <sz val="9"/>
            <color indexed="81"/>
            <rFont val="Tahoma"/>
            <family val="2"/>
          </rPr>
          <t>Sam Aitchison:</t>
        </r>
        <r>
          <rPr>
            <sz val="9"/>
            <color indexed="81"/>
            <rFont val="Tahoma"/>
            <family val="2"/>
          </rPr>
          <t xml:space="preserve">
Original + CO5 (part)</t>
        </r>
      </text>
    </comment>
    <comment ref="W17" authorId="0" shapeId="0" xr:uid="{D37348D4-95B2-45B6-A000-E4F016D7A094}">
      <text>
        <r>
          <rPr>
            <b/>
            <sz val="9"/>
            <color indexed="81"/>
            <rFont val="Tahoma"/>
            <family val="2"/>
          </rPr>
          <t>Natasha Worrall:</t>
        </r>
        <r>
          <rPr>
            <sz val="9"/>
            <color indexed="81"/>
            <rFont val="Tahoma"/>
            <family val="2"/>
          </rPr>
          <t xml:space="preserve">
680018394</t>
        </r>
      </text>
    </comment>
    <comment ref="AA17" authorId="0" shapeId="0" xr:uid="{DE699CA7-563E-4A72-BE92-4CA5DB716C05}">
      <text>
        <r>
          <rPr>
            <b/>
            <sz val="9"/>
            <color indexed="81"/>
            <rFont val="Tahoma"/>
            <family val="2"/>
          </rPr>
          <t>Natasha Worrall:</t>
        </r>
        <r>
          <rPr>
            <sz val="9"/>
            <color indexed="81"/>
            <rFont val="Tahoma"/>
            <family val="2"/>
          </rPr>
          <t xml:space="preserve">
680029334 </t>
        </r>
      </text>
    </comment>
    <comment ref="AB17" authorId="0" shapeId="0" xr:uid="{10E5CE41-8FC5-4987-85D2-DFC2C2C81E77}">
      <text>
        <r>
          <rPr>
            <b/>
            <sz val="9"/>
            <color indexed="81"/>
            <rFont val="Tahoma"/>
            <family val="2"/>
          </rPr>
          <t>Natasha Worrall:</t>
        </r>
        <r>
          <rPr>
            <sz val="9"/>
            <color indexed="81"/>
            <rFont val="Tahoma"/>
            <family val="2"/>
          </rPr>
          <t xml:space="preserve">
680031831</t>
        </r>
      </text>
    </comment>
    <comment ref="AC17" authorId="1" shapeId="0" xr:uid="{9EA32DF3-48A6-4AFF-8200-C6F150E9DFCB}">
      <text>
        <r>
          <rPr>
            <b/>
            <sz val="9"/>
            <color indexed="81"/>
            <rFont val="Tahoma"/>
            <family val="2"/>
          </rPr>
          <t>Sam Aitchison:</t>
        </r>
        <r>
          <rPr>
            <sz val="9"/>
            <color indexed="81"/>
            <rFont val="Tahoma"/>
            <family val="2"/>
          </rPr>
          <t xml:space="preserve">
680031831
</t>
        </r>
      </text>
    </comment>
    <comment ref="AD17" authorId="0" shapeId="0" xr:uid="{630FE4D0-69A1-4315-859C-6FD2F326B4D3}">
      <text>
        <r>
          <rPr>
            <b/>
            <sz val="9"/>
            <color indexed="81"/>
            <rFont val="Tahoma"/>
            <family val="2"/>
          </rPr>
          <t>Natasha Worrall:</t>
        </r>
        <r>
          <rPr>
            <sz val="9"/>
            <color indexed="81"/>
            <rFont val="Tahoma"/>
            <family val="2"/>
          </rPr>
          <t xml:space="preserve">
680036521</t>
        </r>
      </text>
    </comment>
    <comment ref="AE17" authorId="1" shapeId="0" xr:uid="{643B3090-2DBA-4B1C-B50A-887C89A479CC}">
      <text>
        <r>
          <rPr>
            <b/>
            <sz val="9"/>
            <color indexed="81"/>
            <rFont val="Tahoma"/>
            <family val="2"/>
          </rPr>
          <t>Sam Aitchison:</t>
        </r>
        <r>
          <rPr>
            <sz val="9"/>
            <color indexed="81"/>
            <rFont val="Tahoma"/>
            <family val="2"/>
          </rPr>
          <t xml:space="preserve">
Inovice: 680039159</t>
        </r>
      </text>
    </comment>
    <comment ref="AF17" authorId="0" shapeId="0" xr:uid="{8AE81FF1-AE2C-43A3-8417-5D146AD00BA0}">
      <text>
        <r>
          <rPr>
            <b/>
            <sz val="9"/>
            <color indexed="81"/>
            <rFont val="Tahoma"/>
            <family val="2"/>
          </rPr>
          <t>Natasha Worrall:</t>
        </r>
        <r>
          <rPr>
            <sz val="9"/>
            <color indexed="81"/>
            <rFont val="Tahoma"/>
            <family val="2"/>
          </rPr>
          <t xml:space="preserve">
680042015</t>
        </r>
      </text>
    </comment>
    <comment ref="AG17" authorId="1" shapeId="0" xr:uid="{089D4C32-7CCF-4A85-8713-C299DCCBD444}">
      <text>
        <r>
          <rPr>
            <b/>
            <sz val="9"/>
            <color indexed="81"/>
            <rFont val="Tahoma"/>
            <family val="2"/>
          </rPr>
          <t>Sam Aitchison:</t>
        </r>
        <r>
          <rPr>
            <sz val="9"/>
            <color indexed="81"/>
            <rFont val="Tahoma"/>
            <family val="2"/>
          </rPr>
          <t xml:space="preserve">
Invoice 680044281</t>
        </r>
      </text>
    </comment>
    <comment ref="AA19" authorId="0" shapeId="0" xr:uid="{D4526BCF-A13F-4EFB-BEC0-4D93A31658C5}">
      <text>
        <r>
          <rPr>
            <b/>
            <sz val="9"/>
            <color indexed="81"/>
            <rFont val="Tahoma"/>
            <family val="2"/>
          </rPr>
          <t>Natasha Worrall:</t>
        </r>
        <r>
          <rPr>
            <sz val="9"/>
            <color indexed="81"/>
            <rFont val="Tahoma"/>
            <family val="2"/>
          </rPr>
          <t xml:space="preserve">
680029334 </t>
        </r>
      </text>
    </comment>
    <comment ref="AB19" authorId="0" shapeId="0" xr:uid="{584CAF2D-46BD-4DBF-8B12-B64011A595A4}">
      <text>
        <r>
          <rPr>
            <b/>
            <sz val="9"/>
            <color indexed="81"/>
            <rFont val="Tahoma"/>
            <family val="2"/>
          </rPr>
          <t>Natasha Worrall:</t>
        </r>
        <r>
          <rPr>
            <sz val="9"/>
            <color indexed="81"/>
            <rFont val="Tahoma"/>
            <family val="2"/>
          </rPr>
          <t xml:space="preserve">
680031831</t>
        </r>
      </text>
    </comment>
    <comment ref="AC19" authorId="1" shapeId="0" xr:uid="{A08C321A-67FE-4BFC-ABC6-F7FF36D05A39}">
      <text>
        <r>
          <rPr>
            <b/>
            <sz val="9"/>
            <color indexed="81"/>
            <rFont val="Tahoma"/>
            <family val="2"/>
          </rPr>
          <t>Sam Aitchison:</t>
        </r>
        <r>
          <rPr>
            <sz val="9"/>
            <color indexed="81"/>
            <rFont val="Tahoma"/>
            <family val="2"/>
          </rPr>
          <t xml:space="preserve">
680031831
Booked in Error to be credited next month</t>
        </r>
      </text>
    </comment>
    <comment ref="AD19" authorId="0" shapeId="0" xr:uid="{7D999987-2B15-4D01-A932-F5799E562E1E}">
      <text>
        <r>
          <rPr>
            <b/>
            <sz val="9"/>
            <color indexed="81"/>
            <rFont val="Tahoma"/>
            <family val="2"/>
          </rPr>
          <t>Natasha Worrall:</t>
        </r>
        <r>
          <rPr>
            <sz val="9"/>
            <color indexed="81"/>
            <rFont val="Tahoma"/>
            <family val="2"/>
          </rPr>
          <t xml:space="preserve">
680036521</t>
        </r>
      </text>
    </comment>
    <comment ref="AE19" authorId="1" shapeId="0" xr:uid="{F1D94A62-127C-4606-9177-CD5B6A3508AC}">
      <text>
        <r>
          <rPr>
            <b/>
            <sz val="9"/>
            <color indexed="81"/>
            <rFont val="Tahoma"/>
            <family val="2"/>
          </rPr>
          <t>Sam Aitchison:</t>
        </r>
        <r>
          <rPr>
            <sz val="9"/>
            <color indexed="81"/>
            <rFont val="Tahoma"/>
            <family val="2"/>
          </rPr>
          <t xml:space="preserve">
Inovice: 680039159</t>
        </r>
      </text>
    </comment>
    <comment ref="AF19" authorId="0" shapeId="0" xr:uid="{1B8BAD4B-60AC-4435-933A-7EE9876B2A4C}">
      <text>
        <r>
          <rPr>
            <b/>
            <sz val="9"/>
            <color indexed="81"/>
            <rFont val="Tahoma"/>
            <family val="2"/>
          </rPr>
          <t>Natasha Worrall:</t>
        </r>
        <r>
          <rPr>
            <sz val="9"/>
            <color indexed="81"/>
            <rFont val="Tahoma"/>
            <family val="2"/>
          </rPr>
          <t xml:space="preserve">
680042015</t>
        </r>
      </text>
    </comment>
    <comment ref="AG19" authorId="1" shapeId="0" xr:uid="{77AFC24A-01FC-4EED-A92E-0FC37DE1EA04}">
      <text>
        <r>
          <rPr>
            <b/>
            <sz val="9"/>
            <color indexed="81"/>
            <rFont val="Tahoma"/>
            <family val="2"/>
          </rPr>
          <t>Sam Aitchison:</t>
        </r>
        <r>
          <rPr>
            <sz val="9"/>
            <color indexed="81"/>
            <rFont val="Tahoma"/>
            <family val="2"/>
          </rPr>
          <t xml:space="preserve">
Invoice 680044281</t>
        </r>
      </text>
    </comment>
    <comment ref="AB20" authorId="0" shapeId="0" xr:uid="{4783CA27-6DD7-4F54-BF44-6A64574E4EB5}">
      <text>
        <r>
          <rPr>
            <b/>
            <sz val="9"/>
            <color indexed="81"/>
            <rFont val="Tahoma"/>
            <family val="2"/>
          </rPr>
          <t>Natasha Worrall:</t>
        </r>
        <r>
          <rPr>
            <sz val="9"/>
            <color indexed="81"/>
            <rFont val="Tahoma"/>
            <family val="2"/>
          </rPr>
          <t xml:space="preserve">
Belton Woods Hotel booking for consultation - 5 rooms booked (inc 3 x IGP, 2x Arcadis)</t>
        </r>
      </text>
    </comment>
    <comment ref="F21" authorId="1" shapeId="0" xr:uid="{3E1F6E95-84D0-4FF6-941C-F5AE4870BEA5}">
      <text>
        <r>
          <rPr>
            <b/>
            <sz val="9"/>
            <color indexed="81"/>
            <rFont val="Tahoma"/>
            <family val="2"/>
          </rPr>
          <t>Sam Aitchison:</t>
        </r>
        <r>
          <rPr>
            <sz val="9"/>
            <color indexed="81"/>
            <rFont val="Tahoma"/>
            <family val="2"/>
          </rPr>
          <t xml:space="preserve">
Original+CO4-£142 variace (transferred to SCI) +CO5(part)
</t>
        </r>
      </text>
    </comment>
    <comment ref="W21" authorId="0" shapeId="0" xr:uid="{932D96C4-1160-4FDD-9E72-25611BD1EA13}">
      <text>
        <r>
          <rPr>
            <b/>
            <sz val="9"/>
            <color indexed="81"/>
            <rFont val="Tahoma"/>
            <family val="2"/>
          </rPr>
          <t>Natasha Worrall:</t>
        </r>
        <r>
          <rPr>
            <sz val="9"/>
            <color indexed="81"/>
            <rFont val="Tahoma"/>
            <family val="2"/>
          </rPr>
          <t xml:space="preserve">
680018394</t>
        </r>
      </text>
    </comment>
    <comment ref="AA21" authorId="0" shapeId="0" xr:uid="{2E1E60B1-2DCD-44AD-AC45-106CC3B71085}">
      <text>
        <r>
          <rPr>
            <b/>
            <sz val="9"/>
            <color indexed="81"/>
            <rFont val="Tahoma"/>
            <family val="2"/>
          </rPr>
          <t>Natasha Worrall:</t>
        </r>
        <r>
          <rPr>
            <sz val="9"/>
            <color indexed="81"/>
            <rFont val="Tahoma"/>
            <family val="2"/>
          </rPr>
          <t xml:space="preserve">
680029334 </t>
        </r>
      </text>
    </comment>
    <comment ref="AB21" authorId="0" shapeId="0" xr:uid="{5523ACC6-6BB6-430A-845B-6A76AD8DD2FC}">
      <text>
        <r>
          <rPr>
            <b/>
            <sz val="9"/>
            <color indexed="81"/>
            <rFont val="Tahoma"/>
            <family val="2"/>
          </rPr>
          <t>Natasha Worrall:</t>
        </r>
        <r>
          <rPr>
            <sz val="9"/>
            <color indexed="81"/>
            <rFont val="Tahoma"/>
            <family val="2"/>
          </rPr>
          <t xml:space="preserve">
680031831</t>
        </r>
      </text>
    </comment>
    <comment ref="AC21" authorId="1" shapeId="0" xr:uid="{772DF0EA-7D09-4F6C-A91E-18ABD158E23A}">
      <text>
        <r>
          <rPr>
            <b/>
            <sz val="9"/>
            <color indexed="81"/>
            <rFont val="Tahoma"/>
            <family val="2"/>
          </rPr>
          <t>Sam Aitchison:</t>
        </r>
        <r>
          <rPr>
            <sz val="9"/>
            <color indexed="81"/>
            <rFont val="Tahoma"/>
            <family val="2"/>
          </rPr>
          <t xml:space="preserve">
680031831</t>
        </r>
      </text>
    </comment>
    <comment ref="AD21" authorId="0" shapeId="0" xr:uid="{4569D2D7-89D2-4993-84FD-43A8A7F168E7}">
      <text>
        <r>
          <rPr>
            <b/>
            <sz val="9"/>
            <color indexed="81"/>
            <rFont val="Tahoma"/>
            <family val="2"/>
          </rPr>
          <t>Natasha Worrall:</t>
        </r>
        <r>
          <rPr>
            <sz val="9"/>
            <color indexed="81"/>
            <rFont val="Tahoma"/>
            <family val="2"/>
          </rPr>
          <t xml:space="preserve">
680036521</t>
        </r>
      </text>
    </comment>
    <comment ref="AE21" authorId="1" shapeId="0" xr:uid="{13621526-A1D4-4D7D-B063-D9FC89655300}">
      <text>
        <r>
          <rPr>
            <b/>
            <sz val="9"/>
            <color indexed="81"/>
            <rFont val="Tahoma"/>
            <family val="2"/>
          </rPr>
          <t>Sam Aitchison:</t>
        </r>
        <r>
          <rPr>
            <sz val="9"/>
            <color indexed="81"/>
            <rFont val="Tahoma"/>
            <family val="2"/>
          </rPr>
          <t xml:space="preserve">
Inovice: 680039159</t>
        </r>
      </text>
    </comment>
    <comment ref="AF21" authorId="0" shapeId="0" xr:uid="{3FA31136-E30E-47B2-9644-829499AE2A47}">
      <text>
        <r>
          <rPr>
            <b/>
            <sz val="9"/>
            <color indexed="81"/>
            <rFont val="Tahoma"/>
            <family val="2"/>
          </rPr>
          <t>Natasha Worrall:</t>
        </r>
        <r>
          <rPr>
            <sz val="9"/>
            <color indexed="81"/>
            <rFont val="Tahoma"/>
            <family val="2"/>
          </rPr>
          <t xml:space="preserve">
680042015</t>
        </r>
      </text>
    </comment>
    <comment ref="AG21" authorId="1" shapeId="0" xr:uid="{2872C8BA-B946-4315-A4B1-82D7F481A08D}">
      <text>
        <r>
          <rPr>
            <b/>
            <sz val="9"/>
            <color indexed="81"/>
            <rFont val="Tahoma"/>
            <family val="2"/>
          </rPr>
          <t>Sam Aitchison:</t>
        </r>
        <r>
          <rPr>
            <sz val="9"/>
            <color indexed="81"/>
            <rFont val="Tahoma"/>
            <family val="2"/>
          </rPr>
          <t xml:space="preserve">
Invoice 680044281</t>
        </r>
      </text>
    </comment>
    <comment ref="F22" authorId="1" shapeId="0" xr:uid="{A7D1029D-2202-42EF-9285-ABE761F965EC}">
      <text>
        <r>
          <rPr>
            <b/>
            <sz val="9"/>
            <color indexed="81"/>
            <rFont val="Tahoma"/>
            <family val="2"/>
          </rPr>
          <t>Sam Aitchison:</t>
        </r>
        <r>
          <rPr>
            <sz val="9"/>
            <color indexed="81"/>
            <rFont val="Tahoma"/>
            <family val="2"/>
          </rPr>
          <t xml:space="preserve">
Original Quote + CO1 + £142 from LVIA - £177.25</t>
        </r>
      </text>
    </comment>
    <comment ref="W22" authorId="0" shapeId="0" xr:uid="{E9AE7B76-C5A7-4C3A-A46C-63E3CD0F3974}">
      <text>
        <r>
          <rPr>
            <b/>
            <sz val="9"/>
            <color indexed="81"/>
            <rFont val="Tahoma"/>
            <family val="2"/>
          </rPr>
          <t>Natasha Worrall:</t>
        </r>
        <r>
          <rPr>
            <sz val="9"/>
            <color indexed="81"/>
            <rFont val="Tahoma"/>
            <family val="2"/>
          </rPr>
          <t xml:space="preserve">
680018394</t>
        </r>
      </text>
    </comment>
    <comment ref="AA22" authorId="0" shapeId="0" xr:uid="{30F7BFB0-BC08-4639-8416-55D63D8196FE}">
      <text>
        <r>
          <rPr>
            <b/>
            <sz val="9"/>
            <color indexed="81"/>
            <rFont val="Tahoma"/>
            <family val="2"/>
          </rPr>
          <t>Natasha Worrall:</t>
        </r>
        <r>
          <rPr>
            <sz val="9"/>
            <color indexed="81"/>
            <rFont val="Tahoma"/>
            <family val="2"/>
          </rPr>
          <t xml:space="preserve">
680029334 </t>
        </r>
      </text>
    </comment>
    <comment ref="AB22" authorId="0" shapeId="0" xr:uid="{266F9C80-FDF6-4181-AD7F-8652B4073B81}">
      <text>
        <r>
          <rPr>
            <b/>
            <sz val="9"/>
            <color indexed="81"/>
            <rFont val="Tahoma"/>
            <family val="2"/>
          </rPr>
          <t>Natasha Worrall:</t>
        </r>
        <r>
          <rPr>
            <sz val="9"/>
            <color indexed="81"/>
            <rFont val="Tahoma"/>
            <family val="2"/>
          </rPr>
          <t xml:space="preserve">
680031831</t>
        </r>
      </text>
    </comment>
    <comment ref="AC22" authorId="1" shapeId="0" xr:uid="{CF477D41-B099-4ABA-9C8C-ACABA7DA16E2}">
      <text>
        <r>
          <rPr>
            <b/>
            <sz val="9"/>
            <color indexed="81"/>
            <rFont val="Tahoma"/>
            <family val="2"/>
          </rPr>
          <t>Sam Aitchison:</t>
        </r>
        <r>
          <rPr>
            <sz val="9"/>
            <color indexed="81"/>
            <rFont val="Tahoma"/>
            <family val="2"/>
          </rPr>
          <t xml:space="preserve">
680031831</t>
        </r>
      </text>
    </comment>
    <comment ref="AD22" authorId="0" shapeId="0" xr:uid="{91541F36-F3CF-4636-B87D-7B6671AF0608}">
      <text>
        <r>
          <rPr>
            <b/>
            <sz val="9"/>
            <color indexed="81"/>
            <rFont val="Tahoma"/>
            <family val="2"/>
          </rPr>
          <t>Natasha Worrall:</t>
        </r>
        <r>
          <rPr>
            <sz val="9"/>
            <color indexed="81"/>
            <rFont val="Tahoma"/>
            <family val="2"/>
          </rPr>
          <t xml:space="preserve">
680036521</t>
        </r>
      </text>
    </comment>
    <comment ref="AE22" authorId="1" shapeId="0" xr:uid="{2E37A202-56F7-4BCE-9654-D8FF65A758C8}">
      <text>
        <r>
          <rPr>
            <b/>
            <sz val="9"/>
            <color indexed="81"/>
            <rFont val="Tahoma"/>
            <family val="2"/>
          </rPr>
          <t>Sam Aitchison:</t>
        </r>
        <r>
          <rPr>
            <sz val="9"/>
            <color indexed="81"/>
            <rFont val="Tahoma"/>
            <family val="2"/>
          </rPr>
          <t xml:space="preserve">
Inovice: 680039159</t>
        </r>
      </text>
    </comment>
    <comment ref="AF22" authorId="0" shapeId="0" xr:uid="{AE6C6707-5C38-4D36-82D0-7C1D8DC74E99}">
      <text>
        <r>
          <rPr>
            <b/>
            <sz val="9"/>
            <color indexed="81"/>
            <rFont val="Tahoma"/>
            <family val="2"/>
          </rPr>
          <t>Natasha Worrall:</t>
        </r>
        <r>
          <rPr>
            <sz val="9"/>
            <color indexed="81"/>
            <rFont val="Tahoma"/>
            <family val="2"/>
          </rPr>
          <t xml:space="preserve">
680042015</t>
        </r>
      </text>
    </comment>
    <comment ref="AG22" authorId="1" shapeId="0" xr:uid="{DDD7CC48-F9D6-4F3A-9F5A-BA15646E7C9E}">
      <text>
        <r>
          <rPr>
            <b/>
            <sz val="9"/>
            <color indexed="81"/>
            <rFont val="Tahoma"/>
            <family val="2"/>
          </rPr>
          <t>Sam Aitchison:</t>
        </r>
        <r>
          <rPr>
            <sz val="9"/>
            <color indexed="81"/>
            <rFont val="Tahoma"/>
            <family val="2"/>
          </rPr>
          <t xml:space="preserve">
Invoice 680044281</t>
        </r>
      </text>
    </comment>
    <comment ref="F24" authorId="1" shapeId="0" xr:uid="{7EB22840-08F7-4C75-90C1-81BAA69CDE61}">
      <text>
        <r>
          <rPr>
            <b/>
            <sz val="9"/>
            <color indexed="81"/>
            <rFont val="Tahoma"/>
            <family val="2"/>
          </rPr>
          <t>Sam Aitchison:</t>
        </r>
        <r>
          <rPr>
            <sz val="9"/>
            <color indexed="81"/>
            <rFont val="Tahoma"/>
            <family val="2"/>
          </rPr>
          <t xml:space="preserve">
Original + CO5 part</t>
        </r>
      </text>
    </comment>
    <comment ref="W24" authorId="0" shapeId="0" xr:uid="{D0296F79-160C-4346-A8A1-0CE879EF2EEE}">
      <text>
        <r>
          <rPr>
            <b/>
            <sz val="9"/>
            <color indexed="81"/>
            <rFont val="Tahoma"/>
            <family val="2"/>
          </rPr>
          <t>Natasha Worrall:</t>
        </r>
        <r>
          <rPr>
            <sz val="9"/>
            <color indexed="81"/>
            <rFont val="Tahoma"/>
            <family val="2"/>
          </rPr>
          <t xml:space="preserve">
680018394</t>
        </r>
      </text>
    </comment>
    <comment ref="AA24" authorId="0" shapeId="0" xr:uid="{84374A62-5ECE-4590-BE19-ACB6B7C1A751}">
      <text>
        <r>
          <rPr>
            <b/>
            <sz val="9"/>
            <color indexed="81"/>
            <rFont val="Tahoma"/>
            <family val="2"/>
          </rPr>
          <t>Natasha Worrall:</t>
        </r>
        <r>
          <rPr>
            <sz val="9"/>
            <color indexed="81"/>
            <rFont val="Tahoma"/>
            <family val="2"/>
          </rPr>
          <t xml:space="preserve">
680029334 </t>
        </r>
      </text>
    </comment>
    <comment ref="AB24" authorId="0" shapeId="0" xr:uid="{1D1306EA-50FA-4E7F-8772-62022D00490F}">
      <text>
        <r>
          <rPr>
            <b/>
            <sz val="9"/>
            <color indexed="81"/>
            <rFont val="Tahoma"/>
            <family val="2"/>
          </rPr>
          <t>Natasha Worrall:</t>
        </r>
        <r>
          <rPr>
            <sz val="9"/>
            <color indexed="81"/>
            <rFont val="Tahoma"/>
            <family val="2"/>
          </rPr>
          <t xml:space="preserve">
680031831</t>
        </r>
      </text>
    </comment>
    <comment ref="AC24" authorId="1" shapeId="0" xr:uid="{317B6C60-5607-46D6-9BE7-313A18863AD8}">
      <text>
        <r>
          <rPr>
            <b/>
            <sz val="9"/>
            <color indexed="81"/>
            <rFont val="Tahoma"/>
            <family val="2"/>
          </rPr>
          <t>Sam Aitchison:</t>
        </r>
        <r>
          <rPr>
            <sz val="9"/>
            <color indexed="81"/>
            <rFont val="Tahoma"/>
            <family val="2"/>
          </rPr>
          <t xml:space="preserve">
680031831
</t>
        </r>
      </text>
    </comment>
    <comment ref="AD24" authorId="0" shapeId="0" xr:uid="{61D9FFE7-8D12-4295-A81C-DF6D7E195EFA}">
      <text>
        <r>
          <rPr>
            <b/>
            <sz val="9"/>
            <color indexed="81"/>
            <rFont val="Tahoma"/>
            <family val="2"/>
          </rPr>
          <t>Natasha Worrall:</t>
        </r>
        <r>
          <rPr>
            <sz val="9"/>
            <color indexed="81"/>
            <rFont val="Tahoma"/>
            <family val="2"/>
          </rPr>
          <t xml:space="preserve">
680036521</t>
        </r>
      </text>
    </comment>
    <comment ref="AF24" authorId="0" shapeId="0" xr:uid="{677AF7E2-A1C3-4F01-9D74-2A1B35470780}">
      <text>
        <r>
          <rPr>
            <b/>
            <sz val="9"/>
            <color indexed="81"/>
            <rFont val="Tahoma"/>
            <family val="2"/>
          </rPr>
          <t>Natasha Worrall:</t>
        </r>
        <r>
          <rPr>
            <sz val="9"/>
            <color indexed="81"/>
            <rFont val="Tahoma"/>
            <family val="2"/>
          </rPr>
          <t xml:space="preserve">
680042015</t>
        </r>
      </text>
    </comment>
    <comment ref="AG24" authorId="1" shapeId="0" xr:uid="{DD92EBA6-D5AC-4B2F-AC3F-230ECAE85327}">
      <text>
        <r>
          <rPr>
            <b/>
            <sz val="9"/>
            <color indexed="81"/>
            <rFont val="Tahoma"/>
            <family val="2"/>
          </rPr>
          <t>Sam Aitchison:</t>
        </r>
        <r>
          <rPr>
            <sz val="9"/>
            <color indexed="81"/>
            <rFont val="Tahoma"/>
            <family val="2"/>
          </rPr>
          <t xml:space="preserve">
Invoice 680044281</t>
        </r>
      </text>
    </comment>
    <comment ref="F25" authorId="1" shapeId="0" xr:uid="{77417E1C-5FA8-48CC-9329-7D8045000FC2}">
      <text>
        <r>
          <rPr>
            <b/>
            <sz val="9"/>
            <color indexed="81"/>
            <rFont val="Tahoma"/>
            <family val="2"/>
          </rPr>
          <t>Sam Aitchison:</t>
        </r>
        <r>
          <rPr>
            <sz val="9"/>
            <color indexed="81"/>
            <rFont val="Tahoma"/>
            <family val="2"/>
          </rPr>
          <t xml:space="preserve">
Original+CO3A+CO3D
</t>
        </r>
      </text>
    </comment>
    <comment ref="W25" authorId="0" shapeId="0" xr:uid="{22546BC5-F341-468E-B5EB-55A17B27D160}">
      <text>
        <r>
          <rPr>
            <b/>
            <sz val="9"/>
            <color indexed="81"/>
            <rFont val="Tahoma"/>
            <family val="2"/>
          </rPr>
          <t>Natasha Worrall:</t>
        </r>
        <r>
          <rPr>
            <sz val="9"/>
            <color indexed="81"/>
            <rFont val="Tahoma"/>
            <family val="2"/>
          </rPr>
          <t xml:space="preserve">
680018394</t>
        </r>
      </text>
    </comment>
    <comment ref="AA25" authorId="0" shapeId="0" xr:uid="{279D4A50-8172-4A87-A668-B716EFA52634}">
      <text>
        <r>
          <rPr>
            <b/>
            <sz val="9"/>
            <color indexed="81"/>
            <rFont val="Tahoma"/>
            <family val="2"/>
          </rPr>
          <t>Natasha Worrall:</t>
        </r>
        <r>
          <rPr>
            <sz val="9"/>
            <color indexed="81"/>
            <rFont val="Tahoma"/>
            <family val="2"/>
          </rPr>
          <t xml:space="preserve">
680029334 </t>
        </r>
      </text>
    </comment>
    <comment ref="AB25" authorId="0" shapeId="0" xr:uid="{617ABEBD-ADDE-4A7E-AD31-3220B1ADE86C}">
      <text>
        <r>
          <rPr>
            <b/>
            <sz val="9"/>
            <color indexed="81"/>
            <rFont val="Tahoma"/>
            <family val="2"/>
          </rPr>
          <t>Natasha Worrall:</t>
        </r>
        <r>
          <rPr>
            <sz val="9"/>
            <color indexed="81"/>
            <rFont val="Tahoma"/>
            <family val="2"/>
          </rPr>
          <t xml:space="preserve">
680031831</t>
        </r>
      </text>
    </comment>
    <comment ref="AC25" authorId="1" shapeId="0" xr:uid="{7A782FBF-D093-4ADA-8962-731E936559B6}">
      <text>
        <r>
          <rPr>
            <b/>
            <sz val="9"/>
            <color indexed="81"/>
            <rFont val="Tahoma"/>
            <family val="2"/>
          </rPr>
          <t>Sam Aitchison:</t>
        </r>
        <r>
          <rPr>
            <sz val="9"/>
            <color indexed="81"/>
            <rFont val="Tahoma"/>
            <family val="2"/>
          </rPr>
          <t xml:space="preserve">
680031831
</t>
        </r>
      </text>
    </comment>
    <comment ref="AD25" authorId="0" shapeId="0" xr:uid="{75D0B299-4606-457B-90AD-7860A933AD68}">
      <text>
        <r>
          <rPr>
            <b/>
            <sz val="9"/>
            <color indexed="81"/>
            <rFont val="Tahoma"/>
            <family val="2"/>
          </rPr>
          <t>Natasha Worrall:</t>
        </r>
        <r>
          <rPr>
            <sz val="9"/>
            <color indexed="81"/>
            <rFont val="Tahoma"/>
            <family val="2"/>
          </rPr>
          <t xml:space="preserve">
680036521</t>
        </r>
      </text>
    </comment>
    <comment ref="AE25" authorId="1" shapeId="0" xr:uid="{427C2526-9F24-45DA-A662-8C919A984102}">
      <text>
        <r>
          <rPr>
            <b/>
            <sz val="9"/>
            <color indexed="81"/>
            <rFont val="Tahoma"/>
            <family val="2"/>
          </rPr>
          <t>Sam Aitchison:</t>
        </r>
        <r>
          <rPr>
            <sz val="9"/>
            <color indexed="81"/>
            <rFont val="Tahoma"/>
            <family val="2"/>
          </rPr>
          <t xml:space="preserve">
Inovice: 680039159</t>
        </r>
      </text>
    </comment>
    <comment ref="AF25" authorId="0" shapeId="0" xr:uid="{67A9965B-B718-4F7F-BB28-277C52E546E4}">
      <text>
        <r>
          <rPr>
            <b/>
            <sz val="9"/>
            <color indexed="81"/>
            <rFont val="Tahoma"/>
            <family val="2"/>
          </rPr>
          <t>Natasha Worrall:</t>
        </r>
        <r>
          <rPr>
            <sz val="9"/>
            <color indexed="81"/>
            <rFont val="Tahoma"/>
            <family val="2"/>
          </rPr>
          <t xml:space="preserve">
680042015</t>
        </r>
      </text>
    </comment>
    <comment ref="AG25" authorId="1" shapeId="0" xr:uid="{3F173C17-A6FA-476D-ABFD-856D06DE8974}">
      <text>
        <r>
          <rPr>
            <b/>
            <sz val="9"/>
            <color indexed="81"/>
            <rFont val="Tahoma"/>
            <family val="2"/>
          </rPr>
          <t>Sam Aitchison:</t>
        </r>
        <r>
          <rPr>
            <sz val="9"/>
            <color indexed="81"/>
            <rFont val="Tahoma"/>
            <family val="2"/>
          </rPr>
          <t xml:space="preserve">
Invoice 680044281</t>
        </r>
      </text>
    </comment>
    <comment ref="F26" authorId="1" shapeId="0" xr:uid="{E12CCE72-8FD6-4877-95F0-40AD210D4350}">
      <text>
        <r>
          <rPr>
            <b/>
            <sz val="9"/>
            <color indexed="81"/>
            <rFont val="Tahoma"/>
            <family val="2"/>
          </rPr>
          <t>Sam Aitchison:</t>
        </r>
        <r>
          <rPr>
            <sz val="9"/>
            <color indexed="81"/>
            <rFont val="Tahoma"/>
            <family val="2"/>
          </rPr>
          <t xml:space="preserve">
Change Order 3B</t>
        </r>
      </text>
    </comment>
    <comment ref="AE26" authorId="1" shapeId="0" xr:uid="{5FF074BA-8A2D-4D14-924D-BC37A874E3D2}">
      <text>
        <r>
          <rPr>
            <b/>
            <sz val="9"/>
            <color indexed="81"/>
            <rFont val="Tahoma"/>
            <family val="2"/>
          </rPr>
          <t>Sam Aitchison:</t>
        </r>
        <r>
          <rPr>
            <sz val="9"/>
            <color indexed="81"/>
            <rFont val="Tahoma"/>
            <family val="2"/>
          </rPr>
          <t xml:space="preserve">
Inovice: 680039159</t>
        </r>
      </text>
    </comment>
    <comment ref="W27" authorId="0" shapeId="0" xr:uid="{BC974414-C48D-4F7E-84BD-9A92B4C35857}">
      <text>
        <r>
          <rPr>
            <b/>
            <sz val="9"/>
            <color indexed="81"/>
            <rFont val="Tahoma"/>
            <family val="2"/>
          </rPr>
          <t>Natasha Worrall:</t>
        </r>
        <r>
          <rPr>
            <sz val="9"/>
            <color indexed="81"/>
            <rFont val="Tahoma"/>
            <family val="2"/>
          </rPr>
          <t xml:space="preserve">
040641
First part of geophys survey and report </t>
        </r>
      </text>
    </comment>
    <comment ref="Y27" authorId="0" shapeId="0" xr:uid="{40023667-3CDE-4FBD-8682-25D80D686881}">
      <text>
        <r>
          <rPr>
            <b/>
            <sz val="9"/>
            <color indexed="81"/>
            <rFont val="Tahoma"/>
            <family val="2"/>
          </rPr>
          <t>Natasha Worrall:</t>
        </r>
        <r>
          <rPr>
            <sz val="9"/>
            <color indexed="81"/>
            <rFont val="Tahoma"/>
            <family val="2"/>
          </rPr>
          <t xml:space="preserve">
INV041194</t>
        </r>
      </text>
    </comment>
    <comment ref="AB27" authorId="0" shapeId="0" xr:uid="{7DDE80A5-9077-4C57-B30B-EEECDC040E6A}">
      <text>
        <r>
          <rPr>
            <b/>
            <sz val="9"/>
            <color indexed="81"/>
            <rFont val="Tahoma"/>
            <family val="2"/>
          </rPr>
          <t>Natasha Worrall:</t>
        </r>
        <r>
          <rPr>
            <sz val="9"/>
            <color indexed="81"/>
            <rFont val="Tahoma"/>
            <family val="2"/>
          </rPr>
          <t xml:space="preserve">
INV041704</t>
        </r>
      </text>
    </comment>
    <comment ref="W28" authorId="0" shapeId="0" xr:uid="{3A44646E-031F-4145-BF41-7A506C78ACB8}">
      <text>
        <r>
          <rPr>
            <b/>
            <sz val="9"/>
            <color indexed="81"/>
            <rFont val="Tahoma"/>
            <family val="2"/>
          </rPr>
          <t>Natasha Worrall:</t>
        </r>
        <r>
          <rPr>
            <sz val="9"/>
            <color indexed="81"/>
            <rFont val="Tahoma"/>
            <family val="2"/>
          </rPr>
          <t xml:space="preserve">
35418</t>
        </r>
      </text>
    </comment>
    <comment ref="X28" authorId="0" shapeId="0" xr:uid="{6CEC80BA-0E42-448D-A3F9-64D91294B8CF}">
      <text>
        <r>
          <rPr>
            <b/>
            <sz val="9"/>
            <color indexed="81"/>
            <rFont val="Tahoma"/>
            <family val="2"/>
          </rPr>
          <t>Natasha Worrall:</t>
        </r>
        <r>
          <rPr>
            <sz val="9"/>
            <color indexed="81"/>
            <rFont val="Tahoma"/>
            <family val="2"/>
          </rPr>
          <t xml:space="preserve">
35824</t>
        </r>
      </text>
    </comment>
    <comment ref="Y28" authorId="0" shapeId="0" xr:uid="{2E80C9DA-E3FF-40C2-98BA-50C883F50F9E}">
      <text>
        <r>
          <rPr>
            <b/>
            <sz val="9"/>
            <color indexed="81"/>
            <rFont val="Tahoma"/>
            <family val="2"/>
          </rPr>
          <t>Natasha Worrall:</t>
        </r>
        <r>
          <rPr>
            <sz val="9"/>
            <color indexed="81"/>
            <rFont val="Tahoma"/>
            <family val="2"/>
          </rPr>
          <t xml:space="preserve">
35825
</t>
        </r>
      </text>
    </comment>
    <comment ref="F29" authorId="1" shapeId="0" xr:uid="{1CD9E804-8EE0-4BE2-970C-456F5F431546}">
      <text>
        <r>
          <rPr>
            <b/>
            <sz val="9"/>
            <color indexed="81"/>
            <rFont val="Tahoma"/>
            <family val="2"/>
          </rPr>
          <t>Sam Aitchison:</t>
        </r>
        <r>
          <rPr>
            <sz val="9"/>
            <color indexed="81"/>
            <rFont val="Tahoma"/>
            <family val="2"/>
          </rPr>
          <t xml:space="preserve">
8212+8414+8771+8743+82123-ES Chapter</t>
        </r>
      </text>
    </comment>
    <comment ref="G29" authorId="1" shapeId="0" xr:uid="{EDFCB48E-B56D-4FEC-ADB2-625BE3FD50E9}">
      <text>
        <r>
          <rPr>
            <b/>
            <sz val="9"/>
            <color indexed="81"/>
            <rFont val="Tahoma"/>
            <family val="2"/>
          </rPr>
          <t>Sam Aitchison:</t>
        </r>
        <r>
          <rPr>
            <sz val="9"/>
            <color indexed="81"/>
            <rFont val="Tahoma"/>
            <family val="2"/>
          </rPr>
          <t xml:space="preserve">
£5,180 saving from quote based on lineitems</t>
        </r>
      </text>
    </comment>
    <comment ref="W29" authorId="0" shapeId="0" xr:uid="{33503F80-EFC3-47A6-9434-B14D76AC1487}">
      <text>
        <r>
          <rPr>
            <b/>
            <sz val="9"/>
            <color indexed="81"/>
            <rFont val="Tahoma"/>
            <family val="2"/>
          </rPr>
          <t>Natasha Worrall:</t>
        </r>
        <r>
          <rPr>
            <sz val="9"/>
            <color indexed="81"/>
            <rFont val="Tahoma"/>
            <family val="2"/>
          </rPr>
          <t xml:space="preserve">
82121</t>
        </r>
      </text>
    </comment>
    <comment ref="Y29" authorId="1" shapeId="0" xr:uid="{03F127D0-7933-4B7C-B7FE-1DF9F636AA48}">
      <text>
        <r>
          <rPr>
            <b/>
            <sz val="9"/>
            <color indexed="81"/>
            <rFont val="Tahoma"/>
            <family val="2"/>
          </rPr>
          <t>Sam Aitchison:</t>
        </r>
        <r>
          <rPr>
            <sz val="9"/>
            <color indexed="81"/>
            <rFont val="Tahoma"/>
            <family val="2"/>
          </rPr>
          <t xml:space="preserve">
8414</t>
        </r>
      </text>
    </comment>
    <comment ref="AF29" authorId="1" shapeId="0" xr:uid="{82EA4662-23F8-445C-BD8B-6DEA5B413BFD}">
      <text>
        <r>
          <rPr>
            <b/>
            <sz val="9"/>
            <color indexed="81"/>
            <rFont val="Tahoma"/>
            <family val="2"/>
          </rPr>
          <t>Sam Aitchison:</t>
        </r>
        <r>
          <rPr>
            <sz val="9"/>
            <color indexed="81"/>
            <rFont val="Tahoma"/>
            <family val="2"/>
          </rPr>
          <t xml:space="preserve">
82123
PO000385</t>
        </r>
      </text>
    </comment>
    <comment ref="AH29" authorId="1" shapeId="0" xr:uid="{5226641B-1234-4F90-971A-7959DA359B88}">
      <text>
        <r>
          <rPr>
            <b/>
            <sz val="9"/>
            <color indexed="81"/>
            <rFont val="Tahoma"/>
            <family val="2"/>
          </rPr>
          <t>Sam Aitchison:</t>
        </r>
        <r>
          <rPr>
            <sz val="9"/>
            <color indexed="81"/>
            <rFont val="Tahoma"/>
            <family val="2"/>
          </rPr>
          <t xml:space="preserve">
8771+87431
PO000565+PO000616</t>
        </r>
      </text>
    </comment>
    <comment ref="AI29" authorId="1" shapeId="0" xr:uid="{74B2A180-416B-4858-8833-B46BA8098F43}">
      <text>
        <r>
          <rPr>
            <b/>
            <sz val="9"/>
            <color indexed="81"/>
            <rFont val="Tahoma"/>
            <family val="2"/>
          </rPr>
          <t>Sam Aitchison:</t>
        </r>
        <r>
          <rPr>
            <sz val="9"/>
            <color indexed="81"/>
            <rFont val="Tahoma"/>
            <family val="2"/>
          </rPr>
          <t xml:space="preserve">
8212
PO000840</t>
        </r>
      </text>
    </comment>
    <comment ref="F30" authorId="1" shapeId="0" xr:uid="{6AB5963E-1C4E-4A0A-B442-F41AB3DB8600}">
      <text>
        <r>
          <rPr>
            <b/>
            <sz val="9"/>
            <color indexed="81"/>
            <rFont val="Tahoma"/>
            <family val="2"/>
          </rPr>
          <t>Sam Aitchison:</t>
        </r>
        <r>
          <rPr>
            <sz val="9"/>
            <color indexed="81"/>
            <rFont val="Tahoma"/>
            <family val="2"/>
          </rPr>
          <t xml:space="preserve">
Appriasal+Access Drawings+CTMP</t>
        </r>
      </text>
    </comment>
    <comment ref="W30" authorId="0" shapeId="0" xr:uid="{C2366A8A-8915-442E-A7E8-03843B59B290}">
      <text>
        <r>
          <rPr>
            <b/>
            <sz val="9"/>
            <color indexed="81"/>
            <rFont val="Tahoma"/>
            <family val="2"/>
          </rPr>
          <t>Natasha Worrall:</t>
        </r>
        <r>
          <rPr>
            <sz val="9"/>
            <color indexed="81"/>
            <rFont val="Tahoma"/>
            <family val="2"/>
          </rPr>
          <t xml:space="preserve">
680018394</t>
        </r>
      </text>
    </comment>
    <comment ref="AA30" authorId="0" shapeId="0" xr:uid="{F6DDF633-BB1E-45F8-A2D7-43566BD8574D}">
      <text>
        <r>
          <rPr>
            <b/>
            <sz val="9"/>
            <color indexed="81"/>
            <rFont val="Tahoma"/>
            <family val="2"/>
          </rPr>
          <t>Natasha Worrall:</t>
        </r>
        <r>
          <rPr>
            <sz val="9"/>
            <color indexed="81"/>
            <rFont val="Tahoma"/>
            <family val="2"/>
          </rPr>
          <t xml:space="preserve">
680029334 </t>
        </r>
      </text>
    </comment>
    <comment ref="AB30" authorId="0" shapeId="0" xr:uid="{89E84021-80C0-40E4-AEAE-5E75B4D7BC59}">
      <text>
        <r>
          <rPr>
            <b/>
            <sz val="9"/>
            <color indexed="81"/>
            <rFont val="Tahoma"/>
            <family val="2"/>
          </rPr>
          <t>Natasha Worrall:</t>
        </r>
        <r>
          <rPr>
            <sz val="9"/>
            <color indexed="81"/>
            <rFont val="Tahoma"/>
            <family val="2"/>
          </rPr>
          <t xml:space="preserve">
680031831</t>
        </r>
      </text>
    </comment>
    <comment ref="AC30" authorId="1" shapeId="0" xr:uid="{10522D9F-041B-4D33-B90C-457A203D6F42}">
      <text>
        <r>
          <rPr>
            <b/>
            <sz val="9"/>
            <color indexed="81"/>
            <rFont val="Tahoma"/>
            <family val="2"/>
          </rPr>
          <t>Sam Aitchison:</t>
        </r>
        <r>
          <rPr>
            <sz val="9"/>
            <color indexed="81"/>
            <rFont val="Tahoma"/>
            <family val="2"/>
          </rPr>
          <t xml:space="preserve">
680031831
</t>
        </r>
      </text>
    </comment>
    <comment ref="AD30" authorId="0" shapeId="0" xr:uid="{76417811-A1CE-4205-BA93-FB4936A32363}">
      <text>
        <r>
          <rPr>
            <b/>
            <sz val="9"/>
            <color indexed="81"/>
            <rFont val="Tahoma"/>
            <family val="2"/>
          </rPr>
          <t>Natasha Worrall:</t>
        </r>
        <r>
          <rPr>
            <sz val="9"/>
            <color indexed="81"/>
            <rFont val="Tahoma"/>
            <family val="2"/>
          </rPr>
          <t xml:space="preserve">
680036521</t>
        </r>
      </text>
    </comment>
    <comment ref="AE30" authorId="1" shapeId="0" xr:uid="{71D51033-0BDB-41D7-A0F2-BAC595B32988}">
      <text>
        <r>
          <rPr>
            <b/>
            <sz val="9"/>
            <color indexed="81"/>
            <rFont val="Tahoma"/>
            <family val="2"/>
          </rPr>
          <t>Sam Aitchison:</t>
        </r>
        <r>
          <rPr>
            <sz val="9"/>
            <color indexed="81"/>
            <rFont val="Tahoma"/>
            <family val="2"/>
          </rPr>
          <t xml:space="preserve">
Inovice: 680039159</t>
        </r>
      </text>
    </comment>
    <comment ref="AF30" authorId="0" shapeId="0" xr:uid="{4DEC3A03-3AC3-4EFF-9A4F-E1BA89168210}">
      <text>
        <r>
          <rPr>
            <b/>
            <sz val="9"/>
            <color indexed="81"/>
            <rFont val="Tahoma"/>
            <family val="2"/>
          </rPr>
          <t>Natasha Worrall:</t>
        </r>
        <r>
          <rPr>
            <sz val="9"/>
            <color indexed="81"/>
            <rFont val="Tahoma"/>
            <family val="2"/>
          </rPr>
          <t xml:space="preserve">
680042015</t>
        </r>
      </text>
    </comment>
    <comment ref="AG30" authorId="1" shapeId="0" xr:uid="{97149575-A2FA-45A6-B20C-8FB868F16FED}">
      <text>
        <r>
          <rPr>
            <b/>
            <sz val="9"/>
            <color indexed="81"/>
            <rFont val="Tahoma"/>
            <family val="2"/>
          </rPr>
          <t>Sam Aitchison:</t>
        </r>
        <r>
          <rPr>
            <sz val="9"/>
            <color indexed="81"/>
            <rFont val="Tahoma"/>
            <family val="2"/>
          </rPr>
          <t xml:space="preserve">
Invoice 680044281</t>
        </r>
      </text>
    </comment>
    <comment ref="W32" authorId="0" shapeId="0" xr:uid="{747A3EDC-800F-4A4D-9084-EF8CB17D79DF}">
      <text>
        <r>
          <rPr>
            <b/>
            <sz val="9"/>
            <color indexed="81"/>
            <rFont val="Tahoma"/>
            <family val="2"/>
          </rPr>
          <t>Natasha Worrall:</t>
        </r>
        <r>
          <rPr>
            <sz val="9"/>
            <color indexed="81"/>
            <rFont val="Tahoma"/>
            <family val="2"/>
          </rPr>
          <t xml:space="preserve">
680018394</t>
        </r>
      </text>
    </comment>
    <comment ref="AB32" authorId="0" shapeId="0" xr:uid="{FA6EDD4F-DDDD-4109-B10B-6D6F3B66F622}">
      <text>
        <r>
          <rPr>
            <b/>
            <sz val="9"/>
            <color indexed="81"/>
            <rFont val="Tahoma"/>
            <family val="2"/>
          </rPr>
          <t>Natasha Worrall:</t>
        </r>
        <r>
          <rPr>
            <sz val="9"/>
            <color indexed="81"/>
            <rFont val="Tahoma"/>
            <family val="2"/>
          </rPr>
          <t xml:space="preserve">
680031831</t>
        </r>
      </text>
    </comment>
    <comment ref="AC32" authorId="1" shapeId="0" xr:uid="{10DB72CA-8A80-46CF-B169-28FB28129174}">
      <text>
        <r>
          <rPr>
            <b/>
            <sz val="9"/>
            <color indexed="81"/>
            <rFont val="Tahoma"/>
            <family val="2"/>
          </rPr>
          <t>Sam Aitchison:</t>
        </r>
        <r>
          <rPr>
            <sz val="9"/>
            <color indexed="81"/>
            <rFont val="Tahoma"/>
            <family val="2"/>
          </rPr>
          <t xml:space="preserve">
680031831
</t>
        </r>
      </text>
    </comment>
    <comment ref="AD32" authorId="0" shapeId="0" xr:uid="{8D3588D8-542E-47A7-8F84-3559618C8E02}">
      <text>
        <r>
          <rPr>
            <b/>
            <sz val="9"/>
            <color indexed="81"/>
            <rFont val="Tahoma"/>
            <family val="2"/>
          </rPr>
          <t>Natasha Worrall:</t>
        </r>
        <r>
          <rPr>
            <sz val="9"/>
            <color indexed="81"/>
            <rFont val="Tahoma"/>
            <family val="2"/>
          </rPr>
          <t xml:space="preserve">
680036521</t>
        </r>
      </text>
    </comment>
    <comment ref="AG32" authorId="1" shapeId="0" xr:uid="{A97B82AB-2314-4A00-B68C-D3B21AF1947D}">
      <text>
        <r>
          <rPr>
            <b/>
            <sz val="9"/>
            <color indexed="81"/>
            <rFont val="Tahoma"/>
            <family val="2"/>
          </rPr>
          <t>Sam Aitchison:</t>
        </r>
        <r>
          <rPr>
            <sz val="9"/>
            <color indexed="81"/>
            <rFont val="Tahoma"/>
            <family val="2"/>
          </rPr>
          <t xml:space="preserve">
Invoice 680044281</t>
        </r>
      </text>
    </comment>
    <comment ref="W33" authorId="0" shapeId="0" xr:uid="{648B1F8A-E47A-4DC8-AE7F-B754C4EFADB5}">
      <text>
        <r>
          <rPr>
            <b/>
            <sz val="9"/>
            <color indexed="81"/>
            <rFont val="Tahoma"/>
            <family val="2"/>
          </rPr>
          <t>Natasha Worrall:</t>
        </r>
        <r>
          <rPr>
            <sz val="9"/>
            <color indexed="81"/>
            <rFont val="Tahoma"/>
            <family val="2"/>
          </rPr>
          <t xml:space="preserve">
Upfront payment agreed due to Welby SPV age
</t>
        </r>
      </text>
    </comment>
    <comment ref="Y33" authorId="0" shapeId="0" xr:uid="{5B584DB0-CF3B-4507-9ADB-43AB96B7D78D}">
      <text>
        <r>
          <rPr>
            <b/>
            <sz val="9"/>
            <color indexed="81"/>
            <rFont val="Tahoma"/>
            <family val="2"/>
          </rPr>
          <t>Natasha Worrall:</t>
        </r>
        <r>
          <rPr>
            <sz val="9"/>
            <color indexed="81"/>
            <rFont val="Tahoma"/>
            <family val="2"/>
          </rPr>
          <t xml:space="preserve">
709309 
Additional cost for resting angle assessment</t>
        </r>
      </text>
    </comment>
    <comment ref="AE33" authorId="0" shapeId="0" xr:uid="{BA37777B-6B5C-4348-B7BB-109B9161B349}">
      <text>
        <r>
          <rPr>
            <b/>
            <sz val="9"/>
            <color indexed="81"/>
            <rFont val="Tahoma"/>
            <family val="2"/>
          </rPr>
          <t>Natasha Worrall:</t>
        </r>
        <r>
          <rPr>
            <sz val="9"/>
            <color indexed="81"/>
            <rFont val="Tahoma"/>
            <family val="2"/>
          </rPr>
          <t xml:space="preserve">
Remodel to remove central field
709643</t>
        </r>
      </text>
    </comment>
    <comment ref="F34" authorId="1" shapeId="0" xr:uid="{D3A8CDA5-AF9C-4BF1-A074-39A4AEF7BA06}">
      <text>
        <r>
          <rPr>
            <b/>
            <sz val="9"/>
            <color indexed="81"/>
            <rFont val="Tahoma"/>
            <family val="2"/>
          </rPr>
          <t>Sam Aitchison:</t>
        </r>
        <r>
          <rPr>
            <sz val="9"/>
            <color indexed="81"/>
            <rFont val="Tahoma"/>
            <family val="2"/>
          </rPr>
          <t xml:space="preserve">
Original + CO5 (Part)</t>
        </r>
      </text>
    </comment>
    <comment ref="W34" authorId="0" shapeId="0" xr:uid="{217BD5E6-45D1-4771-ABFE-BE62402A3C01}">
      <text>
        <r>
          <rPr>
            <b/>
            <sz val="9"/>
            <color indexed="81"/>
            <rFont val="Tahoma"/>
            <family val="2"/>
          </rPr>
          <t>Natasha Worrall:</t>
        </r>
        <r>
          <rPr>
            <sz val="9"/>
            <color indexed="81"/>
            <rFont val="Tahoma"/>
            <family val="2"/>
          </rPr>
          <t xml:space="preserve">
</t>
        </r>
      </text>
    </comment>
    <comment ref="AA34" authorId="0" shapeId="0" xr:uid="{6F233D18-DF9C-41BD-885A-8E050BEFA563}">
      <text>
        <r>
          <rPr>
            <b/>
            <sz val="9"/>
            <color indexed="81"/>
            <rFont val="Tahoma"/>
            <family val="2"/>
          </rPr>
          <t>Natasha Worrall:</t>
        </r>
        <r>
          <rPr>
            <sz val="9"/>
            <color indexed="81"/>
            <rFont val="Tahoma"/>
            <family val="2"/>
          </rPr>
          <t xml:space="preserve">
680029334 </t>
        </r>
      </text>
    </comment>
    <comment ref="AB34" authorId="0" shapeId="0" xr:uid="{1F4C1DED-B593-4ABF-A8BB-62EE57B05105}">
      <text>
        <r>
          <rPr>
            <b/>
            <sz val="9"/>
            <color indexed="81"/>
            <rFont val="Tahoma"/>
            <family val="2"/>
          </rPr>
          <t>Natasha Worrall:</t>
        </r>
        <r>
          <rPr>
            <sz val="9"/>
            <color indexed="81"/>
            <rFont val="Tahoma"/>
            <family val="2"/>
          </rPr>
          <t xml:space="preserve">
680031831</t>
        </r>
      </text>
    </comment>
    <comment ref="AC34" authorId="1" shapeId="0" xr:uid="{FD3FF495-C963-4F88-97DC-1DADC94148A9}">
      <text>
        <r>
          <rPr>
            <b/>
            <sz val="9"/>
            <color indexed="81"/>
            <rFont val="Tahoma"/>
            <family val="2"/>
          </rPr>
          <t>Sam Aitchison:</t>
        </r>
        <r>
          <rPr>
            <sz val="9"/>
            <color indexed="81"/>
            <rFont val="Tahoma"/>
            <family val="2"/>
          </rPr>
          <t xml:space="preserve">
680031831
</t>
        </r>
      </text>
    </comment>
    <comment ref="AD34" authorId="0" shapeId="0" xr:uid="{D210006D-B1D7-41BF-A902-4EA9A46DD628}">
      <text>
        <r>
          <rPr>
            <b/>
            <sz val="9"/>
            <color indexed="81"/>
            <rFont val="Tahoma"/>
            <family val="2"/>
          </rPr>
          <t>Natasha Worrall:</t>
        </r>
        <r>
          <rPr>
            <sz val="9"/>
            <color indexed="81"/>
            <rFont val="Tahoma"/>
            <family val="2"/>
          </rPr>
          <t xml:space="preserve">
680036521</t>
        </r>
      </text>
    </comment>
    <comment ref="AE34" authorId="1" shapeId="0" xr:uid="{4755983B-009E-436D-9226-F1380976EB06}">
      <text>
        <r>
          <rPr>
            <b/>
            <sz val="9"/>
            <color indexed="81"/>
            <rFont val="Tahoma"/>
            <family val="2"/>
          </rPr>
          <t>Sam Aitchison:</t>
        </r>
        <r>
          <rPr>
            <sz val="9"/>
            <color indexed="81"/>
            <rFont val="Tahoma"/>
            <family val="2"/>
          </rPr>
          <t xml:space="preserve">
Inovice: 680039159</t>
        </r>
      </text>
    </comment>
    <comment ref="AF34" authorId="0" shapeId="0" xr:uid="{87102B1C-50ED-4DA7-89B7-0BD2601F2DD8}">
      <text>
        <r>
          <rPr>
            <b/>
            <sz val="9"/>
            <color indexed="81"/>
            <rFont val="Tahoma"/>
            <family val="2"/>
          </rPr>
          <t>Natasha Worrall:</t>
        </r>
        <r>
          <rPr>
            <sz val="9"/>
            <color indexed="81"/>
            <rFont val="Tahoma"/>
            <family val="2"/>
          </rPr>
          <t xml:space="preserve">
680042015</t>
        </r>
      </text>
    </comment>
    <comment ref="AG34" authorId="1" shapeId="0" xr:uid="{6C7AFFA8-7E9B-4C88-9742-CA4E24CCB999}">
      <text>
        <r>
          <rPr>
            <b/>
            <sz val="9"/>
            <color indexed="81"/>
            <rFont val="Tahoma"/>
            <family val="2"/>
          </rPr>
          <t>Sam Aitchison:</t>
        </r>
        <r>
          <rPr>
            <sz val="9"/>
            <color indexed="81"/>
            <rFont val="Tahoma"/>
            <family val="2"/>
          </rPr>
          <t xml:space="preserve">
Invoice 680044281</t>
        </r>
      </text>
    </comment>
    <comment ref="Y35" authorId="1" shapeId="0" xr:uid="{2D99B8C8-7D2A-4801-9FC7-B794195F7E4E}">
      <text>
        <r>
          <rPr>
            <b/>
            <sz val="9"/>
            <color indexed="81"/>
            <rFont val="Tahoma"/>
            <family val="2"/>
          </rPr>
          <t>Sam Aitchison:</t>
        </r>
        <r>
          <rPr>
            <sz val="9"/>
            <color indexed="81"/>
            <rFont val="Tahoma"/>
            <family val="2"/>
          </rPr>
          <t xml:space="preserve">
INV-1241</t>
        </r>
      </text>
    </comment>
    <comment ref="F36" authorId="1" shapeId="0" xr:uid="{E7D4AF87-EB94-4063-9F0A-5F0B70EF1CB0}">
      <text>
        <r>
          <rPr>
            <b/>
            <sz val="9"/>
            <color indexed="81"/>
            <rFont val="Tahoma"/>
            <family val="2"/>
          </rPr>
          <t>Sam Aitchison:</t>
        </r>
        <r>
          <rPr>
            <sz val="9"/>
            <color indexed="81"/>
            <rFont val="Tahoma"/>
            <family val="2"/>
          </rPr>
          <t xml:space="preserve">
Original plus one set of mobilisation costs
Potential for increase</t>
        </r>
      </text>
    </comment>
    <comment ref="AE36" authorId="1" shapeId="0" xr:uid="{71A0522D-CBB3-456D-A2E3-1547DB1BEBDD}">
      <text>
        <r>
          <rPr>
            <b/>
            <sz val="9"/>
            <color indexed="81"/>
            <rFont val="Tahoma"/>
            <family val="2"/>
          </rPr>
          <t>Sam Aitchison:</t>
        </r>
        <r>
          <rPr>
            <sz val="9"/>
            <color indexed="81"/>
            <rFont val="Tahoma"/>
            <family val="2"/>
          </rPr>
          <t xml:space="preserve">
INV041803 (WSI)</t>
        </r>
      </text>
    </comment>
    <comment ref="AF36" authorId="0" shapeId="0" xr:uid="{44536D7A-CD3B-4AF7-877A-5D56524797E1}">
      <text>
        <r>
          <rPr>
            <b/>
            <sz val="9"/>
            <color indexed="81"/>
            <rFont val="Tahoma"/>
            <family val="2"/>
          </rPr>
          <t>Natasha Worrall:</t>
        </r>
        <r>
          <rPr>
            <sz val="9"/>
            <color indexed="81"/>
            <rFont val="Tahoma"/>
            <family val="2"/>
          </rPr>
          <t xml:space="preserve">
INV042080
</t>
        </r>
      </text>
    </comment>
    <comment ref="F37" authorId="1" shapeId="0" xr:uid="{10C77B30-A01B-4ECC-8005-0BF4754AA6E9}">
      <text>
        <r>
          <rPr>
            <b/>
            <sz val="9"/>
            <color indexed="81"/>
            <rFont val="Tahoma"/>
            <family val="2"/>
          </rPr>
          <t>Sam Aitchison:</t>
        </r>
        <r>
          <rPr>
            <sz val="9"/>
            <color indexed="81"/>
            <rFont val="Tahoma"/>
            <family val="2"/>
          </rPr>
          <t xml:space="preserve">
oCEMP - Original Quote
Mineral Assessemnt - CO2
</t>
        </r>
      </text>
    </comment>
    <comment ref="W37" authorId="0" shapeId="0" xr:uid="{358CE6D5-E7C8-464B-95F2-7AABEA1DE2E1}">
      <text>
        <r>
          <rPr>
            <b/>
            <sz val="9"/>
            <color indexed="81"/>
            <rFont val="Tahoma"/>
            <family val="2"/>
          </rPr>
          <t>Natasha Worrall:</t>
        </r>
        <r>
          <rPr>
            <sz val="9"/>
            <color indexed="81"/>
            <rFont val="Tahoma"/>
            <family val="2"/>
          </rPr>
          <t xml:space="preserve">
680018394</t>
        </r>
      </text>
    </comment>
    <comment ref="Y37" authorId="0" shapeId="0" xr:uid="{9379A703-5703-401A-BA1A-70A3FE69DC32}">
      <text>
        <r>
          <rPr>
            <b/>
            <sz val="9"/>
            <color indexed="81"/>
            <rFont val="Tahoma"/>
            <family val="2"/>
          </rPr>
          <t>Natasha Worrall:</t>
        </r>
        <r>
          <rPr>
            <sz val="9"/>
            <color indexed="81"/>
            <rFont val="Tahoma"/>
            <family val="2"/>
          </rPr>
          <t xml:space="preserve">
Arcadis confirmed time erronously booked to code so corrected.</t>
        </r>
      </text>
    </comment>
    <comment ref="AA37" authorId="0" shapeId="0" xr:uid="{0ACC21F0-6887-4B01-8E3F-E08F851C32AD}">
      <text>
        <r>
          <rPr>
            <b/>
            <sz val="9"/>
            <color indexed="81"/>
            <rFont val="Tahoma"/>
            <family val="2"/>
          </rPr>
          <t>Natasha Worrall:</t>
        </r>
        <r>
          <rPr>
            <sz val="9"/>
            <color indexed="81"/>
            <rFont val="Tahoma"/>
            <family val="2"/>
          </rPr>
          <t xml:space="preserve">
680029334 </t>
        </r>
      </text>
    </comment>
    <comment ref="AB37" authorId="0" shapeId="0" xr:uid="{1CBB8194-B599-46A4-A2F4-800F911EB074}">
      <text>
        <r>
          <rPr>
            <b/>
            <sz val="9"/>
            <color indexed="81"/>
            <rFont val="Tahoma"/>
            <family val="2"/>
          </rPr>
          <t>Natasha Worrall:</t>
        </r>
        <r>
          <rPr>
            <sz val="9"/>
            <color indexed="81"/>
            <rFont val="Tahoma"/>
            <family val="2"/>
          </rPr>
          <t xml:space="preserve">
680031831</t>
        </r>
      </text>
    </comment>
    <comment ref="AC37" authorId="1" shapeId="0" xr:uid="{FB40DDAB-0ADF-48F0-BEC8-57DE3D98B91D}">
      <text>
        <r>
          <rPr>
            <b/>
            <sz val="9"/>
            <color indexed="81"/>
            <rFont val="Tahoma"/>
            <family val="2"/>
          </rPr>
          <t>Sam Aitchison:</t>
        </r>
        <r>
          <rPr>
            <sz val="9"/>
            <color indexed="81"/>
            <rFont val="Tahoma"/>
            <family val="2"/>
          </rPr>
          <t xml:space="preserve">
680031831
</t>
        </r>
      </text>
    </comment>
    <comment ref="AD37" authorId="0" shapeId="0" xr:uid="{C4D94156-C263-437E-91CB-F8C80EBABC74}">
      <text>
        <r>
          <rPr>
            <b/>
            <sz val="9"/>
            <color indexed="81"/>
            <rFont val="Tahoma"/>
            <family val="2"/>
          </rPr>
          <t>Natasha Worrall:</t>
        </r>
        <r>
          <rPr>
            <sz val="9"/>
            <color indexed="81"/>
            <rFont val="Tahoma"/>
            <family val="2"/>
          </rPr>
          <t xml:space="preserve">
680036521</t>
        </r>
      </text>
    </comment>
    <comment ref="AE37" authorId="1" shapeId="0" xr:uid="{C1D1F8CD-FF51-4E58-8759-BEB4C25F9731}">
      <text>
        <r>
          <rPr>
            <b/>
            <sz val="9"/>
            <color indexed="81"/>
            <rFont val="Tahoma"/>
            <family val="2"/>
          </rPr>
          <t>Sam Aitchison:</t>
        </r>
        <r>
          <rPr>
            <sz val="9"/>
            <color indexed="81"/>
            <rFont val="Tahoma"/>
            <family val="2"/>
          </rPr>
          <t xml:space="preserve">
Inovice: 680039159</t>
        </r>
      </text>
    </comment>
    <comment ref="AF37" authorId="0" shapeId="0" xr:uid="{D706C125-50C6-43F1-9C78-8051A9D1AA43}">
      <text>
        <r>
          <rPr>
            <b/>
            <sz val="9"/>
            <color indexed="81"/>
            <rFont val="Tahoma"/>
            <family val="2"/>
          </rPr>
          <t>Natasha Worrall:</t>
        </r>
        <r>
          <rPr>
            <sz val="9"/>
            <color indexed="81"/>
            <rFont val="Tahoma"/>
            <family val="2"/>
          </rPr>
          <t xml:space="preserve">
680042015</t>
        </r>
      </text>
    </comment>
    <comment ref="AG37" authorId="1" shapeId="0" xr:uid="{3C897485-BF5E-4B43-9B83-95A8897B879D}">
      <text>
        <r>
          <rPr>
            <b/>
            <sz val="9"/>
            <color indexed="81"/>
            <rFont val="Tahoma"/>
            <family val="2"/>
          </rPr>
          <t>Sam Aitchison:</t>
        </r>
        <r>
          <rPr>
            <sz val="9"/>
            <color indexed="81"/>
            <rFont val="Tahoma"/>
            <family val="2"/>
          </rPr>
          <t xml:space="preserve">
Invoice 680044281</t>
        </r>
      </text>
    </comment>
    <comment ref="W38" authorId="0" shapeId="0" xr:uid="{14AD7BD2-7F35-4CC1-B749-EB0F17F68A70}">
      <text>
        <r>
          <rPr>
            <b/>
            <sz val="9"/>
            <color indexed="81"/>
            <rFont val="Tahoma"/>
            <family val="2"/>
          </rPr>
          <t>Natasha Worrall:</t>
        </r>
        <r>
          <rPr>
            <sz val="9"/>
            <color indexed="81"/>
            <rFont val="Tahoma"/>
            <family val="2"/>
          </rPr>
          <t xml:space="preserve">
680018394</t>
        </r>
      </text>
    </comment>
    <comment ref="AA38" authorId="0" shapeId="0" xr:uid="{C4B6ED2F-073D-42FD-A774-2076EB943E40}">
      <text>
        <r>
          <rPr>
            <b/>
            <sz val="9"/>
            <color indexed="81"/>
            <rFont val="Tahoma"/>
            <family val="2"/>
          </rPr>
          <t>Natasha Worrall:</t>
        </r>
        <r>
          <rPr>
            <sz val="9"/>
            <color indexed="81"/>
            <rFont val="Tahoma"/>
            <family val="2"/>
          </rPr>
          <t xml:space="preserve">
680029334 </t>
        </r>
      </text>
    </comment>
    <comment ref="AB38" authorId="0" shapeId="0" xr:uid="{B40F99F3-09C6-4BC5-8F84-7EAE59A4A147}">
      <text>
        <r>
          <rPr>
            <b/>
            <sz val="9"/>
            <color indexed="81"/>
            <rFont val="Tahoma"/>
            <family val="2"/>
          </rPr>
          <t>Natasha Worrall:</t>
        </r>
        <r>
          <rPr>
            <sz val="9"/>
            <color indexed="81"/>
            <rFont val="Tahoma"/>
            <family val="2"/>
          </rPr>
          <t xml:space="preserve">
680031831</t>
        </r>
      </text>
    </comment>
    <comment ref="AC38" authorId="1" shapeId="0" xr:uid="{84783D60-10EE-49C6-B350-6E6CBFD79E39}">
      <text>
        <r>
          <rPr>
            <b/>
            <sz val="9"/>
            <color indexed="81"/>
            <rFont val="Tahoma"/>
            <family val="2"/>
          </rPr>
          <t>Sam Aitchison:</t>
        </r>
        <r>
          <rPr>
            <sz val="9"/>
            <color indexed="81"/>
            <rFont val="Tahoma"/>
            <family val="2"/>
          </rPr>
          <t xml:space="preserve">
680031831
</t>
        </r>
      </text>
    </comment>
    <comment ref="AF38" authorId="0" shapeId="0" xr:uid="{0E33E75C-8701-4474-AC22-2437D7F3F057}">
      <text>
        <r>
          <rPr>
            <b/>
            <sz val="9"/>
            <color indexed="81"/>
            <rFont val="Tahoma"/>
            <family val="2"/>
          </rPr>
          <t>Natasha Worrall:</t>
        </r>
        <r>
          <rPr>
            <sz val="9"/>
            <color indexed="81"/>
            <rFont val="Tahoma"/>
            <family val="2"/>
          </rPr>
          <t xml:space="preserve">
680042015</t>
        </r>
      </text>
    </comment>
    <comment ref="AG38" authorId="1" shapeId="0" xr:uid="{EB46B522-42FB-4BA1-AC83-42D959EB2A24}">
      <text>
        <r>
          <rPr>
            <b/>
            <sz val="9"/>
            <color indexed="81"/>
            <rFont val="Tahoma"/>
            <family val="2"/>
          </rPr>
          <t>Sam Aitchison:</t>
        </r>
        <r>
          <rPr>
            <sz val="9"/>
            <color indexed="81"/>
            <rFont val="Tahoma"/>
            <family val="2"/>
          </rPr>
          <t xml:space="preserve">
Invoice 680044281</t>
        </r>
      </text>
    </comment>
    <comment ref="AC39" authorId="0" shapeId="0" xr:uid="{A37B722A-4EC1-461B-8C54-E76F6C5E555A}">
      <text>
        <r>
          <rPr>
            <b/>
            <sz val="9"/>
            <color indexed="81"/>
            <rFont val="Tahoma"/>
            <family val="2"/>
          </rPr>
          <t>Natasha Worrall:</t>
        </r>
        <r>
          <rPr>
            <sz val="9"/>
            <color indexed="81"/>
            <rFont val="Tahoma"/>
            <family val="2"/>
          </rPr>
          <t xml:space="preserve">
1538</t>
        </r>
      </text>
    </comment>
    <comment ref="AE39" authorId="0" shapeId="0" xr:uid="{3ABA8675-CB7B-4908-B203-31551810D06B}">
      <text>
        <r>
          <rPr>
            <b/>
            <sz val="9"/>
            <color indexed="81"/>
            <rFont val="Tahoma"/>
            <family val="2"/>
          </rPr>
          <t>Natasha Worrall:</t>
        </r>
        <r>
          <rPr>
            <sz val="9"/>
            <color indexed="81"/>
            <rFont val="Tahoma"/>
            <family val="2"/>
          </rPr>
          <t xml:space="preserve">
1595</t>
        </r>
      </text>
    </comment>
    <comment ref="AD40" authorId="0" shapeId="0" xr:uid="{A06B8BAD-63E7-4C79-8599-EB116C4437F1}">
      <text>
        <r>
          <rPr>
            <b/>
            <sz val="9"/>
            <color indexed="81"/>
            <rFont val="Tahoma"/>
            <family val="2"/>
          </rPr>
          <t>Natasha Worrall:</t>
        </r>
        <r>
          <rPr>
            <sz val="9"/>
            <color indexed="81"/>
            <rFont val="Tahoma"/>
            <family val="2"/>
          </rPr>
          <t xml:space="preserve">
SI403958</t>
        </r>
      </text>
    </comment>
    <comment ref="C57" authorId="1" shapeId="0" xr:uid="{35449C1E-BF03-43BA-9298-F2F1C3A8CB37}">
      <text>
        <r>
          <rPr>
            <b/>
            <sz val="9"/>
            <color indexed="81"/>
            <rFont val="Tahoma"/>
            <family val="2"/>
          </rPr>
          <t>Sam Aitchison:</t>
        </r>
        <r>
          <rPr>
            <sz val="9"/>
            <color indexed="81"/>
            <rFont val="Tahoma"/>
            <family val="2"/>
          </rPr>
          <t xml:space="preserve">
PO000396 -Forsters LLP - Cable Route Legals - £23,000 (1 of 3 agreements)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tc={8CB8C056-EFE1-4E8D-BCFD-F8B759BF4CF2}</author>
    <author>Natasha Worrall</author>
    <author>Lesley Giles</author>
    <author>tc={29406997-C767-487D-A4FD-DAACA8F0972A}</author>
    <author>James Youngs</author>
    <author>tc={176A5C0E-D1B0-41E1-99BC-A13838564508}</author>
    <author>tc={247CA833-7D09-41E4-AFE0-1B85501558C4}</author>
    <author>tc={4C1D0083-5A6A-400A-A926-82DD9241D587}</author>
    <author>tc={C82A8252-B0F6-44DE-AA8E-C285A76D59C6}</author>
    <author>tc={A32CB218-3B01-448E-AC7D-57E67A8DF6BA}</author>
    <author>tc={926B5875-DFA2-4DEC-8345-2CBE8B67ADD1}</author>
    <author>tc={F938D517-2A9D-448A-A984-2447A15215D6}</author>
    <author>tc={E1B7F4F2-CD18-4BC0-A9AC-169019D1B0E9}</author>
  </authors>
  <commentList>
    <comment ref="D8" authorId="0" shapeId="0" xr:uid="{8CB8C056-EFE1-4E8D-BCFD-F8B759BF4CF2}">
      <text>
        <t>[Threaded comment]
Your version of Excel allows you to read this threaded comment; however, any edits to it will get removed if the file is opened in a newer version of Excel. Learn more: https://go.microsoft.com/fwlink/?linkid=870924
Comment:
    NR easement Legal and surveyor fees</t>
      </text>
    </comment>
    <comment ref="AN9" authorId="1" shapeId="0" xr:uid="{586EB8F6-78AA-475C-9F5A-F10F4BA66C48}">
      <text>
        <r>
          <rPr>
            <b/>
            <sz val="9"/>
            <color indexed="81"/>
            <rFont val="Tahoma"/>
            <family val="2"/>
          </rPr>
          <t>Natasha Worrall:</t>
        </r>
        <r>
          <rPr>
            <sz val="9"/>
            <color indexed="81"/>
            <rFont val="Tahoma"/>
            <family val="2"/>
          </rPr>
          <t xml:space="preserve">
008566</t>
        </r>
      </text>
    </comment>
    <comment ref="AP9" authorId="1" shapeId="0" xr:uid="{32F0B24B-9CCA-41B3-B047-429A90DB6B62}">
      <text>
        <r>
          <rPr>
            <b/>
            <sz val="9"/>
            <color indexed="81"/>
            <rFont val="Tahoma"/>
            <family val="2"/>
          </rPr>
          <t>Natasha Worrall:</t>
        </r>
        <r>
          <rPr>
            <sz val="9"/>
            <color indexed="81"/>
            <rFont val="Tahoma"/>
            <family val="2"/>
          </rPr>
          <t xml:space="preserve">
008996</t>
        </r>
      </text>
    </comment>
    <comment ref="AQ9" authorId="1" shapeId="0" xr:uid="{B972F4ED-918D-4594-9F18-F6463BE253F9}">
      <text>
        <r>
          <rPr>
            <b/>
            <sz val="9"/>
            <color indexed="81"/>
            <rFont val="Tahoma"/>
            <family val="2"/>
          </rPr>
          <t>Natasha Worrall:</t>
        </r>
        <r>
          <rPr>
            <sz val="9"/>
            <color indexed="81"/>
            <rFont val="Tahoma"/>
            <family val="2"/>
          </rPr>
          <t xml:space="preserve">
008784
</t>
        </r>
      </text>
    </comment>
    <comment ref="AS9" authorId="1" shapeId="0" xr:uid="{BB767610-DDCB-4456-8FA9-7B623B1B1167}">
      <text>
        <r>
          <rPr>
            <b/>
            <sz val="9"/>
            <color indexed="81"/>
            <rFont val="Tahoma"/>
            <family val="2"/>
          </rPr>
          <t>Natasha Worrall:</t>
        </r>
        <r>
          <rPr>
            <sz val="9"/>
            <color indexed="81"/>
            <rFont val="Tahoma"/>
            <family val="2"/>
          </rPr>
          <t xml:space="preserve">
009949</t>
        </r>
      </text>
    </comment>
    <comment ref="AT9" authorId="1" shapeId="0" xr:uid="{24E3AC68-F835-4E6C-B8DE-F997341F8C9C}">
      <text>
        <r>
          <rPr>
            <b/>
            <sz val="9"/>
            <color indexed="81"/>
            <rFont val="Tahoma"/>
            <family val="2"/>
          </rPr>
          <t>Natasha Worrall:</t>
        </r>
        <r>
          <rPr>
            <sz val="9"/>
            <color indexed="81"/>
            <rFont val="Tahoma"/>
            <family val="2"/>
          </rPr>
          <t xml:space="preserve">
010061 CEMP &amp; PM</t>
        </r>
      </text>
    </comment>
    <comment ref="AU9" authorId="1" shapeId="0" xr:uid="{4825E9BB-208C-41FA-AEBE-661A7C7BFA1E}">
      <text>
        <r>
          <rPr>
            <b/>
            <sz val="9"/>
            <color indexed="81"/>
            <rFont val="Tahoma"/>
            <family val="2"/>
          </rPr>
          <t>Natasha Worrall:</t>
        </r>
        <r>
          <rPr>
            <sz val="9"/>
            <color indexed="81"/>
            <rFont val="Tahoma"/>
            <family val="2"/>
          </rPr>
          <t xml:space="preserve">
010382</t>
        </r>
      </text>
    </comment>
    <comment ref="AV9" authorId="1" shapeId="0" xr:uid="{36FD8B97-BB55-44B1-B0C1-FB553DD8E222}">
      <text>
        <r>
          <rPr>
            <b/>
            <sz val="9"/>
            <color indexed="81"/>
            <rFont val="Tahoma"/>
            <family val="2"/>
          </rPr>
          <t>Natasha Worrall:</t>
        </r>
        <r>
          <rPr>
            <sz val="9"/>
            <color indexed="81"/>
            <rFont val="Tahoma"/>
            <family val="2"/>
          </rPr>
          <t xml:space="preserve">
010583 </t>
        </r>
      </text>
    </comment>
    <comment ref="AQ11" authorId="1" shapeId="0" xr:uid="{ACC0D754-491C-4F85-BD11-16EC2DE449A4}">
      <text>
        <r>
          <rPr>
            <b/>
            <sz val="9"/>
            <color indexed="81"/>
            <rFont val="Tahoma"/>
            <family val="2"/>
          </rPr>
          <t>Natasha Worrall:</t>
        </r>
        <r>
          <rPr>
            <sz val="9"/>
            <color indexed="81"/>
            <rFont val="Tahoma"/>
            <family val="2"/>
          </rPr>
          <t xml:space="preserve">
009199</t>
        </r>
      </text>
    </comment>
    <comment ref="AL13" authorId="2" shapeId="0" xr:uid="{A9173BFC-6D67-495F-B220-C2FE6C2E045C}">
      <text>
        <r>
          <rPr>
            <sz val="11"/>
            <color theme="1"/>
            <rFont val="Calibri"/>
            <family val="2"/>
            <scheme val="minor"/>
          </rPr>
          <t xml:space="preserve">Lesley Giles:
centremaps
</t>
        </r>
      </text>
    </comment>
    <comment ref="AV13" authorId="1" shapeId="0" xr:uid="{6CD50567-5741-42F0-99C9-708CD276D3BB}">
      <text>
        <r>
          <rPr>
            <b/>
            <sz val="9"/>
            <color indexed="81"/>
            <rFont val="Tahoma"/>
            <family val="2"/>
          </rPr>
          <t>Natasha Worrall:</t>
        </r>
        <r>
          <rPr>
            <sz val="9"/>
            <color indexed="81"/>
            <rFont val="Tahoma"/>
            <family val="2"/>
          </rPr>
          <t xml:space="preserve">
2414</t>
        </r>
      </text>
    </comment>
    <comment ref="AU18" authorId="1" shapeId="0" xr:uid="{5DE1FF30-AD48-42F3-982C-4F2C0C5C045A}">
      <text>
        <r>
          <rPr>
            <b/>
            <sz val="9"/>
            <color indexed="81"/>
            <rFont val="Tahoma"/>
            <family val="2"/>
          </rPr>
          <t>Natasha Worrall:</t>
        </r>
        <r>
          <rPr>
            <sz val="9"/>
            <color indexed="81"/>
            <rFont val="Tahoma"/>
            <family val="2"/>
          </rPr>
          <t xml:space="preserve">
010383
Condition discharge</t>
        </r>
      </text>
    </comment>
    <comment ref="AS19" authorId="1" shapeId="0" xr:uid="{ADEA5128-1640-47B4-BFA5-5D4502EA717F}">
      <text>
        <r>
          <rPr>
            <b/>
            <sz val="9"/>
            <color indexed="81"/>
            <rFont val="Tahoma"/>
            <family val="2"/>
          </rPr>
          <t>Natasha Worrall:</t>
        </r>
        <r>
          <rPr>
            <sz val="9"/>
            <color indexed="81"/>
            <rFont val="Tahoma"/>
            <family val="2"/>
          </rPr>
          <t xml:space="preserve">
2542
</t>
        </r>
      </text>
    </comment>
    <comment ref="AO20" authorId="1" shapeId="0" xr:uid="{81AD7D72-953F-4F66-A8C1-2000FBF78B29}">
      <text>
        <r>
          <rPr>
            <b/>
            <sz val="9"/>
            <color indexed="81"/>
            <rFont val="Tahoma"/>
            <family val="2"/>
          </rPr>
          <t>Natasha Worrall:</t>
        </r>
        <r>
          <rPr>
            <sz val="9"/>
            <color indexed="81"/>
            <rFont val="Tahoma"/>
            <family val="2"/>
          </rPr>
          <t xml:space="preserve">
410084</t>
        </r>
      </text>
    </comment>
    <comment ref="AP20" authorId="1" shapeId="0" xr:uid="{EE3844C3-7810-49F4-9E2E-647A5BB2EA82}">
      <text>
        <r>
          <rPr>
            <b/>
            <sz val="9"/>
            <color indexed="81"/>
            <rFont val="Tahoma"/>
            <family val="2"/>
          </rPr>
          <t>Natasha Worrall:</t>
        </r>
        <r>
          <rPr>
            <sz val="9"/>
            <color indexed="81"/>
            <rFont val="Tahoma"/>
            <family val="2"/>
          </rPr>
          <t xml:space="preserve">
410117
</t>
        </r>
      </text>
    </comment>
    <comment ref="AR20" authorId="1" shapeId="0" xr:uid="{F808FB55-8ADD-4D46-851D-581E1E2DE79E}">
      <text>
        <r>
          <rPr>
            <b/>
            <sz val="9"/>
            <color indexed="81"/>
            <rFont val="Tahoma"/>
            <family val="2"/>
          </rPr>
          <t>Natasha Worrall
410554</t>
        </r>
      </text>
    </comment>
    <comment ref="AN21" authorId="1" shapeId="0" xr:uid="{9AEE27D9-7CE9-4396-AC5A-D97C485FBD76}">
      <text>
        <r>
          <rPr>
            <b/>
            <sz val="9"/>
            <color indexed="81"/>
            <rFont val="Tahoma"/>
            <family val="2"/>
          </rPr>
          <t>Natasha Worrall:</t>
        </r>
        <r>
          <rPr>
            <sz val="9"/>
            <color indexed="81"/>
            <rFont val="Tahoma"/>
            <family val="2"/>
          </rPr>
          <t xml:space="preserve">
0021</t>
        </r>
      </text>
    </comment>
    <comment ref="AT21" authorId="1" shapeId="0" xr:uid="{44A0A4A3-B0F3-4054-BF53-D9E63B96431F}">
      <text>
        <r>
          <rPr>
            <b/>
            <sz val="9"/>
            <color indexed="81"/>
            <rFont val="Tahoma"/>
            <family val="2"/>
          </rPr>
          <t>Natasha Worrall:</t>
        </r>
        <r>
          <rPr>
            <sz val="9"/>
            <color indexed="81"/>
            <rFont val="Tahoma"/>
            <family val="2"/>
          </rPr>
          <t xml:space="preserve">
010015</t>
        </r>
      </text>
    </comment>
    <comment ref="AQ23" authorId="1" shapeId="0" xr:uid="{95D2817F-5E0B-4103-A9AF-5D6A69B92A54}">
      <text>
        <r>
          <rPr>
            <b/>
            <sz val="9"/>
            <color indexed="81"/>
            <rFont val="Tahoma"/>
            <family val="2"/>
          </rPr>
          <t>Natasha Worrall:</t>
        </r>
        <r>
          <rPr>
            <sz val="9"/>
            <color indexed="81"/>
            <rFont val="Tahoma"/>
            <family val="2"/>
          </rPr>
          <t xml:space="preserve">
30068507
</t>
        </r>
      </text>
    </comment>
    <comment ref="D27" authorId="3" shapeId="0" xr:uid="{29406997-C767-487D-A4FD-DAACA8F0972A}">
      <text>
        <t>[Threaded comment]
Your version of Excel allows you to read this threaded comment; however, any edits to it will get removed if the file is opened in a newer version of Excel. Learn more: https://go.microsoft.com/fwlink/?linkid=870924
Comment:
    57057.13+11411.426VAT. £49806.43 includes VAT for construction BAPA that we are not planning to pay</t>
      </text>
    </comment>
    <comment ref="Y27" authorId="4" shapeId="0" xr:uid="{E1F4638F-8F36-4E3D-9B75-DA771D1DE45D}">
      <text>
        <r>
          <rPr>
            <b/>
            <sz val="9"/>
            <color indexed="81"/>
            <rFont val="Tahoma"/>
            <family val="2"/>
          </rPr>
          <t>James Youngs:</t>
        </r>
        <r>
          <rPr>
            <sz val="9"/>
            <color indexed="81"/>
            <rFont val="Tahoma"/>
            <family val="2"/>
          </rPr>
          <t xml:space="preserve">
£8849.58 + VAT = £10619.50</t>
        </r>
      </text>
    </comment>
    <comment ref="AD27" authorId="4" shapeId="0" xr:uid="{1861E95F-6499-445A-98CD-0630BBE91A75}">
      <text>
        <r>
          <rPr>
            <b/>
            <sz val="9"/>
            <color indexed="81"/>
            <rFont val="Tahoma"/>
            <family val="2"/>
          </rPr>
          <t xml:space="preserve">James Youngs: </t>
        </r>
        <r>
          <rPr>
            <sz val="9"/>
            <color indexed="81"/>
            <rFont val="Tahoma"/>
            <family val="2"/>
          </rPr>
          <t>Clearance Fee of £1500 + VAT = £1800</t>
        </r>
      </text>
    </comment>
    <comment ref="AK27" authorId="1" shapeId="0" xr:uid="{702F089C-3444-4D2C-BFBA-EFDC9BF55B01}">
      <text>
        <r>
          <rPr>
            <b/>
            <sz val="9"/>
            <color indexed="81"/>
            <rFont val="Tahoma"/>
            <family val="2"/>
          </rPr>
          <t>Clearance Payment for new cable crossing route £1500 + VAT = £1800</t>
        </r>
      </text>
    </comment>
    <comment ref="AQ27" authorId="1" shapeId="0" xr:uid="{7AFE2E09-7983-46C4-98BB-7F00AD629E74}">
      <text>
        <r>
          <rPr>
            <b/>
            <sz val="9"/>
            <color indexed="81"/>
            <rFont val="Tahoma"/>
            <family val="2"/>
          </rPr>
          <t>Clearance Payment for increased crossing area of £1500 + VAT = £1800</t>
        </r>
      </text>
    </comment>
    <comment ref="AX27" authorId="5" shapeId="0" xr:uid="{176A5C0E-D1B0-41E1-99BC-A13838564508}">
      <text>
        <t>[Threaded comment]
Your version of Excel allows you to read this threaded comment; however, any edits to it will get removed if the file is opened in a newer version of Excel. Learn more: https://go.microsoft.com/fwlink/?linkid=870924
Comment:
    PO757</t>
      </text>
    </comment>
    <comment ref="AM29" authorId="1" shapeId="0" xr:uid="{1C6D61C5-D8B4-488A-9C4B-995061805BCA}">
      <text>
        <r>
          <rPr>
            <b/>
            <sz val="9"/>
            <color indexed="81"/>
            <rFont val="Tahoma"/>
            <family val="2"/>
          </rPr>
          <t>Natasha Worrall:</t>
        </r>
        <r>
          <rPr>
            <sz val="9"/>
            <color indexed="81"/>
            <rFont val="Tahoma"/>
            <family val="2"/>
          </rPr>
          <t xml:space="preserve">
SI401876</t>
        </r>
      </text>
    </comment>
    <comment ref="AO29" authorId="1" shapeId="0" xr:uid="{C1C24472-7743-4619-AFA0-64BAF5FA5C69}">
      <text>
        <r>
          <rPr>
            <b/>
            <sz val="9"/>
            <color indexed="81"/>
            <rFont val="Tahoma"/>
            <family val="2"/>
          </rPr>
          <t>Natasha Worrall:</t>
        </r>
        <r>
          <rPr>
            <sz val="9"/>
            <color indexed="81"/>
            <rFont val="Tahoma"/>
            <family val="2"/>
          </rPr>
          <t xml:space="preserve">
SI402428</t>
        </r>
      </text>
    </comment>
    <comment ref="AQ30" authorId="6" shapeId="0" xr:uid="{247CA833-7D09-41E4-AFE0-1B85501558C4}">
      <text>
        <t xml:space="preserve">[Threaded comment]
Your version of Excel allows you to read this threaded comment; however, any edits to it will get removed if the file is opened in a newer version of Excel. Learn more: https://go.microsoft.com/fwlink/?linkid=870924
Comment:
    6500000496 </t>
      </text>
    </comment>
    <comment ref="AR30" authorId="1" shapeId="0" xr:uid="{D9CB3079-97D9-4CDE-89C2-8E5814E27774}">
      <text>
        <r>
          <rPr>
            <b/>
            <sz val="9"/>
            <color indexed="81"/>
            <rFont val="Tahoma"/>
            <family val="2"/>
          </rPr>
          <t>Natasha Worrall:</t>
        </r>
        <r>
          <rPr>
            <sz val="9"/>
            <color indexed="81"/>
            <rFont val="Tahoma"/>
            <family val="2"/>
          </rPr>
          <t xml:space="preserve">
104103</t>
        </r>
      </text>
    </comment>
    <comment ref="AS30" authorId="7" shapeId="0" xr:uid="{4C1D0083-5A6A-400A-A926-82DD9241D587}">
      <text>
        <t>[Threaded comment]
Your version of Excel allows you to read this threaded comment; however, any edits to it will get removed if the file is opened in a newer version of Excel. Learn more: https://go.microsoft.com/fwlink/?linkid=870924
Comment:
    6500000505B (EPR)</t>
      </text>
    </comment>
    <comment ref="AT30" authorId="1" shapeId="0" xr:uid="{D8E3D18F-54AC-4DD0-A564-B0E35F523881}">
      <text>
        <r>
          <rPr>
            <b/>
            <sz val="9"/>
            <color indexed="81"/>
            <rFont val="Tahoma"/>
            <family val="2"/>
          </rPr>
          <t>Natasha Worrall:</t>
        </r>
        <r>
          <rPr>
            <sz val="9"/>
            <color indexed="81"/>
            <rFont val="Tahoma"/>
            <family val="2"/>
          </rPr>
          <t xml:space="preserve">
650000000505C</t>
        </r>
      </text>
    </comment>
    <comment ref="AX30" authorId="8" shapeId="0" xr:uid="{C82A8252-B0F6-44DE-AA8E-C285A76D59C6}">
      <text>
        <t>[Threaded comment]
Your version of Excel allows you to read this threaded comment; however, any edits to it will get removed if the file is opened in a newer version of Excel. Learn more: https://go.microsoft.com/fwlink/?linkid=870924
Comment:
    PO 255</t>
      </text>
    </comment>
    <comment ref="AX31" authorId="9" shapeId="0" xr:uid="{A32CB218-3B01-448E-AC7D-57E67A8DF6BA}">
      <text>
        <t>[Threaded comment]
Your version of Excel allows you to read this threaded comment; however, any edits to it will get removed if the file is opened in a newer version of Excel. Learn more: https://go.microsoft.com/fwlink/?linkid=870924
Comment:
    Invoice 010767 (PO: 806)</t>
      </text>
    </comment>
    <comment ref="D32" authorId="10" shapeId="0" xr:uid="{926B5875-DFA2-4DEC-8345-2CBE8B67ADD1}">
      <text>
        <t>[Threaded comment]
Your version of Excel allows you to read this threaded comment; however, any edits to it will get removed if the file is opened in a newer version of Excel. Learn more: https://go.microsoft.com/fwlink/?linkid=870924
Comment:
    630 with VAT</t>
      </text>
    </comment>
    <comment ref="AX32" authorId="11" shapeId="0" xr:uid="{F938D517-2A9D-448A-A984-2447A15215D6}">
      <text>
        <t>[Threaded comment]
Your version of Excel allows you to read this threaded comment; however, any edits to it will get removed if the file is opened in a newer version of Excel. Learn more: https://go.microsoft.com/fwlink/?linkid=870924
Comment:
    630 with VAT (PO684)</t>
      </text>
    </comment>
    <comment ref="AX33" authorId="12" shapeId="0" xr:uid="{E1B7F4F2-CD18-4BC0-A9AC-169019D1B0E9}">
      <text>
        <t>[Threaded comment]
Your version of Excel allows you to read this threaded comment; however, any edits to it will get removed if the file is opened in a newer version of Excel. Learn more: https://go.microsoft.com/fwlink/?linkid=870924
Comment:
    Just a payment for missing VAT PO756</t>
      </text>
    </comment>
    <comment ref="AT35" authorId="1" shapeId="0" xr:uid="{ACFDDA5F-05EC-4CD1-B892-F00CAFF5036F}">
      <text>
        <r>
          <rPr>
            <b/>
            <sz val="9"/>
            <color indexed="81"/>
            <rFont val="Tahoma"/>
            <family val="2"/>
          </rPr>
          <t>Natasha Worrall:</t>
        </r>
        <r>
          <rPr>
            <sz val="9"/>
            <color indexed="81"/>
            <rFont val="Tahoma"/>
            <family val="2"/>
          </rPr>
          <t xml:space="preserve">
inv-3922</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Natasha Worrall</author>
    <author>Lesley Giles</author>
  </authors>
  <commentList>
    <comment ref="AD6" authorId="0" shapeId="0" xr:uid="{19F87066-542C-4D10-8AB8-085A39C01A58}">
      <text>
        <r>
          <rPr>
            <b/>
            <sz val="9"/>
            <color indexed="81"/>
            <rFont val="Tahoma"/>
            <family val="2"/>
          </rPr>
          <t>Natasha Worrall:</t>
        </r>
        <r>
          <rPr>
            <sz val="9"/>
            <color indexed="81"/>
            <rFont val="Tahoma"/>
            <family val="2"/>
          </rPr>
          <t xml:space="preserve">
NGED Costs
</t>
        </r>
      </text>
    </comment>
    <comment ref="AE6" authorId="1" shapeId="0" xr:uid="{954196CD-E709-419C-AF24-E9CB9DCC8715}">
      <text>
        <r>
          <rPr>
            <b/>
            <sz val="9"/>
            <color indexed="81"/>
            <rFont val="Tahoma"/>
            <family val="2"/>
          </rPr>
          <t>Lesley Giles:</t>
        </r>
        <r>
          <rPr>
            <sz val="9"/>
            <color indexed="81"/>
            <rFont val="Tahoma"/>
            <family val="2"/>
          </rPr>
          <t xml:space="preserve">
50MW grid payment £1,500,000
20MW grid payment £200,000
both Q3 2023</t>
        </r>
      </text>
    </comment>
    <comment ref="AG11" authorId="0" shapeId="0" xr:uid="{52F61085-8112-4CB1-8BE8-BBE67D9CCC22}">
      <text>
        <r>
          <rPr>
            <b/>
            <sz val="9"/>
            <color indexed="81"/>
            <rFont val="Tahoma"/>
            <family val="2"/>
          </rPr>
          <t>Natasha Worrall:</t>
        </r>
        <r>
          <rPr>
            <sz val="9"/>
            <color indexed="81"/>
            <rFont val="Tahoma"/>
            <family val="2"/>
          </rPr>
          <t xml:space="preserve">
009030</t>
        </r>
      </text>
    </comment>
    <comment ref="AH11" authorId="0" shapeId="0" xr:uid="{9C0E0FFC-2DF0-41F1-9266-214A1469BB3A}">
      <text>
        <r>
          <rPr>
            <b/>
            <sz val="9"/>
            <color indexed="81"/>
            <rFont val="Tahoma"/>
            <family val="2"/>
          </rPr>
          <t>Natasha Worrall:</t>
        </r>
        <r>
          <rPr>
            <sz val="9"/>
            <color indexed="81"/>
            <rFont val="Tahoma"/>
            <family val="2"/>
          </rPr>
          <t xml:space="preserve">
009222
</t>
        </r>
      </text>
    </comment>
    <comment ref="I12" authorId="1" shapeId="0" xr:uid="{9481AE2D-AD15-40EF-BA57-F848489ADB03}">
      <text>
        <r>
          <rPr>
            <b/>
            <sz val="9"/>
            <color indexed="81"/>
            <rFont val="Tahoma"/>
            <family val="2"/>
          </rPr>
          <t>Lesley Giles:</t>
        </r>
        <r>
          <rPr>
            <sz val="9"/>
            <color indexed="81"/>
            <rFont val="Tahoma"/>
            <family val="2"/>
          </rPr>
          <t xml:space="preserve">
Entrust planning desktop Cost 2021
</t>
        </r>
      </text>
    </comment>
    <comment ref="AC12" authorId="1" shapeId="0" xr:uid="{7E47A971-E134-4157-95CF-EAB2FB6FA0A7}">
      <text>
        <r>
          <rPr>
            <sz val="11"/>
            <color theme="1"/>
            <rFont val="Calibri"/>
            <family val="2"/>
            <scheme val="minor"/>
          </rPr>
          <t xml:space="preserve">Lesley Giles:
Centremaps
</t>
        </r>
      </text>
    </comment>
    <comment ref="AF14" authorId="0" shapeId="0" xr:uid="{6D351DE8-0DE2-44E1-8A22-4596B0016720}">
      <text>
        <r>
          <rPr>
            <b/>
            <sz val="9"/>
            <color indexed="81"/>
            <rFont val="Tahoma"/>
            <family val="2"/>
          </rPr>
          <t>Natasha Worrall:</t>
        </r>
        <r>
          <rPr>
            <sz val="9"/>
            <color indexed="81"/>
            <rFont val="Tahoma"/>
            <family val="2"/>
          </rPr>
          <t xml:space="preserve">
 INV-2308-131</t>
        </r>
      </text>
    </comment>
    <comment ref="AD20" authorId="0" shapeId="0" xr:uid="{7091030F-6B71-4E07-B543-BCED374288A7}">
      <text>
        <r>
          <rPr>
            <b/>
            <sz val="9"/>
            <color indexed="81"/>
            <rFont val="Tahoma"/>
            <family val="2"/>
          </rPr>
          <t>Natasha Worrall:</t>
        </r>
        <r>
          <rPr>
            <sz val="9"/>
            <color indexed="81"/>
            <rFont val="Tahoma"/>
            <family val="2"/>
          </rPr>
          <t xml:space="preserve">
015386
</t>
        </r>
      </text>
    </comment>
    <comment ref="AD21" authorId="0" shapeId="0" xr:uid="{96F8C137-D1E2-44AB-B8AE-B565204F9D7F}">
      <text>
        <r>
          <rPr>
            <b/>
            <sz val="9"/>
            <color indexed="81"/>
            <rFont val="Tahoma"/>
            <family val="2"/>
          </rPr>
          <t>Natasha Worrall:</t>
        </r>
        <r>
          <rPr>
            <sz val="9"/>
            <color indexed="81"/>
            <rFont val="Tahoma"/>
            <family val="2"/>
          </rPr>
          <t xml:space="preserve">
83811
83812</t>
        </r>
      </text>
    </comment>
    <comment ref="AE22" authorId="0" shapeId="0" xr:uid="{162F4D2F-061F-4EE5-B572-63E6E9FDAA6C}">
      <text>
        <r>
          <rPr>
            <b/>
            <sz val="9"/>
            <color indexed="81"/>
            <rFont val="Tahoma"/>
            <family val="2"/>
          </rPr>
          <t>Natasha Worrall:</t>
        </r>
        <r>
          <rPr>
            <sz val="9"/>
            <color indexed="81"/>
            <rFont val="Tahoma"/>
            <family val="2"/>
          </rPr>
          <t xml:space="preserve">
008591
Potentially covers some planning costs too</t>
        </r>
      </text>
    </comment>
    <comment ref="AF24" authorId="0" shapeId="0" xr:uid="{2EC46192-6F15-4E0B-9B86-8FD6D0F6AB6D}">
      <text>
        <r>
          <rPr>
            <b/>
            <sz val="9"/>
            <color indexed="81"/>
            <rFont val="Tahoma"/>
            <family val="2"/>
          </rPr>
          <t>Natasha Worrall:</t>
        </r>
        <r>
          <rPr>
            <sz val="9"/>
            <color indexed="81"/>
            <rFont val="Tahoma"/>
            <family val="2"/>
          </rPr>
          <t xml:space="preserve">
30060011
</t>
        </r>
      </text>
    </comment>
    <comment ref="AG24" authorId="0" shapeId="0" xr:uid="{3EBC778F-A394-47DF-8023-5EFAA8E72E51}">
      <text>
        <r>
          <rPr>
            <b/>
            <sz val="9"/>
            <color indexed="81"/>
            <rFont val="Tahoma"/>
            <family val="2"/>
          </rPr>
          <t>Natasha Worrall:</t>
        </r>
        <r>
          <rPr>
            <sz val="9"/>
            <color indexed="81"/>
            <rFont val="Tahoma"/>
            <family val="2"/>
          </rPr>
          <t xml:space="preserve">
30066684
</t>
        </r>
      </text>
    </comment>
    <comment ref="AE25" authorId="0" shapeId="0" xr:uid="{25D39860-7470-4F4A-B19E-2A7FA8906CF6}">
      <text>
        <r>
          <rPr>
            <b/>
            <sz val="9"/>
            <color indexed="81"/>
            <rFont val="Tahoma"/>
            <family val="2"/>
          </rPr>
          <t>Natasha Worrall:</t>
        </r>
        <r>
          <rPr>
            <sz val="9"/>
            <color indexed="81"/>
            <rFont val="Tahoma"/>
            <family val="2"/>
          </rPr>
          <t xml:space="preserve">
 784-B048497</t>
        </r>
      </text>
    </comment>
    <comment ref="I26" authorId="1" shapeId="0" xr:uid="{105F0119-097E-469F-AE1A-03360EFFF0FF}">
      <text>
        <r>
          <rPr>
            <b/>
            <sz val="9"/>
            <color indexed="81"/>
            <rFont val="Tahoma"/>
            <family val="2"/>
          </rPr>
          <t>Lesley Giles:</t>
        </r>
        <r>
          <rPr>
            <sz val="9"/>
            <color indexed="81"/>
            <rFont val="Tahoma"/>
            <family val="2"/>
          </rPr>
          <t xml:space="preserve">
Entrust planning desktop Cost 2021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Lesley Giles</author>
    <author>David Elvin</author>
  </authors>
  <commentList>
    <comment ref="F16" authorId="0" shapeId="0" xr:uid="{83CB667A-EA05-478D-B94E-41FCC6E7FB22}">
      <text>
        <r>
          <rPr>
            <b/>
            <sz val="9"/>
            <color indexed="81"/>
            <rFont val="Tahoma"/>
            <family val="2"/>
          </rPr>
          <t>Lesley Giles:</t>
        </r>
        <r>
          <rPr>
            <sz val="9"/>
            <color indexed="81"/>
            <rFont val="Tahoma"/>
            <family val="2"/>
          </rPr>
          <t xml:space="preserve">
£2,100 quoted for EIA
</t>
        </r>
      </text>
    </comment>
    <comment ref="F21" authorId="1" shapeId="0" xr:uid="{5908E347-F7F5-4A41-82BB-2F08073B3114}">
      <text>
        <r>
          <rPr>
            <b/>
            <sz val="9"/>
            <color indexed="81"/>
            <rFont val="Tahoma"/>
            <family val="2"/>
          </rPr>
          <t>David Elvin:</t>
        </r>
        <r>
          <rPr>
            <sz val="9"/>
            <color indexed="81"/>
            <rFont val="Tahoma"/>
            <family val="2"/>
          </rPr>
          <t xml:space="preserve">
Including EIA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tc={01147D2F-08A2-4133-B9F2-06701DB94460}</author>
    <author>tc={F1D8D936-CB8C-461A-92BA-C6ED689E6F3F}</author>
    <author>tc={0254FA4F-4144-410C-ACE8-CE9FABADD15C}</author>
    <author>tc={5EB9739F-32F5-41F1-94BF-6976F603D6B4}</author>
    <author>tc={BB898C3B-0053-40E8-A3D2-5794BB93F085}</author>
    <author>tc={FCF2BA60-0446-4E41-BF07-E829E3627DE0}</author>
    <author>tc={07375B64-81C9-4860-964A-D1D4B0FB8773}</author>
    <author>tc={D441B649-F075-4559-AAF9-F21E9B28B966}</author>
    <author>tc={E4E73A20-B0F7-427B-AC04-4C5273289A0D}</author>
    <author>tc={F9C16DCF-6C16-4E6C-AAFA-24BF8F7F57EB}</author>
    <author>tc={D3B2811B-6D4A-4C7B-A72D-3766140CACBB}</author>
    <author>tc={7EF75CD6-F8AD-495C-9A69-10A1B7E52579}</author>
    <author>tc={C29E3A0D-3653-4425-8BEB-57ABFE6CAAD6}</author>
    <author>tc={AD375CB3-9E3E-435B-8042-A7EF517FF50B}</author>
    <author>tc={84BE0E45-8F72-4DC1-9735-7BF14BD95919}</author>
    <author>tc={90DB6B36-5F43-4AB3-83B1-0F3501EAAC90}</author>
    <author>tc={665E20BE-2425-4710-83C2-27B99633370C}</author>
    <author>tc={C32A97EC-E6D6-4578-BFFD-F2D80301320D}</author>
    <author>tc={F8C65E9D-CCE1-410D-AD86-CA8922670DBA}</author>
    <author>tc={08662330-ABD1-496A-9BAF-D7AC97F4889B}</author>
    <author>tc={DFE14F82-16A0-4A05-B21E-7D7C973D7430}</author>
    <author>tc={AC45A283-4A50-4617-9F6E-AA6F240C61DB}</author>
    <author>tc={8B5EE38C-1797-4A71-8AE5-38A039ADFB51}</author>
    <author>tc={441D8473-2D03-4ED4-81EA-5564A632D79F}</author>
    <author>tc={B463DD3C-C8AD-4568-9F21-496581A4F8EA}</author>
    <author>tc={3530E987-B921-4C69-86EC-844437A6AF53}</author>
    <author>tc={E2932F99-46F4-434C-8898-0E5E3C58A553}</author>
    <author>tc={68B9DB8C-3A26-46CE-89E5-ABA649BBBFD2}</author>
    <author>tc={A6FAA214-7232-4992-9983-E28D50B8C318}</author>
    <author>tc={67E9FDB6-4B6F-4BDD-9E5B-2C9F7CC77C34}</author>
    <author>tc={ED300671-255B-4B8E-92FF-922E21B6BFA6}</author>
    <author>tc={FBD4E910-557A-45E0-BA9B-419DBBB4ADE3}</author>
    <author>tc={1C9CD9E8-E416-4EC7-8F32-68D4D4516EE6}</author>
    <author>tc={531C849B-DF8E-4C89-974F-CABCCDAE1D8E}</author>
    <author>tc={6CF563E8-2A92-43FE-860B-19087BA36F7C}</author>
    <author>tc={87B57483-81D3-492C-8C8B-FC9FBDFDADBC}</author>
    <author>tc={A976DF99-105A-432F-BC62-773380A36334}</author>
  </authors>
  <commentList>
    <comment ref="E8" authorId="0" shapeId="0" xr:uid="{01147D2F-08A2-4133-B9F2-06701DB94460}">
      <text>
        <t>[Threaded comment]
Your version of Excel allows you to read this threaded comment; however, any edits to it will get removed if the file is opened in a newer version of Excel. Learn more: https://go.microsoft.com/fwlink/?linkid=870924
Comment:
    Pre-submission fee £32k plus other legal advice £23k</t>
      </text>
    </comment>
    <comment ref="F8" authorId="1" shapeId="0" xr:uid="{F1D8D936-CB8C-461A-92BA-C6ED689E6F3F}">
      <text>
        <t xml:space="preserve">[Threaded comment]
Your version of Excel allows you to read this threaded comment; however, any edits to it will get removed if the file is opened in a newer version of Excel. Learn more: https://go.microsoft.com/fwlink/?linkid=870924
Comment:
1.	£2,000 - £3,000 to review the position on Awel y Mor (DCO powers plus issues and risks to consider)
2.	£1,000 - £1,500 to review a draft representation to the ExA, review relevant DCO submission material and flag any issues; advise on the approach to engage with the Examination into Mona. 
3.	£3,000 - £5,000 to advise on the approach with Mares and their applications.  
4.           £3,000 - £5,000 to advise on the approach to your generation licence for the development, as well as to review the application for submission to Ofgem
</t>
      </text>
    </comment>
    <comment ref="E9" authorId="2" shapeId="0" xr:uid="{0254FA4F-4144-410C-ACE8-CE9FABADD15C}">
      <text>
        <t>[Threaded comment]
Your version of Excel allows you to read this threaded comment; however, any edits to it will get removed if the file is opened in a newer version of Excel. Learn more: https://go.microsoft.com/fwlink/?linkid=870924
Comment:
    Items 1 - 7 up until and including Submission (£99,500) plus expenses (£6,977.50)</t>
      </text>
    </comment>
    <comment ref="E10" authorId="3" shapeId="0" xr:uid="{5EB9739F-32F5-41F1-94BF-6976F603D6B4}">
      <text>
        <t xml:space="preserve">[Threaded comment]
Your version of Excel allows you to read this threaded comment; however, any edits to it will get removed if the file is opened in a newer version of Excel. Learn more: https://go.microsoft.com/fwlink/?linkid=870924
Comment:
    This covers pre-app, application and examination fees. Refer to Summary of DNS fees from Vincent for breakdown. </t>
      </text>
    </comment>
    <comment ref="C13" authorId="4" shapeId="0" xr:uid="{BB898C3B-0053-40E8-A3D2-5794BB93F085}">
      <text>
        <t>[Threaded comment]
Your version of Excel allows you to read this threaded comment; however, any edits to it will get removed if the file is opened in a newer version of Excel. Learn more: https://go.microsoft.com/fwlink/?linkid=870924
Comment:
    EIA Scoping £4500, ES Prep and coordination assuming 4 x ES chapters scoped in £29,000, meetings £2,700</t>
      </text>
    </comment>
    <comment ref="C14" authorId="5" shapeId="0" xr:uid="{FCF2BA60-0446-4E41-BF07-E829E3627DE0}">
      <text>
        <t>[Threaded comment]
Your version of Excel allows you to read this threaded comment; however, any edits to it will get removed if the file is opened in a newer version of Excel. Learn more: https://go.microsoft.com/fwlink/?linkid=870924
Comment:
    Optional</t>
      </text>
    </comment>
    <comment ref="B15" authorId="6" shapeId="0" xr:uid="{07375B64-81C9-4860-964A-D1D4B0FB8773}">
      <text>
        <t>[Threaded comment]
Your version of Excel allows you to read this threaded comment; however, any edits to it will get removed if the file is opened in a newer version of Excel. Learn more: https://go.microsoft.com/fwlink/?linkid=870924
Comment:
    PO for £17,250 issued 14.06.24. Refer to EDP FRT dated 18.06.24 for breakdown of instructed items. 
PO uplifted by £34,550 02.08.24.  Refer to e-mail from TG dated 31.07.24.</t>
      </text>
    </comment>
    <comment ref="C15" authorId="7" shapeId="0" xr:uid="{D441B649-F075-4559-AAF9-F21E9B28B966}">
      <text>
        <t>[Threaded comment]
Your version of Excel allows you to read this threaded comment; however, any edits to it will get removed if the file is opened in a newer version of Excel. Learn more: https://go.microsoft.com/fwlink/?linkid=870924
Comment:
    Desk study review £1,000, Ph1 survey £2,500 inc. data charges £600, Site access arrangements £1,500</t>
      </text>
    </comment>
    <comment ref="C17" authorId="8" shapeId="0" xr:uid="{E4E73A20-B0F7-427B-AC04-4C5273289A0D}">
      <text>
        <t xml:space="preserve">[Threaded comment]
Your version of Excel allows you to read this threaded comment; however, any edits to it will get removed if the file is opened in a newer version of Excel. Learn more: https://go.microsoft.com/fwlink/?linkid=870924
Comment:
    3 surveys during April, May and June 2025. Might be possible to do 1 of these surveys in July 2025. </t>
      </text>
    </comment>
    <comment ref="C18" authorId="9" shapeId="0" xr:uid="{F9C16DCF-6C16-4E6C-AAFA-24BF8F7F57EB}">
      <text>
        <t>[Threaded comment]
Your version of Excel allows you to read this threaded comment; however, any edits to it will get removed if the file is opened in a newer version of Excel. Learn more: https://go.microsoft.com/fwlink/?linkid=870924
Comment:
    6 visits during Nov 2024 - Feb 2025</t>
      </text>
    </comment>
    <comment ref="C19" authorId="10" shapeId="0" xr:uid="{D3B2811B-6D4A-4C7B-A72D-3766140CACBB}">
      <text>
        <t>[Threaded comment]
Your version of Excel allows you to read this threaded comment; however, any edits to it will get removed if the file is opened in a newer version of Excel. Learn more: https://go.microsoft.com/fwlink/?linkid=870924
Comment:
    1) GLTA £2,500 - required. 
Provision scopes: 
2) Nighttime walkover 3 visits ,4 pairs of surveys Aug and Oct 2024 and April 2025  £13,500 - may be required/scoped out. 
3) Automated detector 7 surveys split across 2024-2025 £9,000 - may be required/scoped out
4) Data analysis - £3,000</t>
      </text>
    </comment>
    <comment ref="E19" authorId="11" shapeId="0" xr:uid="{7EF75CD6-F8AD-495C-9A69-10A1B7E52579}">
      <text>
        <t>[Threaded comment]
Your version of Excel allows you to read this threaded comment; however, any edits to it will get removed if the file is opened in a newer version of Excel. Learn more: https://go.microsoft.com/fwlink/?linkid=870924
Comment:
    Note - This item was originally £28,000 but EDP requested an additional £3,000 (e-mail 18.06.24) due to an error. PO needs to be increased by this amount, once other items are instructed</t>
      </text>
    </comment>
    <comment ref="C20" authorId="12" shapeId="0" xr:uid="{C29E3A0D-3653-4425-8BEB-57ABFE6CAAD6}">
      <text>
        <t xml:space="preserve">[Threaded comment]
Your version of Excel allows you to read this threaded comment; however, any edits to it will get removed if the file is opened in a newer version of Excel. Learn more: https://go.microsoft.com/fwlink/?linkid=870924
Comment:
    Assumes 1 on-site pond and 10 off-site ponds (within 250m). Survey mid-April to end of June. 2025 Possible to do 1 x survey of off-site pond in June 2024. </t>
      </text>
    </comment>
    <comment ref="C21" authorId="13" shapeId="0" xr:uid="{AD375CB3-9E3E-435B-8042-A7EF517FF50B}">
      <text>
        <t>[Threaded comment]
Your version of Excel allows you to read this threaded comment; however, any edits to it will get removed if the file is opened in a newer version of Excel. Learn more: https://go.microsoft.com/fwlink/?linkid=870924
Comment:
    2 visits required in Spring and late Summer, 1 x Sept 2024 and 1 x May 2024</t>
      </text>
    </comment>
    <comment ref="C22" authorId="14" shapeId="0" xr:uid="{84BE0E45-8F72-4DC1-9735-7BF14BD95919}">
      <text>
        <t>[Threaded comment]
Your version of Excel allows you to read this threaded comment; however, any edits to it will get removed if the file is opened in a newer version of Excel. Learn more: https://go.microsoft.com/fwlink/?linkid=870924
Comment:
    Baseline report £8000, design inputs £2000</t>
      </text>
    </comment>
    <comment ref="C24" authorId="15" shapeId="0" xr:uid="{90DB6B36-5F43-4AB3-83B1-0F3501EAAC90}">
      <text>
        <t>[Threaded comment]
Your version of Excel allows you to read this threaded comment; however, any edits to it will get removed if the file is opened in a newer version of Excel. Learn more: https://go.microsoft.com/fwlink/?linkid=870924
Comment:
    EDP suggested £5k for EIA for PAC and £10k for ES Chapter and NTS</t>
      </text>
    </comment>
    <comment ref="C25" authorId="16" shapeId="0" xr:uid="{665E20BE-2425-4710-83C2-27B99633370C}">
      <text>
        <t xml:space="preserve">[Threaded comment]
Your version of Excel allows you to read this threaded comment; however, any edits to it will get removed if the file is opened in a newer version of Excel. Learn more: https://go.microsoft.com/fwlink/?linkid=870924
Comment:
    Includes ecology input £3000 and landscape input £2000 (EDP) </t>
      </text>
    </comment>
    <comment ref="E28" authorId="17" shapeId="0" xr:uid="{C32A97EC-E6D6-4578-BFFD-F2D80301320D}">
      <text>
        <t>[Threaded comment]
Your version of Excel allows you to read this threaded comment; however, any edits to it will get removed if the file is opened in a newer version of Excel. Learn more: https://go.microsoft.com/fwlink/?linkid=870924
Comment:
    Excludes River Morph assessment (given BNG is optional) otherwise would be an additional £3,500</t>
      </text>
    </comment>
    <comment ref="C29" authorId="18" shapeId="0" xr:uid="{F8C65E9D-CCE1-410D-AD86-CA8922670DBA}">
      <text>
        <t>[Threaded comment]
Your version of Excel allows you to read this threaded comment; however, any edits to it will get removed if the file is opened in a newer version of Excel. Learn more: https://go.microsoft.com/fwlink/?linkid=870924
Comment:
    Desktop study £1000, consultation on VP £500, site visit and photos day £5000 and night £4000</t>
      </text>
    </comment>
    <comment ref="C30" authorId="19" shapeId="0" xr:uid="{08662330-ABD1-496A-9BAF-D7AC97F4889B}">
      <text>
        <t>[Threaded comment]
Your version of Excel allows you to read this threaded comment; however, any edits to it will get removed if the file is opened in a newer version of Excel. Learn more: https://go.microsoft.com/fwlink/?linkid=870924
Comment:
    Design development £2,000, LV baseline £8000 and LVA for PAC £5000</t>
      </text>
    </comment>
    <comment ref="C34" authorId="20" shapeId="0" xr:uid="{DFE14F82-16A0-4A05-B21E-7D7C973D7430}">
      <text>
        <t>[Threaded comment]
Your version of Excel allows you to read this threaded comment; however, any edits to it will get removed if the file is opened in a newer version of Excel. Learn more: https://go.microsoft.com/fwlink/?linkid=870924
Comment:
    ES Chapter eand TS £10k plus cumulative £2k</t>
      </text>
    </comment>
    <comment ref="C36" authorId="21" shapeId="0" xr:uid="{AC45A283-4A50-4617-9F6E-AA6F240C61DB}">
      <text>
        <t>[Threaded comment]
Your version of Excel allows you to read this threaded comment; however, any edits to it will get removed if the file is opened in a newer version of Excel. Learn more: https://go.microsoft.com/fwlink/?linkid=870924
Comment:
    Assumes 5 at Y1 and Y15</t>
      </text>
    </comment>
    <comment ref="C39" authorId="22" shapeId="0" xr:uid="{8B5EE38C-1797-4A71-8AE5-38A039ADFB51}">
      <text>
        <t>[Threaded comment]
Your version of Excel allows you to read this threaded comment; however, any edits to it will get removed if the file is opened in a newer version of Excel. Learn more: https://go.microsoft.com/fwlink/?linkid=870924
Comment:
    AOC - £245 per hax 162 ha (£39,690)
Cotswold - £60,000 (based on 154ha)</t>
      </text>
    </comment>
    <comment ref="E43" authorId="23" shapeId="0" xr:uid="{441D8473-2D03-4ED4-81EA-5564A632D79F}">
      <text>
        <t xml:space="preserve">[Threaded comment]
Your version of Excel allows you to read this threaded comment; however, any edits to it will get removed if the file is opened in a newer version of Excel. Learn more: https://go.microsoft.com/fwlink/?linkid=870924
Comment:
    £425k is based on a 2% trenching sample £370k (as below) plus 15% contingency to allow for more complex archaeology in greater concentrations being identified.  Costs will be lower if 1% (as below). 
2% trenching sample (equating to 344 trenches, each measuring 50m in length and 1.8m in width): £370,000 + VAT.
1% trenching sample (equating to 174 trenches, each measuring 50m in length and 1.8m in width): £215,000 + VAT. 
</t>
      </text>
    </comment>
    <comment ref="C45" authorId="24" shapeId="0" xr:uid="{B463DD3C-C8AD-4568-9F21-496581A4F8EA}">
      <text>
        <t>[Threaded comment]
Your version of Excel allows you to read this threaded comment; however, any edits to it will get removed if the file is opened in a newer version of Excel. Learn more: https://go.microsoft.com/fwlink/?linkid=870924
Comment:
    D1 Masterplan advice, D2 NRW engagement, D3 SAB engagement D5 Summary and D13 Meetings</t>
      </text>
    </comment>
    <comment ref="C48" authorId="25" shapeId="0" xr:uid="{3530E987-B921-4C69-86EC-844437A6AF53}">
      <text>
        <t xml:space="preserve">[Threaded comment]
Your version of Excel allows you to read this threaded comment; however, any edits to it will get removed if the file is opened in a newer version of Excel. Learn more: https://go.microsoft.com/fwlink/?linkid=870924
Comment:
    Breach modelling - unlikely to be required </t>
      </text>
    </comment>
    <comment ref="C52" authorId="26" shapeId="0" xr:uid="{E2932F99-46F4-434C-8898-0E5E3C58A553}">
      <text>
        <t>[Threaded comment]
Your version of Excel allows you to read this threaded comment; however, any edits to it will get removed if the file is opened in a newer version of Excel. Learn more: https://go.microsoft.com/fwlink/?linkid=870924
Comment:
    Kernon advised this isn't required as site is predominantly 3b.
Phase 1 - £2,700 to do the pasture fields (w/c 22nd July or 29th July)
Phase 2 - Late September for arable (£4,000).</t>
      </text>
    </comment>
    <comment ref="C55" authorId="27" shapeId="0" xr:uid="{68B9DB8C-3A26-46CE-89E5-ABA649BBBFD2}">
      <text>
        <t>[Threaded comment]
Your version of Excel allows you to read this threaded comment; however, any edits to it will get removed if the file is opened in a newer version of Excel. Learn more: https://go.microsoft.com/fwlink/?linkid=870924
Comment:
    Assumed 3 x meetings £1350</t>
      </text>
    </comment>
    <comment ref="C62" authorId="28" shapeId="0" xr:uid="{A6FAA214-7232-4992-9983-E28D50B8C318}">
      <text>
        <t>[Threaded comment]
Your version of Excel allows you to read this threaded comment; however, any edits to it will get removed if the file is opened in a newer version of Excel. Learn more: https://go.microsoft.com/fwlink/?linkid=870924
Comment:
    Tree survey £2,500, design inputs £1,000, Baseline report and tree constraints £2,500, AIA for PC/submission (assumed £2,500)</t>
      </text>
    </comment>
    <comment ref="C66" authorId="29" shapeId="0" xr:uid="{67E9FDB6-4B6F-4BDD-9E5B-2C9F7CC77C34}">
      <text>
        <t xml:space="preserve">[Threaded comment]
Your version of Excel allows you to read this threaded comment; however, any edits to it will get removed if the file is opened in a newer version of Excel. Learn more: https://go.microsoft.com/fwlink/?linkid=870924
Comment:
    Item 5 G&amp;G Assessment (Fixed and Tracker ) Item 7 Stakeholder Consultation and Support </t>
      </text>
    </comment>
    <comment ref="C75" authorId="30" shapeId="0" xr:uid="{ED300671-255B-4B8E-92FF-922E21B6BFA6}">
      <text>
        <t xml:space="preserve">[Threaded comment]
Your version of Excel allows you to read this threaded comment; however, any edits to it will get removed if the file is opened in a newer version of Excel. Learn more: https://go.microsoft.com/fwlink/?linkid=870924
Comment:
    CBR - optional. </t>
      </text>
    </comment>
    <comment ref="C76" authorId="31" shapeId="0" xr:uid="{FBD4E910-557A-45E0-BA9B-419DBBB4ADE3}">
      <text>
        <t xml:space="preserve">[Threaded comment]
Your version of Excel allows you to read this threaded comment; however, any edits to it will get removed if the file is opened in a newer version of Excel. Learn more: https://go.microsoft.com/fwlink/?linkid=870924
Comment:
    Total £62,650 plus £25k expenses. This includes:
Stage 1 (excl. local community online social sentiment) £ 9,350
Stage 2 - EIA Scoping and Informal consultation £16,600
Stage 3  PAC £19,700
Stage 4 PAC report and application submission £6,800
5) Media - £2550
6) PM and Communty response desk £7,650
</t>
      </text>
    </comment>
    <comment ref="E78" authorId="32" shapeId="0" xr:uid="{1C9CD9E8-E416-4EC7-8F32-68D4D4516EE6}">
      <text>
        <t xml:space="preserve">[Threaded comment]
Your version of Excel allows you to read this threaded comment; however, any edits to it will get removed if the file is opened in a newer version of Excel. Learn more: https://go.microsoft.com/fwlink/?linkid=870924
Comment:
    Indicative figure </t>
      </text>
    </comment>
    <comment ref="E79" authorId="33" shapeId="0" xr:uid="{531C849B-DF8E-4C89-974F-CABCCDAE1D8E}">
      <text>
        <t xml:space="preserve">[Threaded comment]
Your version of Excel allows you to read this threaded comment; however, any edits to it will get removed if the file is opened in a newer version of Excel. Learn more: https://go.microsoft.com/fwlink/?linkid=870924
Comment:
    Post-submission and Examination estimate (Items 8 - 11) </t>
      </text>
    </comment>
    <comment ref="E80" authorId="34" shapeId="0" xr:uid="{6CF563E8-2A92-43FE-860B-19087BA36F7C}">
      <text>
        <t>[Threaded comment]
Your version of Excel allows you to read this threaded comment; however, any edits to it will get removed if the file is opened in a newer version of Excel. Learn more: https://go.microsoft.com/fwlink/?linkid=870924
Comment:
    Post-submission fee £41k</t>
      </text>
    </comment>
    <comment ref="E81" authorId="35" shapeId="0" xr:uid="{87B57483-81D3-492C-8C8B-FC9FBDFDADBC}">
      <text>
        <t xml:space="preserve">[Threaded comment]
Your version of Excel allows you to read this threaded comment; however, any edits to it will get removed if the file is opened in a newer version of Excel. Learn more: https://go.microsoft.com/fwlink/?linkid=870924
Comment:
    Indicative figure </t>
      </text>
    </comment>
    <comment ref="E83" authorId="36" shapeId="0" xr:uid="{A976DF99-105A-432F-BC62-773380A36334}">
      <text>
        <t xml:space="preserve">[Threaded comment]
Your version of Excel allows you to read this threaded comment; however, any edits to it will get removed if the file is opened in a newer version of Excel. Learn more: https://go.microsoft.com/fwlink/?linkid=870924
Comment:
    £400k is worst case scenario, and the best case scenario for shortest route, at lower land value, came out at £275k.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Sam Aitchison</author>
    <author>Natasha Worrall</author>
    <author>Will Threlfall</author>
    <author>tc={6626435F-F4F3-40A4-B039-DFEC84AA5472}</author>
    <author>tc={90792C32-D03B-4A89-B087-E7E5D54BD2DD}</author>
    <author>tc={9C3FA45C-91BF-4274-9DFF-C9331782029A}</author>
  </authors>
  <commentList>
    <comment ref="M4" authorId="0" shapeId="0" xr:uid="{287FC2E1-6325-4ACD-830A-C54DE59E1225}">
      <text>
        <r>
          <rPr>
            <b/>
            <sz val="9"/>
            <color indexed="81"/>
            <rFont val="Tahoma"/>
            <family val="2"/>
          </rPr>
          <t>Sam Aitchison:</t>
        </r>
        <r>
          <rPr>
            <sz val="9"/>
            <color indexed="81"/>
            <rFont val="Tahoma"/>
            <family val="2"/>
          </rPr>
          <t xml:space="preserve">
Invoice 80123594
Paid 09/03/21</t>
        </r>
      </text>
    </comment>
    <comment ref="AY4" authorId="0" shapeId="0" xr:uid="{ABEB6B20-52C8-4D43-9F18-53DE0E96B41D}">
      <text>
        <r>
          <rPr>
            <b/>
            <sz val="9"/>
            <color indexed="81"/>
            <rFont val="Tahoma"/>
            <family val="2"/>
          </rPr>
          <t>Sam Aitchison:</t>
        </r>
        <r>
          <rPr>
            <sz val="9"/>
            <color indexed="81"/>
            <rFont val="Tahoma"/>
            <family val="2"/>
          </rPr>
          <t xml:space="preserve">
Mod App to Change dates - 80323620</t>
        </r>
      </text>
    </comment>
    <comment ref="D7" authorId="1" shapeId="0" xr:uid="{5CC72E9C-C4DB-4C23-932D-E4DB6C615547}">
      <text>
        <r>
          <rPr>
            <b/>
            <sz val="9"/>
            <color indexed="81"/>
            <rFont val="Tahoma"/>
            <family val="2"/>
          </rPr>
          <t>Natasha Worrall:</t>
        </r>
        <r>
          <rPr>
            <sz val="9"/>
            <color indexed="81"/>
            <rFont val="Tahoma"/>
            <family val="2"/>
          </rPr>
          <t xml:space="preserve">
Based on WB&amp;C 
£30,000 per crossing, 4 crossings</t>
        </r>
      </text>
    </comment>
    <comment ref="D8" authorId="1" shapeId="0" xr:uid="{8F16275B-8AE6-4B87-884D-DEBC663A210B}">
      <text>
        <r>
          <rPr>
            <b/>
            <sz val="9"/>
            <color indexed="81"/>
            <rFont val="Tahoma"/>
            <family val="2"/>
          </rPr>
          <t>Natasha Worrall:</t>
        </r>
        <r>
          <rPr>
            <sz val="9"/>
            <color indexed="81"/>
            <rFont val="Tahoma"/>
            <family val="2"/>
          </rPr>
          <t xml:space="preserve">
Easement fee based on £630 per MW</t>
        </r>
      </text>
    </comment>
    <comment ref="AN9" authorId="1" shapeId="0" xr:uid="{0374E745-C972-4CF9-88AC-1759DBDE63F6}">
      <text>
        <r>
          <rPr>
            <b/>
            <sz val="9"/>
            <color indexed="81"/>
            <rFont val="Tahoma"/>
            <family val="2"/>
          </rPr>
          <t>Natasha Worrall:</t>
        </r>
        <r>
          <rPr>
            <sz val="9"/>
            <color indexed="81"/>
            <rFont val="Tahoma"/>
            <family val="2"/>
          </rPr>
          <t xml:space="preserve">
Carter Jonas for Sean Edwards land</t>
        </r>
      </text>
    </comment>
    <comment ref="AP9" authorId="1" shapeId="0" xr:uid="{C1F6C087-7C33-4A95-AAE3-7159A2E858E8}">
      <text>
        <r>
          <rPr>
            <b/>
            <sz val="9"/>
            <color indexed="81"/>
            <rFont val="Tahoma"/>
            <family val="2"/>
          </rPr>
          <t>Natasha Worrall:</t>
        </r>
        <r>
          <rPr>
            <sz val="9"/>
            <color indexed="81"/>
            <rFont val="Tahoma"/>
            <family val="2"/>
          </rPr>
          <t xml:space="preserve">
Carter Jonas &amp; Pellys agent fees/option agreement for Sean Richards </t>
        </r>
      </text>
    </comment>
    <comment ref="D10" authorId="2" shapeId="0" xr:uid="{7CB42A3D-B36A-4DF2-9183-5119D2285493}">
      <text>
        <r>
          <rPr>
            <b/>
            <sz val="9"/>
            <color indexed="81"/>
            <rFont val="Tahoma"/>
            <family val="2"/>
          </rPr>
          <t>Will Threlfall:</t>
        </r>
        <r>
          <rPr>
            <sz val="9"/>
            <color indexed="81"/>
            <rFont val="Tahoma"/>
            <family val="2"/>
          </rPr>
          <t xml:space="preserve">
679020</t>
        </r>
      </text>
    </comment>
    <comment ref="E10" authorId="2" shapeId="0" xr:uid="{EBC31C4E-DEC9-4F3C-8E4A-08D45EB9BE1D}">
      <text>
        <r>
          <rPr>
            <b/>
            <sz val="9"/>
            <color indexed="81"/>
            <rFont val="Tahoma"/>
            <family val="2"/>
          </rPr>
          <t>Will Threlfall:</t>
        </r>
        <r>
          <rPr>
            <sz val="9"/>
            <color indexed="81"/>
            <rFont val="Tahoma"/>
            <family val="2"/>
          </rPr>
          <t xml:space="preserve">
679020</t>
        </r>
      </text>
    </comment>
    <comment ref="AO10" authorId="1" shapeId="0" xr:uid="{509C9B95-CF0F-4FA1-AEF8-D7C94F418E13}">
      <text>
        <r>
          <rPr>
            <b/>
            <sz val="9"/>
            <color indexed="81"/>
            <rFont val="Tahoma"/>
            <family val="2"/>
          </rPr>
          <t>Natasha Worrall:</t>
        </r>
        <r>
          <rPr>
            <sz val="9"/>
            <color indexed="81"/>
            <rFont val="Tahoma"/>
            <family val="2"/>
          </rPr>
          <t xml:space="preserve">
#008343
</t>
        </r>
      </text>
    </comment>
    <comment ref="AP10" authorId="1" shapeId="0" xr:uid="{D3DC146A-56C2-4854-B183-192918C50278}">
      <text>
        <r>
          <rPr>
            <b/>
            <sz val="9"/>
            <color indexed="81"/>
            <rFont val="Tahoma"/>
            <family val="2"/>
          </rPr>
          <t>Natasha Worrall:</t>
        </r>
        <r>
          <rPr>
            <sz val="9"/>
            <color indexed="81"/>
            <rFont val="Tahoma"/>
            <family val="2"/>
          </rPr>
          <t xml:space="preserve">
008706</t>
        </r>
      </text>
    </comment>
    <comment ref="AQ10" authorId="1" shapeId="0" xr:uid="{BAFECBE9-7B7C-4FDA-BF4C-CFDEFFBB205F}">
      <text>
        <r>
          <rPr>
            <b/>
            <sz val="9"/>
            <color indexed="81"/>
            <rFont val="Tahoma"/>
            <family val="2"/>
          </rPr>
          <t>Natasha Worrall:</t>
        </r>
        <r>
          <rPr>
            <sz val="9"/>
            <color indexed="81"/>
            <rFont val="Tahoma"/>
            <family val="2"/>
          </rPr>
          <t xml:space="preserve">
008772 
Whole team site visit held this month so cost higher
</t>
        </r>
      </text>
    </comment>
    <comment ref="AR10" authorId="1" shapeId="0" xr:uid="{1647EEFA-058B-4A04-829C-379F806153BC}">
      <text>
        <r>
          <rPr>
            <b/>
            <sz val="9"/>
            <color indexed="81"/>
            <rFont val="Tahoma"/>
            <family val="2"/>
          </rPr>
          <t>Natasha Worrall:</t>
        </r>
        <r>
          <rPr>
            <sz val="9"/>
            <color indexed="81"/>
            <rFont val="Tahoma"/>
            <family val="2"/>
          </rPr>
          <t xml:space="preserve">
008975
009186</t>
        </r>
      </text>
    </comment>
    <comment ref="AS10" authorId="1" shapeId="0" xr:uid="{0A45AD68-A6F0-45C5-8397-2B724C4BF9AC}">
      <text>
        <r>
          <rPr>
            <b/>
            <sz val="9"/>
            <color indexed="81"/>
            <rFont val="Tahoma"/>
            <family val="2"/>
          </rPr>
          <t>Natasha Worrall:</t>
        </r>
        <r>
          <rPr>
            <sz val="9"/>
            <color indexed="81"/>
            <rFont val="Tahoma"/>
            <family val="2"/>
          </rPr>
          <t xml:space="preserve">
09177
009390</t>
        </r>
      </text>
    </comment>
    <comment ref="AT10" authorId="1" shapeId="0" xr:uid="{2AE237BB-7727-4A00-AF1D-55FB62EBC689}">
      <text>
        <r>
          <rPr>
            <b/>
            <sz val="9"/>
            <color indexed="81"/>
            <rFont val="Tahoma"/>
            <family val="2"/>
          </rPr>
          <t>Natasha Worrall:</t>
        </r>
        <r>
          <rPr>
            <sz val="9"/>
            <color indexed="81"/>
            <rFont val="Tahoma"/>
            <family val="2"/>
          </rPr>
          <t xml:space="preserve">
009375
</t>
        </r>
      </text>
    </comment>
    <comment ref="AU10" authorId="1" shapeId="0" xr:uid="{6EB2365B-6F5A-4C7E-B534-FA1F4112AC99}">
      <text>
        <r>
          <rPr>
            <b/>
            <sz val="9"/>
            <color indexed="81"/>
            <rFont val="Tahoma"/>
            <family val="2"/>
          </rPr>
          <t>Natasha Worrall:</t>
        </r>
        <r>
          <rPr>
            <sz val="9"/>
            <color indexed="81"/>
            <rFont val="Tahoma"/>
            <family val="2"/>
          </rPr>
          <t xml:space="preserve">
009563</t>
        </r>
      </text>
    </comment>
    <comment ref="AV10" authorId="1" shapeId="0" xr:uid="{3D59D46C-107A-43B0-BD67-63067FF52671}">
      <text>
        <r>
          <rPr>
            <b/>
            <sz val="9"/>
            <color indexed="81"/>
            <rFont val="Tahoma"/>
            <family val="2"/>
          </rPr>
          <t>Natasha Worrall:</t>
        </r>
        <r>
          <rPr>
            <sz val="9"/>
            <color indexed="81"/>
            <rFont val="Tahoma"/>
            <family val="2"/>
          </rPr>
          <t xml:space="preserve">
009766</t>
        </r>
      </text>
    </comment>
    <comment ref="AW10" authorId="1" shapeId="0" xr:uid="{9A49BC6C-0870-4B2C-9D5F-6AFF68198A03}">
      <text>
        <r>
          <rPr>
            <b/>
            <sz val="9"/>
            <color indexed="81"/>
            <rFont val="Tahoma"/>
            <family val="2"/>
          </rPr>
          <t>Natasha Worrall:</t>
        </r>
        <r>
          <rPr>
            <sz val="9"/>
            <color indexed="81"/>
            <rFont val="Tahoma"/>
            <family val="2"/>
          </rPr>
          <t xml:space="preserve">
010229</t>
        </r>
      </text>
    </comment>
    <comment ref="AX10" authorId="3" shapeId="0" xr:uid="{6626435F-F4F3-40A4-B039-DFEC84AA5472}">
      <text>
        <t>[Threaded comment]
Your version of Excel allows you to read this threaded comment; however, any edits to it will get removed if the file is opened in a newer version of Excel. Learn more: https://go.microsoft.com/fwlink/?linkid=870924
Comment:
    010444</t>
      </text>
    </comment>
    <comment ref="AY10" authorId="2" shapeId="0" xr:uid="{145CC789-F842-4A33-A2F7-7E7BA3305140}">
      <text>
        <r>
          <rPr>
            <b/>
            <sz val="9"/>
            <color indexed="81"/>
            <rFont val="Tahoma"/>
            <family val="2"/>
          </rPr>
          <t>Will Threlfall:</t>
        </r>
        <r>
          <rPr>
            <sz val="9"/>
            <color indexed="81"/>
            <rFont val="Tahoma"/>
            <family val="2"/>
          </rPr>
          <t xml:space="preserve">
010454
Expenses feb 24- Apr24
£3552
010445
Incorprating BESS £4000
</t>
        </r>
      </text>
    </comment>
    <comment ref="AZ10" authorId="2" shapeId="0" xr:uid="{8B9ECC67-CC9B-46E0-BE0C-C52F6F90D316}">
      <text>
        <r>
          <rPr>
            <b/>
            <sz val="9"/>
            <color indexed="81"/>
            <rFont val="Tahoma"/>
            <family val="2"/>
          </rPr>
          <t>Will Threlfall:</t>
        </r>
        <r>
          <rPr>
            <sz val="9"/>
            <color indexed="81"/>
            <rFont val="Tahoma"/>
            <family val="2"/>
          </rPr>
          <t xml:space="preserve">
010688 (Inc.BESS)
010687 (Planning Costs)
</t>
        </r>
      </text>
    </comment>
    <comment ref="BA10" authorId="4" shapeId="0" xr:uid="{90792C32-D03B-4A89-B087-E7E5D54BD2DD}">
      <text>
        <t>[Threaded comment]
Your version of Excel allows you to read this threaded comment; however, any edits to it will get removed if the file is opened in a newer version of Excel. Learn more: https://go.microsoft.com/fwlink/?linkid=870924
Comment:
    Challended from £37k</t>
      </text>
    </comment>
    <comment ref="AY11" authorId="2" shapeId="0" xr:uid="{A889AE00-C560-49EA-B834-6A391420AAE9}">
      <text>
        <r>
          <rPr>
            <b/>
            <sz val="9"/>
            <color indexed="81"/>
            <rFont val="Tahoma"/>
            <family val="2"/>
          </rPr>
          <t>Will Threlfall:</t>
        </r>
        <r>
          <rPr>
            <sz val="9"/>
            <color indexed="81"/>
            <rFont val="Tahoma"/>
            <family val="2"/>
          </rPr>
          <t xml:space="preserve">
Pending PO aproval
</t>
        </r>
      </text>
    </comment>
    <comment ref="AZ11" authorId="2" shapeId="0" xr:uid="{7003595F-D767-4B61-A45F-49428948925F}">
      <text>
        <r>
          <rPr>
            <b/>
            <sz val="9"/>
            <color indexed="81"/>
            <rFont val="Tahoma"/>
            <family val="2"/>
          </rPr>
          <t>Will Threlfall:</t>
        </r>
        <r>
          <rPr>
            <sz val="9"/>
            <color indexed="81"/>
            <rFont val="Tahoma"/>
            <family val="2"/>
          </rPr>
          <t xml:space="preserve">
28565420- 
Scoping Report Fee included
</t>
        </r>
      </text>
    </comment>
    <comment ref="D14" authorId="1" shapeId="0" xr:uid="{80390F9C-4A21-4975-BEED-631925B1901B}">
      <text>
        <r>
          <rPr>
            <b/>
            <sz val="9"/>
            <color indexed="81"/>
            <rFont val="Tahoma"/>
            <family val="2"/>
          </rPr>
          <t>Natasha Worrall:</t>
        </r>
        <r>
          <rPr>
            <sz val="9"/>
            <color indexed="81"/>
            <rFont val="Tahoma"/>
            <family val="2"/>
          </rPr>
          <t xml:space="preserve">
Update when final PPA agreed with Wiltshire </t>
        </r>
      </text>
    </comment>
    <comment ref="F14" authorId="1" shapeId="0" xr:uid="{BB59CBC6-31CC-4381-A189-7F728BB3054B}">
      <text>
        <r>
          <rPr>
            <b/>
            <sz val="9"/>
            <color indexed="81"/>
            <rFont val="Tahoma"/>
            <family val="2"/>
          </rPr>
          <t>Natasha Worrall:</t>
        </r>
        <r>
          <rPr>
            <sz val="9"/>
            <color indexed="81"/>
            <rFont val="Tahoma"/>
            <family val="2"/>
          </rPr>
          <t xml:space="preserve">
Update when final PPA agreed with Wiltshire </t>
        </r>
      </text>
    </comment>
    <comment ref="AS20" authorId="1" shapeId="0" xr:uid="{1BCDEF1D-12D9-4E96-A5CE-C1D890447664}">
      <text>
        <r>
          <rPr>
            <b/>
            <sz val="9"/>
            <color indexed="81"/>
            <rFont val="Tahoma"/>
            <family val="2"/>
          </rPr>
          <t>Natasha Worrall:</t>
        </r>
        <r>
          <rPr>
            <sz val="9"/>
            <color indexed="81"/>
            <rFont val="Tahoma"/>
            <family val="2"/>
          </rPr>
          <t xml:space="preserve">
Lanpro producrement of topo survey
</t>
        </r>
      </text>
    </comment>
    <comment ref="AU20" authorId="1" shapeId="0" xr:uid="{28F48F6C-0F8E-4362-805E-3B0ADB547CD3}">
      <text>
        <r>
          <rPr>
            <b/>
            <sz val="9"/>
            <color indexed="81"/>
            <rFont val="Tahoma"/>
            <family val="2"/>
          </rPr>
          <t>Natasha Worrall:</t>
        </r>
        <r>
          <rPr>
            <sz val="9"/>
            <color indexed="81"/>
            <rFont val="Tahoma"/>
            <family val="2"/>
          </rPr>
          <t xml:space="preserve">
61467</t>
        </r>
      </text>
    </comment>
    <comment ref="AV20" authorId="1" shapeId="0" xr:uid="{972B8707-1C13-43C9-85E0-5872B58A4AF5}">
      <text>
        <r>
          <rPr>
            <b/>
            <sz val="9"/>
            <color indexed="81"/>
            <rFont val="Tahoma"/>
            <family val="2"/>
          </rPr>
          <t>Natasha Worrall:</t>
        </r>
        <r>
          <rPr>
            <sz val="9"/>
            <color indexed="81"/>
            <rFont val="Tahoma"/>
            <family val="2"/>
          </rPr>
          <t xml:space="preserve">
009779</t>
        </r>
      </text>
    </comment>
    <comment ref="AQ21" authorId="1" shapeId="0" xr:uid="{55F2E1FB-6EB6-4A3B-B607-BD775BF1A2E2}">
      <text>
        <r>
          <rPr>
            <b/>
            <sz val="9"/>
            <color indexed="81"/>
            <rFont val="Tahoma"/>
            <family val="2"/>
          </rPr>
          <t>Natasha Worrall:</t>
        </r>
        <r>
          <rPr>
            <sz val="9"/>
            <color indexed="81"/>
            <rFont val="Tahoma"/>
            <family val="2"/>
          </rPr>
          <t xml:space="preserve">
008935</t>
        </r>
      </text>
    </comment>
    <comment ref="AR21" authorId="1" shapeId="0" xr:uid="{AE3069D6-A3E0-4DFF-AADF-E6060E91394C}">
      <text>
        <r>
          <rPr>
            <b/>
            <sz val="9"/>
            <color indexed="81"/>
            <rFont val="Tahoma"/>
            <family val="2"/>
          </rPr>
          <t>Natasha Worrall:</t>
        </r>
        <r>
          <rPr>
            <sz val="9"/>
            <color indexed="81"/>
            <rFont val="Tahoma"/>
            <family val="2"/>
          </rPr>
          <t xml:space="preserve">
008978</t>
        </r>
      </text>
    </comment>
    <comment ref="AS21" authorId="1" shapeId="0" xr:uid="{9F4E9AF4-A36E-4E4F-B9DF-D2870421EA69}">
      <text>
        <r>
          <rPr>
            <b/>
            <sz val="9"/>
            <color indexed="81"/>
            <rFont val="Tahoma"/>
            <family val="2"/>
          </rPr>
          <t>Natasha Worrall:</t>
        </r>
        <r>
          <rPr>
            <sz val="9"/>
            <color indexed="81"/>
            <rFont val="Tahoma"/>
            <family val="2"/>
          </rPr>
          <t xml:space="preserve">
009179</t>
        </r>
      </text>
    </comment>
    <comment ref="AT21" authorId="1" shapeId="0" xr:uid="{317EAC20-A828-4B6F-BF0C-0028AFE3E165}">
      <text>
        <r>
          <rPr>
            <b/>
            <sz val="9"/>
            <color indexed="81"/>
            <rFont val="Tahoma"/>
            <family val="2"/>
          </rPr>
          <t>Natasha Worrall:</t>
        </r>
        <r>
          <rPr>
            <sz val="9"/>
            <color indexed="81"/>
            <rFont val="Tahoma"/>
            <family val="2"/>
          </rPr>
          <t xml:space="preserve">
009377</t>
        </r>
      </text>
    </comment>
    <comment ref="AU21" authorId="1" shapeId="0" xr:uid="{73F90A7D-2FB4-4431-90FD-31EABC21DF9C}">
      <text>
        <r>
          <rPr>
            <b/>
            <sz val="9"/>
            <color indexed="81"/>
            <rFont val="Tahoma"/>
            <family val="2"/>
          </rPr>
          <t>Natasha Worrall:</t>
        </r>
        <r>
          <rPr>
            <sz val="9"/>
            <color indexed="81"/>
            <rFont val="Tahoma"/>
            <family val="2"/>
          </rPr>
          <t xml:space="preserve">
009565</t>
        </r>
      </text>
    </comment>
    <comment ref="AV21" authorId="1" shapeId="0" xr:uid="{650798F4-8E7B-4D05-BAEF-CBA845F02FD1}">
      <text>
        <r>
          <rPr>
            <b/>
            <sz val="9"/>
            <color indexed="81"/>
            <rFont val="Tahoma"/>
            <family val="2"/>
          </rPr>
          <t>Natasha Worrall:</t>
        </r>
        <r>
          <rPr>
            <sz val="9"/>
            <color indexed="81"/>
            <rFont val="Tahoma"/>
            <family val="2"/>
          </rPr>
          <t xml:space="preserve">
009982</t>
        </r>
      </text>
    </comment>
    <comment ref="AW21" authorId="1" shapeId="0" xr:uid="{833F7F6E-7D43-43CC-B5A1-85902CA7614C}">
      <text>
        <r>
          <rPr>
            <b/>
            <sz val="9"/>
            <color indexed="81"/>
            <rFont val="Tahoma"/>
            <family val="2"/>
          </rPr>
          <t>Natasha Worrall:</t>
        </r>
        <r>
          <rPr>
            <sz val="9"/>
            <color indexed="81"/>
            <rFont val="Tahoma"/>
            <family val="2"/>
          </rPr>
          <t xml:space="preserve">
010209</t>
        </r>
      </text>
    </comment>
    <comment ref="AX21" authorId="1" shapeId="0" xr:uid="{A3670F20-C76C-4152-8CF8-05F19C42A84D}">
      <text>
        <r>
          <rPr>
            <b/>
            <sz val="9"/>
            <color indexed="81"/>
            <rFont val="Tahoma"/>
            <family val="2"/>
          </rPr>
          <t>Natasha Worrall:</t>
        </r>
        <r>
          <rPr>
            <sz val="9"/>
            <color indexed="81"/>
            <rFont val="Tahoma"/>
            <family val="2"/>
          </rPr>
          <t xml:space="preserve">
009981</t>
        </r>
      </text>
    </comment>
    <comment ref="AY21" authorId="2" shapeId="0" xr:uid="{67F9116F-52BD-461A-A47D-CFB0545C8516}">
      <text>
        <r>
          <rPr>
            <b/>
            <sz val="9"/>
            <color indexed="81"/>
            <rFont val="Tahoma"/>
            <family val="2"/>
          </rPr>
          <t>Will Threlfall:</t>
        </r>
        <r>
          <rPr>
            <sz val="9"/>
            <color indexed="81"/>
            <rFont val="Tahoma"/>
            <family val="2"/>
          </rPr>
          <t xml:space="preserve">
010450
</t>
        </r>
      </text>
    </comment>
    <comment ref="BA21" authorId="2" shapeId="0" xr:uid="{C538EEEB-0F56-4767-ADEB-372C2DBA01FA}">
      <text>
        <r>
          <rPr>
            <b/>
            <sz val="9"/>
            <color indexed="81"/>
            <rFont val="Tahoma"/>
            <family val="2"/>
          </rPr>
          <t>Will Threlfall:</t>
        </r>
        <r>
          <rPr>
            <sz val="9"/>
            <color indexed="81"/>
            <rFont val="Tahoma"/>
            <family val="2"/>
          </rPr>
          <t xml:space="preserve">
010906
</t>
        </r>
      </text>
    </comment>
    <comment ref="AP23" authorId="1" shapeId="0" xr:uid="{9E761DC8-116A-46DD-8C96-87203B12F1AC}">
      <text>
        <r>
          <rPr>
            <b/>
            <sz val="9"/>
            <color indexed="81"/>
            <rFont val="Tahoma"/>
            <family val="2"/>
          </rPr>
          <t>Natasha Worrall:</t>
        </r>
        <r>
          <rPr>
            <sz val="9"/>
            <color indexed="81"/>
            <rFont val="Tahoma"/>
            <family val="2"/>
          </rPr>
          <t xml:space="preserve">
#008707</t>
        </r>
      </text>
    </comment>
    <comment ref="AQ23" authorId="1" shapeId="0" xr:uid="{C0D1C303-4F2B-4A8D-B524-8A89F74F2AEC}">
      <text>
        <r>
          <rPr>
            <b/>
            <sz val="9"/>
            <color indexed="81"/>
            <rFont val="Tahoma"/>
            <family val="2"/>
          </rPr>
          <t>Natasha Worrall:</t>
        </r>
        <r>
          <rPr>
            <sz val="9"/>
            <color indexed="81"/>
            <rFont val="Tahoma"/>
            <family val="2"/>
          </rPr>
          <t xml:space="preserve">
008765</t>
        </r>
      </text>
    </comment>
    <comment ref="AR23" authorId="1" shapeId="0" xr:uid="{E0319BD2-BE85-4ABA-B245-719AEBBC8A74}">
      <text>
        <r>
          <rPr>
            <b/>
            <sz val="9"/>
            <color indexed="81"/>
            <rFont val="Tahoma"/>
            <family val="2"/>
          </rPr>
          <t>Natasha Worrall:</t>
        </r>
        <r>
          <rPr>
            <sz val="9"/>
            <color indexed="81"/>
            <rFont val="Tahoma"/>
            <family val="2"/>
          </rPr>
          <t xml:space="preserve">
009180</t>
        </r>
      </text>
    </comment>
    <comment ref="AT23" authorId="1" shapeId="0" xr:uid="{47B4AACB-E893-4CFD-ACE3-68E60290FE83}">
      <text>
        <r>
          <rPr>
            <b/>
            <sz val="9"/>
            <color indexed="81"/>
            <rFont val="Tahoma"/>
            <family val="2"/>
          </rPr>
          <t>Natasha Worrall:</t>
        </r>
        <r>
          <rPr>
            <sz val="9"/>
            <color indexed="81"/>
            <rFont val="Tahoma"/>
            <family val="2"/>
          </rPr>
          <t xml:space="preserve">
009378</t>
        </r>
      </text>
    </comment>
    <comment ref="AU23" authorId="1" shapeId="0" xr:uid="{76FC7974-66AD-42A7-9E46-4A4A1F3B3CF9}">
      <text>
        <r>
          <rPr>
            <b/>
            <sz val="9"/>
            <color indexed="81"/>
            <rFont val="Tahoma"/>
            <family val="2"/>
          </rPr>
          <t>Natasha Worrall:</t>
        </r>
        <r>
          <rPr>
            <sz val="9"/>
            <color indexed="81"/>
            <rFont val="Tahoma"/>
            <family val="2"/>
          </rPr>
          <t xml:space="preserve">
009572
</t>
        </r>
      </text>
    </comment>
    <comment ref="AV23" authorId="1" shapeId="0" xr:uid="{3C6A33A3-F1EF-46B3-AD2B-7701CDE69FAD}">
      <text>
        <r>
          <rPr>
            <b/>
            <sz val="9"/>
            <color indexed="81"/>
            <rFont val="Tahoma"/>
            <family val="2"/>
          </rPr>
          <t>Natasha Worrall:</t>
        </r>
        <r>
          <rPr>
            <sz val="9"/>
            <color indexed="81"/>
            <rFont val="Tahoma"/>
            <family val="2"/>
          </rPr>
          <t xml:space="preserve">
009783
+ £129 for meeting</t>
        </r>
      </text>
    </comment>
    <comment ref="AW23" authorId="1" shapeId="0" xr:uid="{0A49F22D-2003-470C-8D30-8D18FE2B7DA8}">
      <text>
        <r>
          <rPr>
            <b/>
            <sz val="9"/>
            <color indexed="81"/>
            <rFont val="Tahoma"/>
            <family val="2"/>
          </rPr>
          <t>Natasha Worrall:</t>
        </r>
        <r>
          <rPr>
            <sz val="9"/>
            <color indexed="81"/>
            <rFont val="Tahoma"/>
            <family val="2"/>
          </rPr>
          <t xml:space="preserve">
009980</t>
        </r>
      </text>
    </comment>
    <comment ref="AX23" authorId="1" shapeId="0" xr:uid="{38C08236-1B11-4843-9C41-2D11F5EF5489}">
      <text>
        <r>
          <rPr>
            <b/>
            <sz val="9"/>
            <color indexed="81"/>
            <rFont val="Tahoma"/>
            <family val="2"/>
          </rPr>
          <t>Natasha Worrall:</t>
        </r>
        <r>
          <rPr>
            <sz val="9"/>
            <color indexed="81"/>
            <rFont val="Tahoma"/>
            <family val="2"/>
          </rPr>
          <t xml:space="preserve">
010211</t>
        </r>
      </text>
    </comment>
    <comment ref="AY23" authorId="2" shapeId="0" xr:uid="{97A57A06-1503-473D-9F0E-0CB49BEFAE6C}">
      <text>
        <r>
          <rPr>
            <b/>
            <sz val="9"/>
            <color indexed="81"/>
            <rFont val="Tahoma"/>
            <family val="2"/>
          </rPr>
          <t>Will Threlfall:</t>
        </r>
        <r>
          <rPr>
            <sz val="9"/>
            <color indexed="81"/>
            <rFont val="Tahoma"/>
            <family val="2"/>
          </rPr>
          <t xml:space="preserve">
010451</t>
        </r>
      </text>
    </comment>
    <comment ref="AZ23" authorId="2" shapeId="0" xr:uid="{8B6AA921-EC6A-4A9B-A2B8-750D06E8C1D2}">
      <text>
        <r>
          <rPr>
            <b/>
            <sz val="9"/>
            <color indexed="81"/>
            <rFont val="Tahoma"/>
            <family val="2"/>
          </rPr>
          <t>Will Threlfall:</t>
        </r>
        <r>
          <rPr>
            <sz val="9"/>
            <color indexed="81"/>
            <rFont val="Tahoma"/>
            <family val="2"/>
          </rPr>
          <t xml:space="preserve">
010693
</t>
        </r>
      </text>
    </comment>
    <comment ref="BA23" authorId="2" shapeId="0" xr:uid="{CC98B217-E1F5-4E96-A546-7B896FD09ECE}">
      <text>
        <r>
          <rPr>
            <b/>
            <sz val="9"/>
            <color indexed="81"/>
            <rFont val="Tahoma"/>
            <family val="2"/>
          </rPr>
          <t>Will Threlfall:</t>
        </r>
        <r>
          <rPr>
            <sz val="9"/>
            <color indexed="81"/>
            <rFont val="Tahoma"/>
            <family val="2"/>
          </rPr>
          <t xml:space="preserve">
010907
</t>
        </r>
      </text>
    </comment>
    <comment ref="AO24" authorId="1" shapeId="0" xr:uid="{9922EE4D-3224-4CCC-ABC5-F9AFD5497051}">
      <text>
        <r>
          <rPr>
            <b/>
            <sz val="9"/>
            <color indexed="81"/>
            <rFont val="Tahoma"/>
            <family val="2"/>
          </rPr>
          <t>Natasha Worrall:</t>
        </r>
        <r>
          <rPr>
            <sz val="9"/>
            <color indexed="81"/>
            <rFont val="Tahoma"/>
            <family val="2"/>
          </rPr>
          <t xml:space="preserve">
#8345</t>
        </r>
      </text>
    </comment>
    <comment ref="AP24" authorId="1" shapeId="0" xr:uid="{9EA2535B-7805-4EF2-8718-77B852359BEB}">
      <text>
        <r>
          <rPr>
            <b/>
            <sz val="9"/>
            <color indexed="81"/>
            <rFont val="Tahoma"/>
            <family val="2"/>
          </rPr>
          <t>Natasha Worrall:</t>
        </r>
        <r>
          <rPr>
            <sz val="9"/>
            <color indexed="81"/>
            <rFont val="Tahoma"/>
            <family val="2"/>
          </rPr>
          <t xml:space="preserve">
008704</t>
        </r>
      </text>
    </comment>
    <comment ref="AQ24" authorId="1" shapeId="0" xr:uid="{21C92D0D-749E-4549-A549-6B976C7D9A16}">
      <text>
        <r>
          <rPr>
            <b/>
            <sz val="9"/>
            <color indexed="81"/>
            <rFont val="Tahoma"/>
            <family val="2"/>
          </rPr>
          <t>Natasha Worrall:</t>
        </r>
        <r>
          <rPr>
            <sz val="9"/>
            <color indexed="81"/>
            <rFont val="Tahoma"/>
            <family val="2"/>
          </rPr>
          <t xml:space="preserve">
008768
008935</t>
        </r>
      </text>
    </comment>
    <comment ref="AR24" authorId="1" shapeId="0" xr:uid="{5F3FE7BE-69DB-4E25-B550-0E1B73368893}">
      <text>
        <r>
          <rPr>
            <b/>
            <sz val="9"/>
            <color indexed="81"/>
            <rFont val="Tahoma"/>
            <family val="2"/>
          </rPr>
          <t>Natasha Worrall:</t>
        </r>
        <r>
          <rPr>
            <sz val="9"/>
            <color indexed="81"/>
            <rFont val="Tahoma"/>
            <family val="2"/>
          </rPr>
          <t xml:space="preserve">
008979
009185</t>
        </r>
      </text>
    </comment>
    <comment ref="AS24" authorId="1" shapeId="0" xr:uid="{ED2DFACF-1A0B-42BE-B5B3-F20A160C6EBB}">
      <text>
        <r>
          <rPr>
            <b/>
            <sz val="9"/>
            <color indexed="81"/>
            <rFont val="Tahoma"/>
            <family val="2"/>
          </rPr>
          <t>Natasha Worrall:</t>
        </r>
        <r>
          <rPr>
            <sz val="9"/>
            <color indexed="81"/>
            <rFont val="Tahoma"/>
            <family val="2"/>
          </rPr>
          <t xml:space="preserve">
009179
</t>
        </r>
      </text>
    </comment>
    <comment ref="AT24" authorId="1" shapeId="0" xr:uid="{36EFEDDF-90B0-4452-B313-23E2A35272A4}">
      <text>
        <r>
          <rPr>
            <b/>
            <sz val="9"/>
            <color indexed="81"/>
            <rFont val="Tahoma"/>
            <family val="2"/>
          </rPr>
          <t>Natasha Worrall:</t>
        </r>
        <r>
          <rPr>
            <sz val="9"/>
            <color indexed="81"/>
            <rFont val="Tahoma"/>
            <family val="2"/>
          </rPr>
          <t xml:space="preserve">
009377</t>
        </r>
      </text>
    </comment>
    <comment ref="AU24" authorId="1" shapeId="0" xr:uid="{7A6574C2-A17C-4A6F-8311-A82184AFD5B5}">
      <text>
        <r>
          <rPr>
            <b/>
            <sz val="9"/>
            <color indexed="81"/>
            <rFont val="Tahoma"/>
            <family val="2"/>
          </rPr>
          <t>Natasha Worrall:</t>
        </r>
        <r>
          <rPr>
            <sz val="9"/>
            <color indexed="81"/>
            <rFont val="Tahoma"/>
            <family val="2"/>
          </rPr>
          <t xml:space="preserve">
009571</t>
        </r>
      </text>
    </comment>
    <comment ref="AV24" authorId="1" shapeId="0" xr:uid="{2D42C83D-61F6-4C28-B488-788F3BFB7C38}">
      <text>
        <r>
          <rPr>
            <b/>
            <sz val="9"/>
            <color indexed="81"/>
            <rFont val="Tahoma"/>
            <family val="2"/>
          </rPr>
          <t>Natasha Worrall:</t>
        </r>
        <r>
          <rPr>
            <sz val="9"/>
            <color indexed="81"/>
            <rFont val="Tahoma"/>
            <family val="2"/>
          </rPr>
          <t xml:space="preserve">
009779
</t>
        </r>
      </text>
    </comment>
    <comment ref="AX24" authorId="1" shapeId="0" xr:uid="{00B5EED0-32A5-4B80-BD13-890A326CF92D}">
      <text>
        <r>
          <rPr>
            <b/>
            <sz val="9"/>
            <color indexed="81"/>
            <rFont val="Tahoma"/>
            <family val="2"/>
          </rPr>
          <t>Natasha Worrall:</t>
        </r>
        <r>
          <rPr>
            <sz val="9"/>
            <color indexed="81"/>
            <rFont val="Tahoma"/>
            <family val="2"/>
          </rPr>
          <t xml:space="preserve">
010210</t>
        </r>
      </text>
    </comment>
    <comment ref="AY24" authorId="5" shapeId="0" xr:uid="{9C3FA45C-91BF-4274-9DFF-C9331782029A}">
      <text>
        <t>[Threaded comment]
Your version of Excel allows you to read this threaded comment; however, any edits to it will get removed if the file is opened in a newer version of Excel. Learn more: https://go.microsoft.com/fwlink/?linkid=870924
Comment:
    010449</t>
      </text>
    </comment>
    <comment ref="AZ24" authorId="2" shapeId="0" xr:uid="{7402B756-DBBF-4C58-A6CD-ECBA20045013}">
      <text>
        <r>
          <rPr>
            <b/>
            <sz val="9"/>
            <color indexed="81"/>
            <rFont val="Tahoma"/>
            <family val="2"/>
          </rPr>
          <t>Will Threlfall:</t>
        </r>
        <r>
          <rPr>
            <sz val="9"/>
            <color indexed="81"/>
            <rFont val="Tahoma"/>
            <family val="2"/>
          </rPr>
          <t xml:space="preserve">
010692
</t>
        </r>
      </text>
    </comment>
    <comment ref="BA24" authorId="2" shapeId="0" xr:uid="{85D2A267-7D8F-413F-A274-3ED7C77CC481}">
      <text>
        <r>
          <rPr>
            <b/>
            <sz val="9"/>
            <color indexed="81"/>
            <rFont val="Tahoma"/>
            <family val="2"/>
          </rPr>
          <t>Will Threlfall:</t>
        </r>
        <r>
          <rPr>
            <sz val="9"/>
            <color indexed="81"/>
            <rFont val="Tahoma"/>
            <family val="2"/>
          </rPr>
          <t xml:space="preserve">
010905
010915
</t>
        </r>
      </text>
    </comment>
    <comment ref="AO26" authorId="1" shapeId="0" xr:uid="{A96744DF-CAC0-4DCC-A3F8-3A68BAE792FD}">
      <text>
        <r>
          <rPr>
            <b/>
            <sz val="9"/>
            <color indexed="81"/>
            <rFont val="Tahoma"/>
            <family val="2"/>
          </rPr>
          <t>Natasha Worrall:</t>
        </r>
        <r>
          <rPr>
            <sz val="9"/>
            <color indexed="81"/>
            <rFont val="Tahoma"/>
            <family val="2"/>
          </rPr>
          <t xml:space="preserve">
#8344
</t>
        </r>
      </text>
    </comment>
    <comment ref="AP26" authorId="1" shapeId="0" xr:uid="{66FAA159-AC79-45B8-AD47-FDCA13FA5B1C}">
      <text>
        <r>
          <rPr>
            <b/>
            <sz val="9"/>
            <color indexed="81"/>
            <rFont val="Tahoma"/>
            <family val="2"/>
          </rPr>
          <t>Natasha Worrall:</t>
        </r>
        <r>
          <rPr>
            <sz val="9"/>
            <color indexed="81"/>
            <rFont val="Tahoma"/>
            <family val="2"/>
          </rPr>
          <t xml:space="preserve">
#008705</t>
        </r>
      </text>
    </comment>
    <comment ref="AQ26" authorId="1" shapeId="0" xr:uid="{7937B3E8-70A3-4B73-9644-352DB44C61F0}">
      <text>
        <r>
          <rPr>
            <b/>
            <sz val="9"/>
            <color indexed="81"/>
            <rFont val="Tahoma"/>
            <family val="2"/>
          </rPr>
          <t>Natasha Worrall:</t>
        </r>
        <r>
          <rPr>
            <sz val="9"/>
            <color indexed="81"/>
            <rFont val="Tahoma"/>
            <family val="2"/>
          </rPr>
          <t xml:space="preserve">
008767</t>
        </r>
      </text>
    </comment>
    <comment ref="AR26" authorId="1" shapeId="0" xr:uid="{78DF4EAE-E680-45A8-A6D2-CC4C848506A2}">
      <text>
        <r>
          <rPr>
            <b/>
            <sz val="9"/>
            <color indexed="81"/>
            <rFont val="Tahoma"/>
            <family val="2"/>
          </rPr>
          <t>Natasha Worrall:</t>
        </r>
        <r>
          <rPr>
            <sz val="9"/>
            <color indexed="81"/>
            <rFont val="Tahoma"/>
            <family val="2"/>
          </rPr>
          <t xml:space="preserve">
008976</t>
        </r>
      </text>
    </comment>
    <comment ref="AS26" authorId="1" shapeId="0" xr:uid="{3E4D6411-2E0C-4E8A-BEA0-477711D98E3D}">
      <text>
        <r>
          <rPr>
            <b/>
            <sz val="9"/>
            <color indexed="81"/>
            <rFont val="Tahoma"/>
            <family val="2"/>
          </rPr>
          <t>Natasha Worrall:</t>
        </r>
        <r>
          <rPr>
            <sz val="9"/>
            <color indexed="81"/>
            <rFont val="Tahoma"/>
            <family val="2"/>
          </rPr>
          <t xml:space="preserve">
009178
009187</t>
        </r>
      </text>
    </comment>
    <comment ref="AT26" authorId="1" shapeId="0" xr:uid="{2F8F0D24-8128-48A1-995A-DAACEDDA7899}">
      <text>
        <r>
          <rPr>
            <b/>
            <sz val="9"/>
            <color indexed="81"/>
            <rFont val="Tahoma"/>
            <family val="2"/>
          </rPr>
          <t>Natasha Worrall:</t>
        </r>
        <r>
          <rPr>
            <sz val="9"/>
            <color indexed="81"/>
            <rFont val="Tahoma"/>
            <family val="2"/>
          </rPr>
          <t xml:space="preserve">
009376
</t>
        </r>
      </text>
    </comment>
    <comment ref="AU26" authorId="1" shapeId="0" xr:uid="{6B14D5A5-12B6-4D91-B911-6F8BFECC44E4}">
      <text>
        <r>
          <rPr>
            <b/>
            <sz val="9"/>
            <color indexed="81"/>
            <rFont val="Tahoma"/>
            <family val="2"/>
          </rPr>
          <t>Natasha Worrall:</t>
        </r>
        <r>
          <rPr>
            <sz val="9"/>
            <color indexed="81"/>
            <rFont val="Tahoma"/>
            <family val="2"/>
          </rPr>
          <t xml:space="preserve">
009564
009570</t>
        </r>
      </text>
    </comment>
    <comment ref="AV26" authorId="1" shapeId="0" xr:uid="{F9304A40-562C-4320-B3D4-DABD1B4C6121}">
      <text>
        <r>
          <rPr>
            <b/>
            <sz val="9"/>
            <color indexed="81"/>
            <rFont val="Tahoma"/>
            <family val="2"/>
          </rPr>
          <t>Natasha Worrall:</t>
        </r>
        <r>
          <rPr>
            <sz val="9"/>
            <color indexed="81"/>
            <rFont val="Tahoma"/>
            <family val="2"/>
          </rPr>
          <t xml:space="preserve">
009773</t>
        </r>
      </text>
    </comment>
    <comment ref="AW26" authorId="1" shapeId="0" xr:uid="{BC509F61-EC74-4551-9CC4-484A6213CE8F}">
      <text>
        <r>
          <rPr>
            <b/>
            <sz val="9"/>
            <color indexed="81"/>
            <rFont val="Tahoma"/>
            <family val="2"/>
          </rPr>
          <t>Natasha Worrall:</t>
        </r>
        <r>
          <rPr>
            <sz val="9"/>
            <color indexed="81"/>
            <rFont val="Tahoma"/>
            <family val="2"/>
          </rPr>
          <t xml:space="preserve">
009983</t>
        </r>
      </text>
    </comment>
    <comment ref="AX26" authorId="1" shapeId="0" xr:uid="{FA41937E-FC2E-4F15-8B31-8C80624A8AD2}">
      <text>
        <r>
          <rPr>
            <b/>
            <sz val="9"/>
            <color indexed="81"/>
            <rFont val="Tahoma"/>
            <family val="2"/>
          </rPr>
          <t>Natasha Worrall:</t>
        </r>
        <r>
          <rPr>
            <sz val="9"/>
            <color indexed="81"/>
            <rFont val="Tahoma"/>
            <family val="2"/>
          </rPr>
          <t xml:space="preserve">
010223</t>
        </r>
      </text>
    </comment>
    <comment ref="AY26" authorId="2" shapeId="0" xr:uid="{4A544F3F-15F2-4BEC-A8F8-8648C552C739}">
      <text>
        <r>
          <rPr>
            <b/>
            <sz val="9"/>
            <color indexed="81"/>
            <rFont val="Tahoma"/>
            <family val="2"/>
          </rPr>
          <t>Will Threlfall:</t>
        </r>
        <r>
          <rPr>
            <sz val="9"/>
            <color indexed="81"/>
            <rFont val="Tahoma"/>
            <family val="2"/>
          </rPr>
          <t xml:space="preserve">
010446- £14,000
010448-LVIA Incoorp BESS- £1,245</t>
        </r>
      </text>
    </comment>
    <comment ref="AZ26" authorId="2" shapeId="0" xr:uid="{330B6329-C2AE-4C02-ABEF-FC51DCD504A2}">
      <text>
        <r>
          <rPr>
            <b/>
            <sz val="9"/>
            <color indexed="81"/>
            <rFont val="Tahoma"/>
            <family val="2"/>
          </rPr>
          <t>Will Threlfall:</t>
        </r>
        <r>
          <rPr>
            <sz val="9"/>
            <color indexed="81"/>
            <rFont val="Tahoma"/>
            <family val="2"/>
          </rPr>
          <t xml:space="preserve">
010689
010691 (CJ Meetings)
010690 (Inc.BESS)
</t>
        </r>
      </text>
    </comment>
    <comment ref="BA26" authorId="2" shapeId="0" xr:uid="{9B21D303-27A1-41FA-888C-E4F44780652C}">
      <text>
        <r>
          <rPr>
            <b/>
            <sz val="9"/>
            <color indexed="81"/>
            <rFont val="Tahoma"/>
            <family val="2"/>
          </rPr>
          <t>Will Threlfall:</t>
        </r>
        <r>
          <rPr>
            <sz val="9"/>
            <color indexed="81"/>
            <rFont val="Tahoma"/>
            <family val="2"/>
          </rPr>
          <t xml:space="preserve">
010903
010904
</t>
        </r>
      </text>
    </comment>
    <comment ref="AQ27" authorId="1" shapeId="0" xr:uid="{D81CBEFB-23BD-4EDC-A294-CAB26E08C048}">
      <text>
        <r>
          <rPr>
            <b/>
            <sz val="9"/>
            <color indexed="81"/>
            <rFont val="Tahoma"/>
            <family val="2"/>
          </rPr>
          <t>Natasha Worrall:</t>
        </r>
        <r>
          <rPr>
            <sz val="9"/>
            <color indexed="81"/>
            <rFont val="Tahoma"/>
            <family val="2"/>
          </rPr>
          <t xml:space="preserve">
680023703</t>
        </r>
      </text>
    </comment>
    <comment ref="AR27" authorId="1" shapeId="0" xr:uid="{6283D530-C018-4C25-A1A8-608317F7FB8B}">
      <text>
        <r>
          <rPr>
            <b/>
            <sz val="9"/>
            <color indexed="81"/>
            <rFont val="Tahoma"/>
            <family val="2"/>
          </rPr>
          <t>Natasha Worrall:</t>
        </r>
        <r>
          <rPr>
            <sz val="9"/>
            <color indexed="81"/>
            <rFont val="Tahoma"/>
            <family val="2"/>
          </rPr>
          <t xml:space="preserve">
680026301</t>
        </r>
      </text>
    </comment>
    <comment ref="AS27" authorId="1" shapeId="0" xr:uid="{653F3543-DDF6-449D-96CE-7494031732CE}">
      <text>
        <r>
          <rPr>
            <b/>
            <sz val="9"/>
            <color indexed="81"/>
            <rFont val="Tahoma"/>
            <family val="2"/>
          </rPr>
          <t>Natasha Worrall:</t>
        </r>
        <r>
          <rPr>
            <sz val="9"/>
            <color indexed="81"/>
            <rFont val="Tahoma"/>
            <family val="2"/>
          </rPr>
          <t xml:space="preserve">
680028743</t>
        </r>
      </text>
    </comment>
    <comment ref="AT27" authorId="1" shapeId="0" xr:uid="{0C6A3AED-C812-4A2C-BF72-17F559FECEAA}">
      <text>
        <r>
          <rPr>
            <b/>
            <sz val="9"/>
            <color indexed="81"/>
            <rFont val="Tahoma"/>
            <family val="2"/>
          </rPr>
          <t>Natasha Worrall:</t>
        </r>
        <r>
          <rPr>
            <sz val="9"/>
            <color indexed="81"/>
            <rFont val="Tahoma"/>
            <family val="2"/>
          </rPr>
          <t xml:space="preserve">
680033038</t>
        </r>
      </text>
    </comment>
    <comment ref="AU27" authorId="1" shapeId="0" xr:uid="{F0EB4C8B-F370-4198-88B5-7D62A77E0CEF}">
      <text>
        <r>
          <rPr>
            <b/>
            <sz val="9"/>
            <color indexed="81"/>
            <rFont val="Tahoma"/>
            <family val="2"/>
          </rPr>
          <t>Natasha Worrall:</t>
        </r>
        <r>
          <rPr>
            <sz val="9"/>
            <color indexed="81"/>
            <rFont val="Tahoma"/>
            <family val="2"/>
          </rPr>
          <t xml:space="preserve">
680033905</t>
        </r>
      </text>
    </comment>
    <comment ref="AV27" authorId="1" shapeId="0" xr:uid="{12445653-B655-4A00-9039-8991838E0202}">
      <text>
        <r>
          <rPr>
            <b/>
            <sz val="9"/>
            <color indexed="81"/>
            <rFont val="Tahoma"/>
            <family val="2"/>
          </rPr>
          <t>Natasha Worrall:</t>
        </r>
        <r>
          <rPr>
            <sz val="9"/>
            <color indexed="81"/>
            <rFont val="Tahoma"/>
            <family val="2"/>
          </rPr>
          <t xml:space="preserve">
680039022</t>
        </r>
      </text>
    </comment>
    <comment ref="AX27" authorId="1" shapeId="0" xr:uid="{ED452924-6B52-4F9A-A7B0-CB2B13711D70}">
      <text>
        <r>
          <rPr>
            <b/>
            <sz val="9"/>
            <color indexed="81"/>
            <rFont val="Tahoma"/>
            <family val="2"/>
          </rPr>
          <t>Natasha Worrall:</t>
        </r>
        <r>
          <rPr>
            <sz val="9"/>
            <color indexed="81"/>
            <rFont val="Tahoma"/>
            <family val="2"/>
          </rPr>
          <t xml:space="preserve">
680043713</t>
        </r>
      </text>
    </comment>
    <comment ref="AR28" authorId="1" shapeId="0" xr:uid="{2E479EE0-FCD7-4D20-AD09-CEBF30C61D51}">
      <text>
        <r>
          <rPr>
            <b/>
            <sz val="9"/>
            <color indexed="81"/>
            <rFont val="Tahoma"/>
            <family val="2"/>
          </rPr>
          <t>Natasha Worrall:</t>
        </r>
        <r>
          <rPr>
            <sz val="9"/>
            <color indexed="81"/>
            <rFont val="Tahoma"/>
            <family val="2"/>
          </rPr>
          <t xml:space="preserve">
10079/23/677/E</t>
        </r>
      </text>
    </comment>
    <comment ref="AT28" authorId="1" shapeId="0" xr:uid="{34A09C94-09CE-4F75-966C-E0348388ADA1}">
      <text>
        <r>
          <rPr>
            <b/>
            <sz val="9"/>
            <color indexed="81"/>
            <rFont val="Tahoma"/>
            <family val="2"/>
          </rPr>
          <t>Natasha Worrall:</t>
        </r>
        <r>
          <rPr>
            <sz val="9"/>
            <color indexed="81"/>
            <rFont val="Tahoma"/>
            <family val="2"/>
          </rPr>
          <t xml:space="preserve">
10079/23/789/E</t>
        </r>
      </text>
    </comment>
    <comment ref="AU28" authorId="1" shapeId="0" xr:uid="{F5189164-B950-4B69-BC00-67A6A962A5B4}">
      <text>
        <r>
          <rPr>
            <b/>
            <sz val="9"/>
            <color indexed="81"/>
            <rFont val="Tahoma"/>
            <family val="2"/>
          </rPr>
          <t>Natasha Worrall:</t>
        </r>
        <r>
          <rPr>
            <sz val="9"/>
            <color indexed="81"/>
            <rFont val="Tahoma"/>
            <family val="2"/>
          </rPr>
          <t xml:space="preserve">
10079/24/079/E</t>
        </r>
      </text>
    </comment>
    <comment ref="AV28" authorId="1" shapeId="0" xr:uid="{85DC6E22-AA52-4EDA-8410-E2A31FF87D53}">
      <text>
        <r>
          <rPr>
            <b/>
            <sz val="9"/>
            <color indexed="81"/>
            <rFont val="Tahoma"/>
            <family val="2"/>
          </rPr>
          <t>Natasha Worrall:</t>
        </r>
        <r>
          <rPr>
            <sz val="9"/>
            <color indexed="81"/>
            <rFont val="Tahoma"/>
            <family val="2"/>
          </rPr>
          <t xml:space="preserve">
100079/24/141/E</t>
        </r>
      </text>
    </comment>
    <comment ref="AW28" authorId="1" shapeId="0" xr:uid="{5A3469B9-776A-44C1-8961-46C4A5BF6798}">
      <text>
        <r>
          <rPr>
            <b/>
            <sz val="9"/>
            <color indexed="81"/>
            <rFont val="Tahoma"/>
            <family val="2"/>
          </rPr>
          <t>Natasha Worrall:</t>
        </r>
        <r>
          <rPr>
            <sz val="9"/>
            <color indexed="81"/>
            <rFont val="Tahoma"/>
            <family val="2"/>
          </rPr>
          <t xml:space="preserve">
10079/24/215/E</t>
        </r>
      </text>
    </comment>
    <comment ref="AP29" authorId="1" shapeId="0" xr:uid="{70FF0D56-7B61-42A3-86D4-528BC553EA34}">
      <text>
        <r>
          <rPr>
            <b/>
            <sz val="9"/>
            <color indexed="81"/>
            <rFont val="Tahoma"/>
            <family val="2"/>
          </rPr>
          <t>Natasha Worrall:</t>
        </r>
        <r>
          <rPr>
            <sz val="9"/>
            <color indexed="81"/>
            <rFont val="Tahoma"/>
            <family val="2"/>
          </rPr>
          <t xml:space="preserve">
015396</t>
        </r>
      </text>
    </comment>
    <comment ref="AQ29" authorId="1" shapeId="0" xr:uid="{DC59130F-D148-4F4F-BB89-4F4A64ECAD17}">
      <text>
        <r>
          <rPr>
            <b/>
            <sz val="9"/>
            <color indexed="81"/>
            <rFont val="Tahoma"/>
            <family val="2"/>
          </rPr>
          <t>Natasha Worrall:</t>
        </r>
        <r>
          <rPr>
            <sz val="9"/>
            <color indexed="81"/>
            <rFont val="Tahoma"/>
            <family val="2"/>
          </rPr>
          <t xml:space="preserve">
 015528 </t>
        </r>
      </text>
    </comment>
    <comment ref="AR29" authorId="1" shapeId="0" xr:uid="{979BD766-F22A-4BB9-8C6D-5BF31BA902A1}">
      <text>
        <r>
          <rPr>
            <b/>
            <sz val="9"/>
            <color indexed="81"/>
            <rFont val="Tahoma"/>
            <family val="2"/>
          </rPr>
          <t>Natasha Worrall:</t>
        </r>
        <r>
          <rPr>
            <sz val="9"/>
            <color indexed="81"/>
            <rFont val="Tahoma"/>
            <family val="2"/>
          </rPr>
          <t xml:space="preserve">
015681
</t>
        </r>
      </text>
    </comment>
    <comment ref="AS29" authorId="1" shapeId="0" xr:uid="{C4EE1F31-1E64-4104-B967-E1A48469600D}">
      <text>
        <r>
          <rPr>
            <b/>
            <sz val="9"/>
            <color indexed="81"/>
            <rFont val="Tahoma"/>
            <family val="2"/>
          </rPr>
          <t>Natasha Worrall:</t>
        </r>
        <r>
          <rPr>
            <sz val="9"/>
            <color indexed="81"/>
            <rFont val="Tahoma"/>
            <family val="2"/>
          </rPr>
          <t xml:space="preserve">
015766</t>
        </r>
      </text>
    </comment>
    <comment ref="AT29" authorId="1" shapeId="0" xr:uid="{3D06AAEA-9EEC-4B2F-BA77-C74AFC2CCC86}">
      <text>
        <r>
          <rPr>
            <b/>
            <sz val="9"/>
            <color indexed="81"/>
            <rFont val="Tahoma"/>
            <family val="2"/>
          </rPr>
          <t>Natasha Worrall:</t>
        </r>
        <r>
          <rPr>
            <sz val="9"/>
            <color indexed="81"/>
            <rFont val="Tahoma"/>
            <family val="2"/>
          </rPr>
          <t xml:space="preserve">
015919</t>
        </r>
      </text>
    </comment>
    <comment ref="AU29" authorId="1" shapeId="0" xr:uid="{7CF03E5C-7170-4307-929C-839EBC33FE34}">
      <text>
        <r>
          <rPr>
            <b/>
            <sz val="9"/>
            <color indexed="81"/>
            <rFont val="Tahoma"/>
            <family val="2"/>
          </rPr>
          <t>Natasha Worrall:</t>
        </r>
        <r>
          <rPr>
            <sz val="9"/>
            <color indexed="81"/>
            <rFont val="Tahoma"/>
            <family val="2"/>
          </rPr>
          <t xml:space="preserve">
016044</t>
        </r>
      </text>
    </comment>
    <comment ref="AV29" authorId="1" shapeId="0" xr:uid="{E3CDE79C-EFDB-45E2-900D-17B5FF38CE58}">
      <text>
        <r>
          <rPr>
            <b/>
            <sz val="9"/>
            <color indexed="81"/>
            <rFont val="Tahoma"/>
            <family val="2"/>
          </rPr>
          <t>Natasha Worrall:</t>
        </r>
        <r>
          <rPr>
            <sz val="9"/>
            <color indexed="81"/>
            <rFont val="Tahoma"/>
            <family val="2"/>
          </rPr>
          <t xml:space="preserve">
016239</t>
        </r>
      </text>
    </comment>
    <comment ref="AW29" authorId="1" shapeId="0" xr:uid="{9544C9B4-5BF5-43DB-A004-E0D67B733E51}">
      <text>
        <r>
          <rPr>
            <b/>
            <sz val="9"/>
            <color indexed="81"/>
            <rFont val="Tahoma"/>
            <family val="2"/>
          </rPr>
          <t>Natasha Worrall:</t>
        </r>
        <r>
          <rPr>
            <sz val="9"/>
            <color indexed="81"/>
            <rFont val="Tahoma"/>
            <family val="2"/>
          </rPr>
          <t xml:space="preserve">
016353</t>
        </r>
      </text>
    </comment>
    <comment ref="AX29" authorId="1" shapeId="0" xr:uid="{230C3ECB-1264-4D50-A6AF-B2606409E015}">
      <text>
        <r>
          <rPr>
            <b/>
            <sz val="9"/>
            <color indexed="81"/>
            <rFont val="Tahoma"/>
            <family val="2"/>
          </rPr>
          <t>Natasha Worrall:</t>
        </r>
        <r>
          <rPr>
            <sz val="9"/>
            <color indexed="81"/>
            <rFont val="Tahoma"/>
            <family val="2"/>
          </rPr>
          <t xml:space="preserve">
016418</t>
        </r>
      </text>
    </comment>
    <comment ref="AY29" authorId="1" shapeId="0" xr:uid="{D7B06725-CF97-4082-AC94-035E4C8FFBA3}">
      <text>
        <r>
          <rPr>
            <b/>
            <sz val="9"/>
            <color indexed="81"/>
            <rFont val="Tahoma"/>
            <family val="2"/>
          </rPr>
          <t>Natasha Worrall:</t>
        </r>
        <r>
          <rPr>
            <sz val="9"/>
            <color indexed="81"/>
            <rFont val="Tahoma"/>
            <family val="2"/>
          </rPr>
          <t xml:space="preserve">
016597</t>
        </r>
      </text>
    </comment>
    <comment ref="AV30" authorId="1" shapeId="0" xr:uid="{7274495E-DCCB-472F-A4F4-AB9ADE8F85B1}">
      <text>
        <r>
          <rPr>
            <b/>
            <sz val="9"/>
            <color indexed="81"/>
            <rFont val="Tahoma"/>
            <family val="2"/>
          </rPr>
          <t>Natasha Worrall:</t>
        </r>
        <r>
          <rPr>
            <sz val="9"/>
            <color indexed="81"/>
            <rFont val="Tahoma"/>
            <family val="2"/>
          </rPr>
          <t xml:space="preserve">
4060</t>
        </r>
      </text>
    </comment>
    <comment ref="AW30" authorId="1" shapeId="0" xr:uid="{5D3B9C9F-D5E3-407E-801D-DA0E2ADF9B62}">
      <text>
        <r>
          <rPr>
            <b/>
            <sz val="9"/>
            <color indexed="81"/>
            <rFont val="Tahoma"/>
            <family val="2"/>
          </rPr>
          <t>Natasha Worrall:</t>
        </r>
        <r>
          <rPr>
            <sz val="9"/>
            <color indexed="81"/>
            <rFont val="Tahoma"/>
            <family val="2"/>
          </rPr>
          <t xml:space="preserve">
4079
</t>
        </r>
      </text>
    </comment>
    <comment ref="AU31" authorId="1" shapeId="0" xr:uid="{DFA0BBFE-4AB6-4063-A5F7-DBBF527DCBFC}">
      <text>
        <r>
          <rPr>
            <b/>
            <sz val="9"/>
            <color indexed="81"/>
            <rFont val="Tahoma"/>
            <family val="2"/>
          </rPr>
          <t>Natasha Worrall:</t>
        </r>
        <r>
          <rPr>
            <sz val="9"/>
            <color indexed="81"/>
            <rFont val="Tahoma"/>
            <family val="2"/>
          </rPr>
          <t xml:space="preserve">
680036209</t>
        </r>
      </text>
    </comment>
    <comment ref="AV31" authorId="1" shapeId="0" xr:uid="{66EAA454-D7EF-409A-8960-896E2382EB21}">
      <text>
        <r>
          <rPr>
            <b/>
            <sz val="9"/>
            <color indexed="81"/>
            <rFont val="Tahoma"/>
            <family val="2"/>
          </rPr>
          <t>Natasha Worrall:</t>
        </r>
        <r>
          <rPr>
            <sz val="9"/>
            <color indexed="81"/>
            <rFont val="Tahoma"/>
            <family val="2"/>
          </rPr>
          <t xml:space="preserve">
680039018</t>
        </r>
      </text>
    </comment>
    <comment ref="AW32" authorId="1" shapeId="0" xr:uid="{8A0731E5-45BF-4563-A822-D7D2851793A3}">
      <text>
        <r>
          <rPr>
            <b/>
            <sz val="9"/>
            <color indexed="81"/>
            <rFont val="Tahoma"/>
            <family val="2"/>
          </rPr>
          <t>Natasha Worrall:</t>
        </r>
        <r>
          <rPr>
            <sz val="9"/>
            <color indexed="81"/>
            <rFont val="Tahoma"/>
            <family val="2"/>
          </rPr>
          <t xml:space="preserve">
LDS/001</t>
        </r>
      </text>
    </comment>
    <comment ref="AR33" authorId="1" shapeId="0" xr:uid="{9D4D2C1B-1031-4242-B5FA-D641ACE6874E}">
      <text>
        <r>
          <rPr>
            <b/>
            <sz val="9"/>
            <color indexed="81"/>
            <rFont val="Tahoma"/>
            <family val="2"/>
          </rPr>
          <t>Natasha Worrall:</t>
        </r>
        <r>
          <rPr>
            <sz val="9"/>
            <color indexed="81"/>
            <rFont val="Tahoma"/>
            <family val="2"/>
          </rPr>
          <t xml:space="preserve">
 93799</t>
        </r>
      </text>
    </comment>
    <comment ref="AS33" authorId="1" shapeId="0" xr:uid="{3400E6A1-A0D2-4EED-BDE2-E9806D550E69}">
      <text>
        <r>
          <rPr>
            <b/>
            <sz val="9"/>
            <color indexed="81"/>
            <rFont val="Tahoma"/>
            <family val="2"/>
          </rPr>
          <t>Natasha Worrall:</t>
        </r>
        <r>
          <rPr>
            <sz val="9"/>
            <color indexed="81"/>
            <rFont val="Tahoma"/>
            <family val="2"/>
          </rPr>
          <t xml:space="preserve">
193024
</t>
        </r>
      </text>
    </comment>
    <comment ref="AV33" authorId="1" shapeId="0" xr:uid="{28E6ED6A-6F4E-4B89-937A-6DF049610BBF}">
      <text>
        <r>
          <rPr>
            <b/>
            <sz val="9"/>
            <color indexed="81"/>
            <rFont val="Tahoma"/>
            <family val="2"/>
          </rPr>
          <t>Natasha Worrall:</t>
        </r>
        <r>
          <rPr>
            <sz val="9"/>
            <color indexed="81"/>
            <rFont val="Tahoma"/>
            <family val="2"/>
          </rPr>
          <t xml:space="preserve">
198710
198711</t>
        </r>
      </text>
    </comment>
    <comment ref="BA33" authorId="2" shapeId="0" xr:uid="{1FC60C30-B0A7-4F90-BCC0-FB395674ABA2}">
      <text>
        <r>
          <rPr>
            <b/>
            <sz val="9"/>
            <color indexed="81"/>
            <rFont val="Tahoma"/>
            <charset val="1"/>
          </rPr>
          <t>Will Threlfall:</t>
        </r>
        <r>
          <rPr>
            <sz val="9"/>
            <color indexed="81"/>
            <rFont val="Tahoma"/>
            <charset val="1"/>
          </rPr>
          <t xml:space="preserve">
208919</t>
        </r>
      </text>
    </comment>
    <comment ref="BA35" authorId="2" shapeId="0" xr:uid="{DC8A030A-2273-435B-9E2F-F88E2D23E100}">
      <text>
        <r>
          <rPr>
            <b/>
            <sz val="9"/>
            <color indexed="81"/>
            <rFont val="Tahoma"/>
            <family val="2"/>
          </rPr>
          <t>Will Threlfall:</t>
        </r>
        <r>
          <rPr>
            <sz val="9"/>
            <color indexed="81"/>
            <rFont val="Tahoma"/>
            <family val="2"/>
          </rPr>
          <t xml:space="preserve">
101902
</t>
        </r>
      </text>
    </comment>
    <comment ref="AN36" authorId="1" shapeId="0" xr:uid="{62503712-EEE2-407E-A9A7-C110807B05A2}">
      <text>
        <r>
          <rPr>
            <b/>
            <sz val="9"/>
            <color indexed="81"/>
            <rFont val="Tahoma"/>
            <family val="2"/>
          </rPr>
          <t>Natasha Worrall:</t>
        </r>
        <r>
          <rPr>
            <sz val="9"/>
            <color indexed="81"/>
            <rFont val="Tahoma"/>
            <family val="2"/>
          </rPr>
          <t xml:space="preserve">
#83901</t>
        </r>
      </text>
    </comment>
    <comment ref="AO36" authorId="1" shapeId="0" xr:uid="{A982DC6F-5EA1-41A9-91EC-29A781099903}">
      <text>
        <r>
          <rPr>
            <b/>
            <sz val="9"/>
            <color indexed="81"/>
            <rFont val="Tahoma"/>
            <family val="2"/>
          </rPr>
          <t>Natasha Worrall:</t>
        </r>
        <r>
          <rPr>
            <sz val="9"/>
            <color indexed="81"/>
            <rFont val="Tahoma"/>
            <family val="2"/>
          </rPr>
          <t xml:space="preserve">
83661</t>
        </r>
      </text>
    </comment>
    <comment ref="AP36" authorId="1" shapeId="0" xr:uid="{80884F2A-0B8C-4F82-B6AF-A5FD2FEB8D86}">
      <text>
        <r>
          <rPr>
            <b/>
            <sz val="9"/>
            <color indexed="81"/>
            <rFont val="Tahoma"/>
            <family val="2"/>
          </rPr>
          <t>Natasha Worrall:</t>
        </r>
        <r>
          <rPr>
            <sz val="9"/>
            <color indexed="81"/>
            <rFont val="Tahoma"/>
            <family val="2"/>
          </rPr>
          <t xml:space="preserve">
83093
83662</t>
        </r>
      </text>
    </comment>
    <comment ref="AQ36" authorId="1" shapeId="0" xr:uid="{5C557CB0-4F03-4AAB-86DF-11A25C67E090}">
      <text>
        <r>
          <rPr>
            <b/>
            <sz val="9"/>
            <color indexed="81"/>
            <rFont val="Tahoma"/>
            <family val="2"/>
          </rPr>
          <t>Natasha Worrall:</t>
        </r>
        <r>
          <rPr>
            <sz val="9"/>
            <color indexed="81"/>
            <rFont val="Tahoma"/>
            <family val="2"/>
          </rPr>
          <t xml:space="preserve">
8521
83094
85191
83664</t>
        </r>
      </text>
    </comment>
    <comment ref="AR36" authorId="1" shapeId="0" xr:uid="{028E534B-03F7-44D3-B8E5-A2B0FA5C7F43}">
      <text>
        <r>
          <rPr>
            <b/>
            <sz val="9"/>
            <color indexed="81"/>
            <rFont val="Tahoma"/>
            <family val="2"/>
          </rPr>
          <t>Natasha Worrall:</t>
        </r>
        <r>
          <rPr>
            <sz val="9"/>
            <color indexed="81"/>
            <rFont val="Tahoma"/>
            <family val="2"/>
          </rPr>
          <t xml:space="preserve">
83095</t>
        </r>
      </text>
    </comment>
    <comment ref="AS36" authorId="1" shapeId="0" xr:uid="{F5C6EB1B-F77C-4809-976F-200E84EA75DB}">
      <text>
        <r>
          <rPr>
            <b/>
            <sz val="9"/>
            <color indexed="81"/>
            <rFont val="Tahoma"/>
            <family val="2"/>
          </rPr>
          <t>Natasha Worrall:</t>
        </r>
        <r>
          <rPr>
            <sz val="9"/>
            <color indexed="81"/>
            <rFont val="Tahoma"/>
            <family val="2"/>
          </rPr>
          <t xml:space="preserve">
 85192
 83096
83665</t>
        </r>
      </text>
    </comment>
    <comment ref="AT36" authorId="1" shapeId="0" xr:uid="{B2B87C73-B741-4D97-B193-14589A6B5B18}">
      <text>
        <r>
          <rPr>
            <b/>
            <sz val="9"/>
            <color indexed="81"/>
            <rFont val="Tahoma"/>
            <family val="2"/>
          </rPr>
          <t>Natasha Worrall:</t>
        </r>
        <r>
          <rPr>
            <sz val="9"/>
            <color indexed="81"/>
            <rFont val="Tahoma"/>
            <family val="2"/>
          </rPr>
          <t xml:space="preserve">
83666</t>
        </r>
      </text>
    </comment>
    <comment ref="AU36" authorId="1" shapeId="0" xr:uid="{19FF4D43-6924-46EB-9B3A-50EFF99CB36C}">
      <text>
        <r>
          <rPr>
            <b/>
            <sz val="9"/>
            <color indexed="81"/>
            <rFont val="Tahoma"/>
            <family val="2"/>
          </rPr>
          <t>Natasha Worrall:</t>
        </r>
        <r>
          <rPr>
            <sz val="9"/>
            <color indexed="81"/>
            <rFont val="Tahoma"/>
            <family val="2"/>
          </rPr>
          <t xml:space="preserve">
83097
</t>
        </r>
      </text>
    </comment>
    <comment ref="AV36" authorId="1" shapeId="0" xr:uid="{86C938D6-4AA2-487E-917C-B7B2F3A5EC45}">
      <text>
        <r>
          <rPr>
            <b/>
            <sz val="9"/>
            <color indexed="81"/>
            <rFont val="Tahoma"/>
            <family val="2"/>
          </rPr>
          <t>Natasha Worrall:</t>
        </r>
        <r>
          <rPr>
            <sz val="9"/>
            <color indexed="81"/>
            <rFont val="Tahoma"/>
            <family val="2"/>
          </rPr>
          <t xml:space="preserve">
83098
</t>
        </r>
      </text>
    </comment>
    <comment ref="AW36" authorId="1" shapeId="0" xr:uid="{812D87C3-66C5-48A4-8DCE-2654080B12EA}">
      <text>
        <r>
          <rPr>
            <b/>
            <sz val="9"/>
            <color indexed="81"/>
            <rFont val="Tahoma"/>
            <family val="2"/>
          </rPr>
          <t>Natasha Worrall:</t>
        </r>
        <r>
          <rPr>
            <sz val="9"/>
            <color indexed="81"/>
            <rFont val="Tahoma"/>
            <family val="2"/>
          </rPr>
          <t xml:space="preserve">
83099</t>
        </r>
      </text>
    </comment>
    <comment ref="AX36" authorId="1" shapeId="0" xr:uid="{DBD72465-FEF7-4CEF-A4F6-800D15B4796E}">
      <text>
        <r>
          <rPr>
            <b/>
            <sz val="9"/>
            <color indexed="81"/>
            <rFont val="Tahoma"/>
            <family val="2"/>
          </rPr>
          <t>Natasha Worrall:</t>
        </r>
        <r>
          <rPr>
            <sz val="9"/>
            <color indexed="81"/>
            <rFont val="Tahoma"/>
            <family val="2"/>
          </rPr>
          <t xml:space="preserve">
830910
87381
83667
</t>
        </r>
      </text>
    </comment>
    <comment ref="AY36" authorId="2" shapeId="0" xr:uid="{BF043924-B786-4CF2-9F7A-BA6C02E144FC}">
      <text>
        <r>
          <rPr>
            <b/>
            <sz val="9"/>
            <color indexed="81"/>
            <rFont val="Tahoma"/>
            <family val="2"/>
          </rPr>
          <t>Will Threlfall:</t>
        </r>
        <r>
          <rPr>
            <sz val="9"/>
            <color indexed="81"/>
            <rFont val="Tahoma"/>
            <family val="2"/>
          </rPr>
          <t xml:space="preserve">
87382
85193
83668
830911</t>
        </r>
      </text>
    </comment>
    <comment ref="AZ36" authorId="2" shapeId="0" xr:uid="{DA2E71F8-C2FE-443A-8E24-3FF30B6E104E}">
      <text>
        <r>
          <rPr>
            <b/>
            <sz val="9"/>
            <color indexed="81"/>
            <rFont val="Tahoma"/>
            <family val="2"/>
          </rPr>
          <t>Will Threlfall:</t>
        </r>
        <r>
          <rPr>
            <sz val="9"/>
            <color indexed="81"/>
            <rFont val="Tahoma"/>
            <family val="2"/>
          </rPr>
          <t xml:space="preserve">
87383
83669
</t>
        </r>
      </text>
    </comment>
    <comment ref="AT40" authorId="1" shapeId="0" xr:uid="{B5906319-3306-41E2-B3F7-9FF8BB7B0D75}">
      <text>
        <r>
          <rPr>
            <b/>
            <sz val="9"/>
            <color indexed="81"/>
            <rFont val="Tahoma"/>
            <family val="2"/>
          </rPr>
          <t>Natasha Worrall:</t>
        </r>
        <r>
          <rPr>
            <sz val="9"/>
            <color indexed="81"/>
            <rFont val="Tahoma"/>
            <family val="2"/>
          </rPr>
          <t xml:space="preserve">
009376</t>
        </r>
      </text>
    </comment>
    <comment ref="AU40" authorId="1" shapeId="0" xr:uid="{9A7B130F-F0BF-4DAD-AA2E-595E2BF16C68}">
      <text>
        <r>
          <rPr>
            <b/>
            <sz val="9"/>
            <color indexed="81"/>
            <rFont val="Tahoma"/>
            <family val="2"/>
          </rPr>
          <t>Natasha Worrall:</t>
        </r>
        <r>
          <rPr>
            <sz val="9"/>
            <color indexed="81"/>
            <rFont val="Tahoma"/>
            <family val="2"/>
          </rPr>
          <t xml:space="preserve">
009564</t>
        </r>
      </text>
    </comment>
    <comment ref="AT41" authorId="1" shapeId="0" xr:uid="{9D6F8BCA-A9E3-404A-B2EA-F17DDBE38757}">
      <text>
        <r>
          <rPr>
            <b/>
            <sz val="9"/>
            <color indexed="81"/>
            <rFont val="Tahoma"/>
            <family val="2"/>
          </rPr>
          <t>Natasha Worrall:</t>
        </r>
        <r>
          <rPr>
            <sz val="9"/>
            <color indexed="81"/>
            <rFont val="Tahoma"/>
            <family val="2"/>
          </rPr>
          <t xml:space="preserve">
30065910</t>
        </r>
      </text>
    </comment>
    <comment ref="AV41" authorId="1" shapeId="0" xr:uid="{EB20E73E-4F8D-4F44-B2FD-6F586A09EE96}">
      <text>
        <r>
          <rPr>
            <b/>
            <sz val="9"/>
            <color indexed="81"/>
            <rFont val="Tahoma"/>
            <family val="2"/>
          </rPr>
          <t>Natasha Worrall:</t>
        </r>
        <r>
          <rPr>
            <sz val="9"/>
            <color indexed="81"/>
            <rFont val="Tahoma"/>
            <family val="2"/>
          </rPr>
          <t xml:space="preserve">
784-B049116</t>
        </r>
      </text>
    </comment>
    <comment ref="AV42" authorId="1" shapeId="0" xr:uid="{4CEDE218-57BD-4FF4-8D5A-99603D7423A3}">
      <text>
        <r>
          <rPr>
            <b/>
            <sz val="9"/>
            <color indexed="81"/>
            <rFont val="Tahoma"/>
            <family val="2"/>
          </rPr>
          <t>Natasha Worrall:</t>
        </r>
        <r>
          <rPr>
            <sz val="9"/>
            <color indexed="81"/>
            <rFont val="Tahoma"/>
            <family val="2"/>
          </rPr>
          <t xml:space="preserve">
709676</t>
        </r>
      </text>
    </comment>
    <comment ref="AW42" authorId="1" shapeId="0" xr:uid="{DA9FF744-EB37-425A-96D8-E313F5491B66}">
      <text>
        <r>
          <rPr>
            <b/>
            <sz val="9"/>
            <color indexed="81"/>
            <rFont val="Tahoma"/>
            <family val="2"/>
          </rPr>
          <t>Natasha Worrall:</t>
        </r>
        <r>
          <rPr>
            <sz val="9"/>
            <color indexed="81"/>
            <rFont val="Tahoma"/>
            <family val="2"/>
          </rPr>
          <t xml:space="preserve">
709727</t>
        </r>
      </text>
    </comment>
    <comment ref="AP43" authorId="1" shapeId="0" xr:uid="{DDDA5DC3-9967-40C8-AFEF-B74EA7572C42}">
      <text>
        <r>
          <rPr>
            <b/>
            <sz val="9"/>
            <color indexed="81"/>
            <rFont val="Tahoma"/>
            <family val="2"/>
          </rPr>
          <t>Natasha Worrall:</t>
        </r>
        <r>
          <rPr>
            <sz val="9"/>
            <color indexed="81"/>
            <rFont val="Tahoma"/>
            <family val="2"/>
          </rPr>
          <t xml:space="preserve">
008705</t>
        </r>
      </text>
    </comment>
    <comment ref="AQ43" authorId="1" shapeId="0" xr:uid="{5649C475-06AA-4EDE-B8D5-31A11730B1D4}">
      <text>
        <r>
          <rPr>
            <b/>
            <sz val="9"/>
            <color indexed="81"/>
            <rFont val="Tahoma"/>
            <family val="2"/>
          </rPr>
          <t>Natasha Worrall:</t>
        </r>
        <r>
          <rPr>
            <sz val="9"/>
            <color indexed="81"/>
            <rFont val="Tahoma"/>
            <family val="2"/>
          </rPr>
          <t xml:space="preserve">
008767</t>
        </r>
      </text>
    </comment>
    <comment ref="AR43" authorId="1" shapeId="0" xr:uid="{93DE81C6-4D51-4FDC-8ED8-D3A2C69108EB}">
      <text>
        <r>
          <rPr>
            <b/>
            <sz val="9"/>
            <color indexed="81"/>
            <rFont val="Tahoma"/>
            <family val="2"/>
          </rPr>
          <t>Natasha Worrall:</t>
        </r>
        <r>
          <rPr>
            <sz val="9"/>
            <color indexed="81"/>
            <rFont val="Tahoma"/>
            <family val="2"/>
          </rPr>
          <t xml:space="preserve">
680026301
</t>
        </r>
      </text>
    </comment>
    <comment ref="AS43" authorId="1" shapeId="0" xr:uid="{CF927BB6-34DF-4F1C-A368-DBE7DB31CF81}">
      <text>
        <r>
          <rPr>
            <b/>
            <sz val="9"/>
            <color indexed="81"/>
            <rFont val="Tahoma"/>
            <family val="2"/>
          </rPr>
          <t>Natasha Worrall:</t>
        </r>
        <r>
          <rPr>
            <sz val="9"/>
            <color indexed="81"/>
            <rFont val="Tahoma"/>
            <family val="2"/>
          </rPr>
          <t xml:space="preserve">
009181</t>
        </r>
      </text>
    </comment>
    <comment ref="AT43" authorId="1" shapeId="0" xr:uid="{C9B07280-6666-44A8-9B6F-2604154039E5}">
      <text>
        <r>
          <rPr>
            <b/>
            <sz val="9"/>
            <color indexed="81"/>
            <rFont val="Tahoma"/>
            <family val="2"/>
          </rPr>
          <t>Natasha Worrall:</t>
        </r>
        <r>
          <rPr>
            <sz val="9"/>
            <color indexed="81"/>
            <rFont val="Tahoma"/>
            <family val="2"/>
          </rPr>
          <t xml:space="preserve">
009379</t>
        </r>
      </text>
    </comment>
    <comment ref="AU43" authorId="1" shapeId="0" xr:uid="{186BEF6D-E845-445B-8EE4-736A23424DE6}">
      <text>
        <r>
          <rPr>
            <b/>
            <sz val="9"/>
            <color indexed="81"/>
            <rFont val="Tahoma"/>
            <family val="2"/>
          </rPr>
          <t>Natasha Worrall:</t>
        </r>
        <r>
          <rPr>
            <sz val="9"/>
            <color indexed="81"/>
            <rFont val="Tahoma"/>
            <family val="2"/>
          </rPr>
          <t xml:space="preserve">
009566</t>
        </r>
      </text>
    </comment>
    <comment ref="AV43" authorId="1" shapeId="0" xr:uid="{21364797-E1CE-4BC6-A1DB-F678F97FACD9}">
      <text>
        <r>
          <rPr>
            <b/>
            <sz val="9"/>
            <color indexed="81"/>
            <rFont val="Tahoma"/>
            <family val="2"/>
          </rPr>
          <t>Natasha Worrall:</t>
        </r>
        <r>
          <rPr>
            <sz val="9"/>
            <color indexed="81"/>
            <rFont val="Tahoma"/>
            <family val="2"/>
          </rPr>
          <t xml:space="preserve">
010212</t>
        </r>
      </text>
    </comment>
    <comment ref="AW43" authorId="1" shapeId="0" xr:uid="{D911EE26-B8BD-4D7B-818A-760F55709ABA}">
      <text>
        <r>
          <rPr>
            <b/>
            <sz val="9"/>
            <color indexed="81"/>
            <rFont val="Tahoma"/>
            <family val="2"/>
          </rPr>
          <t>Natasha Worrall:</t>
        </r>
        <r>
          <rPr>
            <sz val="9"/>
            <color indexed="81"/>
            <rFont val="Tahoma"/>
            <family val="2"/>
          </rPr>
          <t xml:space="preserve">
009979</t>
        </r>
      </text>
    </comment>
    <comment ref="AX43" authorId="1" shapeId="0" xr:uid="{4B9A1ACF-8B45-4A8C-8439-F7C9BB249C08}">
      <text>
        <r>
          <rPr>
            <b/>
            <sz val="9"/>
            <color indexed="81"/>
            <rFont val="Tahoma"/>
            <family val="2"/>
          </rPr>
          <t>Natasha Worrall:</t>
        </r>
        <r>
          <rPr>
            <sz val="9"/>
            <color indexed="81"/>
            <rFont val="Tahoma"/>
            <family val="2"/>
          </rPr>
          <t xml:space="preserve">
009785</t>
        </r>
      </text>
    </comment>
    <comment ref="AY43" authorId="2" shapeId="0" xr:uid="{42496591-D09B-416F-ADFF-CACDD186BDE3}">
      <text>
        <r>
          <rPr>
            <b/>
            <sz val="9"/>
            <color indexed="81"/>
            <rFont val="Tahoma"/>
            <family val="2"/>
          </rPr>
          <t>Will Threlfall:</t>
        </r>
        <r>
          <rPr>
            <sz val="9"/>
            <color indexed="81"/>
            <rFont val="Tahoma"/>
            <family val="2"/>
          </rPr>
          <t xml:space="preserve">
010694
</t>
        </r>
      </text>
    </comment>
    <comment ref="BA43" authorId="2" shapeId="0" xr:uid="{00BB5727-6E92-4081-9E5E-E9FD09984118}">
      <text>
        <r>
          <rPr>
            <b/>
            <sz val="9"/>
            <color indexed="81"/>
            <rFont val="Tahoma"/>
            <family val="2"/>
          </rPr>
          <t>Will Threlfall:</t>
        </r>
        <r>
          <rPr>
            <sz val="9"/>
            <color indexed="81"/>
            <rFont val="Tahoma"/>
            <family val="2"/>
          </rPr>
          <t xml:space="preserve">
010908
011095</t>
        </r>
      </text>
    </comment>
    <comment ref="AQ44" authorId="1" shapeId="0" xr:uid="{1D24714F-B595-47E5-B5ED-7848F16AD564}">
      <text>
        <r>
          <rPr>
            <b/>
            <sz val="9"/>
            <color indexed="81"/>
            <rFont val="Tahoma"/>
            <family val="2"/>
          </rPr>
          <t>Natasha Worrall:</t>
        </r>
        <r>
          <rPr>
            <sz val="9"/>
            <color indexed="81"/>
            <rFont val="Tahoma"/>
            <family val="2"/>
          </rPr>
          <t xml:space="preserve">
6775547</t>
        </r>
      </text>
    </comment>
    <comment ref="AR44" authorId="1" shapeId="0" xr:uid="{5CE43C3D-3994-408D-A1B0-809210D7787E}">
      <text>
        <r>
          <rPr>
            <b/>
            <sz val="9"/>
            <color indexed="81"/>
            <rFont val="Tahoma"/>
            <family val="2"/>
          </rPr>
          <t>Natasha Worrall:</t>
        </r>
        <r>
          <rPr>
            <sz val="9"/>
            <color indexed="81"/>
            <rFont val="Tahoma"/>
            <family val="2"/>
          </rPr>
          <t xml:space="preserve">
6784076</t>
        </r>
      </text>
    </comment>
    <comment ref="AU44" authorId="1" shapeId="0" xr:uid="{0B853DC2-C18E-40F8-941B-5066E03E64A3}">
      <text>
        <r>
          <rPr>
            <b/>
            <sz val="9"/>
            <color indexed="81"/>
            <rFont val="Tahoma"/>
            <family val="2"/>
          </rPr>
          <t>Natasha Worrall:</t>
        </r>
        <r>
          <rPr>
            <sz val="9"/>
            <color indexed="81"/>
            <rFont val="Tahoma"/>
            <family val="2"/>
          </rPr>
          <t xml:space="preserve">
6805834
</t>
        </r>
      </text>
    </comment>
    <comment ref="AV44" authorId="1" shapeId="0" xr:uid="{4C7EBC5F-AD78-4D29-B777-CBF72ACBF729}">
      <text>
        <r>
          <rPr>
            <b/>
            <sz val="9"/>
            <color indexed="81"/>
            <rFont val="Tahoma"/>
            <family val="2"/>
          </rPr>
          <t>Natasha Worrall:</t>
        </r>
        <r>
          <rPr>
            <sz val="9"/>
            <color indexed="81"/>
            <rFont val="Tahoma"/>
            <family val="2"/>
          </rPr>
          <t xml:space="preserve">
205269</t>
        </r>
      </text>
    </comment>
    <comment ref="AY44" authorId="1" shapeId="0" xr:uid="{8557CDF8-E8C0-4060-BCCF-650AC383E7EE}">
      <text>
        <r>
          <rPr>
            <b/>
            <sz val="9"/>
            <color indexed="81"/>
            <rFont val="Tahoma"/>
            <family val="2"/>
          </rPr>
          <t>Natasha Worrall:</t>
        </r>
        <r>
          <rPr>
            <sz val="9"/>
            <color indexed="81"/>
            <rFont val="Tahoma"/>
            <family val="2"/>
          </rPr>
          <t xml:space="preserve">
6821932</t>
        </r>
      </text>
    </comment>
    <comment ref="AZ44" authorId="2" shapeId="0" xr:uid="{1FA54371-E456-4926-A3DE-3544AC50A938}">
      <text>
        <r>
          <rPr>
            <b/>
            <sz val="9"/>
            <color indexed="81"/>
            <rFont val="Tahoma"/>
            <family val="2"/>
          </rPr>
          <t>Will Threlfall:</t>
        </r>
        <r>
          <rPr>
            <sz val="9"/>
            <color indexed="81"/>
            <rFont val="Tahoma"/>
            <family val="2"/>
          </rPr>
          <t xml:space="preserve">
6835101
</t>
        </r>
      </text>
    </comment>
    <comment ref="BA44" authorId="2" shapeId="0" xr:uid="{FFFCF36A-E363-470E-9234-5C6BA780E484}">
      <text>
        <r>
          <rPr>
            <b/>
            <sz val="9"/>
            <color indexed="81"/>
            <rFont val="Tahoma"/>
            <charset val="1"/>
          </rPr>
          <t>Will Threlfall:</t>
        </r>
        <r>
          <rPr>
            <sz val="9"/>
            <color indexed="81"/>
            <rFont val="Tahoma"/>
            <charset val="1"/>
          </rPr>
          <t xml:space="preserve">
6840389</t>
        </r>
      </text>
    </comment>
    <comment ref="D45" authorId="1" shapeId="0" xr:uid="{C81CA40F-042E-4C60-A2A1-D8E59B1716FB}">
      <text>
        <r>
          <rPr>
            <b/>
            <sz val="9"/>
            <color indexed="81"/>
            <rFont val="Tahoma"/>
            <family val="2"/>
          </rPr>
          <t>Natasha Worrall:</t>
        </r>
        <r>
          <rPr>
            <sz val="9"/>
            <color indexed="81"/>
            <rFont val="Tahoma"/>
            <family val="2"/>
          </rPr>
          <t xml:space="preserve">
Costs will go up as a result of media reactivity required / amount of feedback received 
£75000-£100,000</t>
        </r>
      </text>
    </comment>
    <comment ref="AQ45" authorId="1" shapeId="0" xr:uid="{7ECF8B3F-727E-4E50-A856-C4D0F7D8565E}">
      <text>
        <r>
          <rPr>
            <b/>
            <sz val="9"/>
            <color indexed="81"/>
            <rFont val="Tahoma"/>
            <family val="2"/>
          </rPr>
          <t>Natasha Worrall:</t>
        </r>
        <r>
          <rPr>
            <sz val="9"/>
            <color indexed="81"/>
            <rFont val="Tahoma"/>
            <family val="2"/>
          </rPr>
          <t xml:space="preserve">
204990
204992</t>
        </r>
      </text>
    </comment>
    <comment ref="AS45" authorId="1" shapeId="0" xr:uid="{C86B3CA7-1220-4F2F-A1F7-865AB5485A76}">
      <text>
        <r>
          <rPr>
            <b/>
            <sz val="9"/>
            <color indexed="81"/>
            <rFont val="Tahoma"/>
            <family val="2"/>
          </rPr>
          <t>Natasha Worrall:</t>
        </r>
        <r>
          <rPr>
            <sz val="9"/>
            <color indexed="81"/>
            <rFont val="Tahoma"/>
            <family val="2"/>
          </rPr>
          <t xml:space="preserve">
205061
205066</t>
        </r>
      </text>
    </comment>
    <comment ref="AT45" authorId="1" shapeId="0" xr:uid="{9CA7CBBA-D0CD-42F1-8BDD-A563F8F6D1FE}">
      <text>
        <r>
          <rPr>
            <b/>
            <sz val="9"/>
            <color indexed="81"/>
            <rFont val="Tahoma"/>
            <family val="2"/>
          </rPr>
          <t>Natasha Worrall:</t>
        </r>
        <r>
          <rPr>
            <sz val="9"/>
            <color indexed="81"/>
            <rFont val="Tahoma"/>
            <family val="2"/>
          </rPr>
          <t xml:space="preserve">
205104</t>
        </r>
      </text>
    </comment>
    <comment ref="AY45" authorId="2" shapeId="0" xr:uid="{59272AA0-725F-43FE-BEB8-4920D28D8E03}">
      <text>
        <r>
          <rPr>
            <b/>
            <sz val="9"/>
            <color indexed="81"/>
            <rFont val="Tahoma"/>
            <family val="2"/>
          </rPr>
          <t>Will Threlfall:</t>
        </r>
        <r>
          <rPr>
            <sz val="9"/>
            <color indexed="81"/>
            <rFont val="Tahoma"/>
            <family val="2"/>
          </rPr>
          <t xml:space="preserve">
205418
</t>
        </r>
      </text>
    </comment>
    <comment ref="AZ45" authorId="2" shapeId="0" xr:uid="{2D724D02-322E-43B3-972D-2D3D16B5897E}">
      <text>
        <r>
          <rPr>
            <b/>
            <sz val="9"/>
            <color indexed="81"/>
            <rFont val="Tahoma"/>
            <family val="2"/>
          </rPr>
          <t>Will Threlfall:</t>
        </r>
        <r>
          <rPr>
            <sz val="9"/>
            <color indexed="81"/>
            <rFont val="Tahoma"/>
            <family val="2"/>
          </rPr>
          <t xml:space="preserve">
205512
</t>
        </r>
      </text>
    </comment>
    <comment ref="AQ47" authorId="1" shapeId="0" xr:uid="{263728B4-A3B5-4623-A163-155888A88E9B}">
      <text>
        <r>
          <rPr>
            <b/>
            <sz val="9"/>
            <color indexed="81"/>
            <rFont val="Tahoma"/>
            <family val="2"/>
          </rPr>
          <t>Natasha Worrall:</t>
        </r>
        <r>
          <rPr>
            <sz val="9"/>
            <color indexed="81"/>
            <rFont val="Tahoma"/>
            <family val="2"/>
          </rPr>
          <t xml:space="preserve">
SI402527</t>
        </r>
      </text>
    </comment>
    <comment ref="AV47" authorId="1" shapeId="0" xr:uid="{9CF0B351-25E2-4A05-B13B-E2625714F342}">
      <text>
        <r>
          <rPr>
            <b/>
            <sz val="9"/>
            <color indexed="81"/>
            <rFont val="Tahoma"/>
            <family val="2"/>
          </rPr>
          <t>Natasha Worrall:</t>
        </r>
        <r>
          <rPr>
            <sz val="9"/>
            <color indexed="81"/>
            <rFont val="Tahoma"/>
            <family val="2"/>
          </rPr>
          <t xml:space="preserve">
To be invoiced </t>
        </r>
      </text>
    </comment>
    <comment ref="AZ47" authorId="2" shapeId="0" xr:uid="{60AD830D-E63C-4179-8DBA-B8A4D9677A27}">
      <text>
        <r>
          <rPr>
            <b/>
            <sz val="9"/>
            <color indexed="81"/>
            <rFont val="Tahoma"/>
            <family val="2"/>
          </rPr>
          <t>Will Threlfall:</t>
        </r>
        <r>
          <rPr>
            <sz val="9"/>
            <color indexed="81"/>
            <rFont val="Tahoma"/>
            <family val="2"/>
          </rPr>
          <t xml:space="preserve">
INV-13000600
</t>
        </r>
      </text>
    </comment>
    <comment ref="BA47" authorId="2" shapeId="0" xr:uid="{4CE1C8F9-54A6-4E99-94D6-65FF7BD33485}">
      <text>
        <r>
          <rPr>
            <b/>
            <sz val="9"/>
            <color indexed="81"/>
            <rFont val="Tahoma"/>
            <family val="2"/>
          </rPr>
          <t>Will Threlfall:JSM- SL0677</t>
        </r>
      </text>
    </comment>
    <comment ref="AQ48" authorId="1" shapeId="0" xr:uid="{A4D13EB5-5315-4B32-8C3B-2A9D15191687}">
      <text>
        <r>
          <rPr>
            <b/>
            <sz val="9"/>
            <color indexed="81"/>
            <rFont val="Tahoma"/>
            <family val="2"/>
          </rPr>
          <t>Natasha Worrall:</t>
        </r>
        <r>
          <rPr>
            <sz val="9"/>
            <color indexed="81"/>
            <rFont val="Tahoma"/>
            <family val="2"/>
          </rPr>
          <t xml:space="preserve">
 INV-2308-131</t>
        </r>
      </text>
    </comment>
    <comment ref="AR48" authorId="1" shapeId="0" xr:uid="{19D01462-4054-4160-8DF2-B4474FF91648}">
      <text>
        <r>
          <rPr>
            <b/>
            <sz val="9"/>
            <color indexed="81"/>
            <rFont val="Tahoma"/>
            <family val="2"/>
          </rPr>
          <t>Natasha Worrall:</t>
        </r>
        <r>
          <rPr>
            <sz val="9"/>
            <color indexed="81"/>
            <rFont val="Tahoma"/>
            <family val="2"/>
          </rPr>
          <t xml:space="preserve">
NV-2309-134</t>
        </r>
      </text>
    </comment>
    <comment ref="AS48" authorId="1" shapeId="0" xr:uid="{487C1E50-1822-4A81-9CAC-28E7AA02D724}">
      <text>
        <r>
          <rPr>
            <b/>
            <sz val="9"/>
            <color indexed="81"/>
            <rFont val="Tahoma"/>
            <family val="2"/>
          </rPr>
          <t>Natasha Worrall:</t>
        </r>
        <r>
          <rPr>
            <sz val="9"/>
            <color indexed="81"/>
            <rFont val="Tahoma"/>
            <family val="2"/>
          </rPr>
          <t xml:space="preserve">
INV-2310-082</t>
        </r>
      </text>
    </comment>
    <comment ref="AT48" authorId="1" shapeId="0" xr:uid="{67FA42C5-7336-4825-9637-5EFDB61FA552}">
      <text>
        <r>
          <rPr>
            <b/>
            <sz val="9"/>
            <color indexed="81"/>
            <rFont val="Tahoma"/>
            <family val="2"/>
          </rPr>
          <t>Natasha Worrall:</t>
        </r>
        <r>
          <rPr>
            <sz val="9"/>
            <color indexed="81"/>
            <rFont val="Tahoma"/>
            <family val="2"/>
          </rPr>
          <t xml:space="preserve">
INV-2312-148</t>
        </r>
      </text>
    </comment>
    <comment ref="AU48" authorId="1" shapeId="0" xr:uid="{3E191271-84D5-42FA-AEA5-4E71BBA7F0CC}">
      <text>
        <r>
          <rPr>
            <b/>
            <sz val="9"/>
            <color indexed="81"/>
            <rFont val="Tahoma"/>
            <family val="2"/>
          </rPr>
          <t>Natasha Worrall:</t>
        </r>
        <r>
          <rPr>
            <sz val="9"/>
            <color indexed="81"/>
            <rFont val="Tahoma"/>
            <family val="2"/>
          </rPr>
          <t xml:space="preserve">
INV-2401-137</t>
        </r>
      </text>
    </comment>
    <comment ref="AV48" authorId="1" shapeId="0" xr:uid="{75FF96CD-4D69-46C4-9D93-E652EB8A672C}">
      <text>
        <r>
          <rPr>
            <b/>
            <sz val="9"/>
            <color indexed="81"/>
            <rFont val="Tahoma"/>
            <family val="2"/>
          </rPr>
          <t>Natasha Worrall:</t>
        </r>
        <r>
          <rPr>
            <sz val="9"/>
            <color indexed="81"/>
            <rFont val="Tahoma"/>
            <family val="2"/>
          </rPr>
          <t xml:space="preserve">
INV-2402-186</t>
        </r>
      </text>
    </comment>
    <comment ref="BA48" authorId="2" shapeId="0" xr:uid="{137B38C6-99F0-4031-A0A6-A7D9A28662C0}">
      <text>
        <r>
          <rPr>
            <b/>
            <sz val="9"/>
            <color indexed="81"/>
            <rFont val="Tahoma"/>
            <charset val="1"/>
          </rPr>
          <t>Will Threlfall:</t>
        </r>
        <r>
          <rPr>
            <sz val="9"/>
            <color indexed="81"/>
            <rFont val="Tahoma"/>
            <charset val="1"/>
          </rPr>
          <t xml:space="preserve">
INV-130000970
</t>
        </r>
      </text>
    </comment>
    <comment ref="D49" authorId="1" shapeId="0" xr:uid="{7BF2E35F-F6D1-4A67-A194-3B0C7B3F3886}">
      <text>
        <r>
          <rPr>
            <b/>
            <sz val="9"/>
            <color indexed="81"/>
            <rFont val="Tahoma"/>
            <family val="2"/>
          </rPr>
          <t>Natasha Worrall:</t>
        </r>
        <r>
          <rPr>
            <sz val="9"/>
            <color indexed="81"/>
            <rFont val="Tahoma"/>
            <family val="2"/>
          </rPr>
          <t xml:space="preserve">
Use WB&amp;C</t>
        </r>
      </text>
    </comment>
    <comment ref="J50" authorId="1" shapeId="0" xr:uid="{1C4150D9-BD07-4CA0-A475-A1EF58C06C54}">
      <text>
        <r>
          <rPr>
            <b/>
            <sz val="9"/>
            <color indexed="81"/>
            <rFont val="Tahoma"/>
            <family val="2"/>
          </rPr>
          <t>Natasha Worrall:</t>
        </r>
        <r>
          <rPr>
            <sz val="9"/>
            <color indexed="81"/>
            <rFont val="Tahoma"/>
            <family val="2"/>
          </rPr>
          <t xml:space="preserve">
si gillett</t>
        </r>
      </text>
    </comment>
    <comment ref="AO51" authorId="1" shapeId="0" xr:uid="{AEBD598F-FE37-486B-9C24-CE2C1EAD9AD0}">
      <text>
        <r>
          <rPr>
            <b/>
            <sz val="9"/>
            <color indexed="81"/>
            <rFont val="Tahoma"/>
            <family val="2"/>
          </rPr>
          <t>Natasha Worrall:</t>
        </r>
        <r>
          <rPr>
            <sz val="9"/>
            <color indexed="81"/>
            <rFont val="Tahoma"/>
            <family val="2"/>
          </rPr>
          <t xml:space="preserve">
AT/08/23</t>
        </r>
      </text>
    </comment>
    <comment ref="AT51" authorId="1" shapeId="0" xr:uid="{F4FD013D-09A9-4E39-B564-437A78A3B34A}">
      <text>
        <r>
          <rPr>
            <b/>
            <sz val="9"/>
            <color indexed="81"/>
            <rFont val="Tahoma"/>
            <family val="2"/>
          </rPr>
          <t>Natasha Worrall:</t>
        </r>
        <r>
          <rPr>
            <sz val="9"/>
            <color indexed="81"/>
            <rFont val="Tahoma"/>
            <family val="2"/>
          </rPr>
          <t xml:space="preserve">
AT/11/23</t>
        </r>
      </text>
    </comment>
    <comment ref="AX52" authorId="1" shapeId="0" xr:uid="{69A39056-8DC1-4775-9D4A-2FE526EF409A}">
      <text>
        <r>
          <rPr>
            <b/>
            <sz val="9"/>
            <color indexed="81"/>
            <rFont val="Tahoma"/>
            <family val="2"/>
          </rPr>
          <t>Natasha Worrall:</t>
        </r>
        <r>
          <rPr>
            <sz val="9"/>
            <color indexed="81"/>
            <rFont val="Tahoma"/>
            <family val="2"/>
          </rPr>
          <t xml:space="preserve">
709786</t>
        </r>
      </text>
    </comment>
    <comment ref="J56" authorId="1" shapeId="0" xr:uid="{FE20F5C5-0FBC-43F4-80BA-4640BD800CC7}">
      <text>
        <r>
          <rPr>
            <b/>
            <sz val="9"/>
            <color indexed="81"/>
            <rFont val="Tahoma"/>
            <family val="2"/>
          </rPr>
          <t>Natasha Worrall:</t>
        </r>
        <r>
          <rPr>
            <sz val="9"/>
            <color indexed="81"/>
            <rFont val="Tahoma"/>
            <family val="2"/>
          </rPr>
          <t xml:space="preserve">
DM will bill for Atkins utilities searches (outside of PO) </t>
        </r>
      </text>
    </comment>
    <comment ref="AP56" authorId="1" shapeId="0" xr:uid="{21AF93CC-6CC9-4590-9132-59B5766C915A}">
      <text>
        <r>
          <rPr>
            <b/>
            <sz val="9"/>
            <color indexed="81"/>
            <rFont val="Tahoma"/>
            <family val="2"/>
          </rPr>
          <t>Natasha Worrall:</t>
        </r>
        <r>
          <rPr>
            <sz val="9"/>
            <color indexed="81"/>
            <rFont val="Tahoma"/>
            <family val="2"/>
          </rPr>
          <t xml:space="preserve">
UK-CI-155292</t>
        </r>
      </text>
    </comment>
    <comment ref="AQ56" authorId="1" shapeId="0" xr:uid="{6CCB309F-4AB1-4727-B426-489CE708A4A4}">
      <text>
        <r>
          <rPr>
            <b/>
            <sz val="9"/>
            <color indexed="81"/>
            <rFont val="Tahoma"/>
            <family val="2"/>
          </rPr>
          <t>Natasha Worrall:</t>
        </r>
        <r>
          <rPr>
            <sz val="9"/>
            <color indexed="81"/>
            <rFont val="Tahoma"/>
            <family val="2"/>
          </rPr>
          <t xml:space="preserve">
 UK-CI-163074</t>
        </r>
      </text>
    </comment>
    <comment ref="AR56" authorId="1" shapeId="0" xr:uid="{EFBAA475-8B0B-4900-8973-BC7D0FE8180C}">
      <text>
        <r>
          <rPr>
            <b/>
            <sz val="9"/>
            <color indexed="81"/>
            <rFont val="Tahoma"/>
            <family val="2"/>
          </rPr>
          <t>Natasha Worrall:</t>
        </r>
        <r>
          <rPr>
            <sz val="9"/>
            <color indexed="81"/>
            <rFont val="Tahoma"/>
            <family val="2"/>
          </rPr>
          <t xml:space="preserve">
 UK-CI-171432</t>
        </r>
      </text>
    </comment>
    <comment ref="AS56" authorId="1" shapeId="0" xr:uid="{F40085DD-245F-43C2-BBBE-2D18ABCDC6B6}">
      <text>
        <r>
          <rPr>
            <b/>
            <sz val="9"/>
            <color indexed="81"/>
            <rFont val="Tahoma"/>
            <family val="2"/>
          </rPr>
          <t>Natasha Worrall:</t>
        </r>
        <r>
          <rPr>
            <sz val="9"/>
            <color indexed="81"/>
            <rFont val="Tahoma"/>
            <family val="2"/>
          </rPr>
          <t xml:space="preserve">
UK-CI-185592
</t>
        </r>
      </text>
    </comment>
    <comment ref="AT56" authorId="1" shapeId="0" xr:uid="{8EAF62C4-7D10-413F-8060-FC82A2D63C8B}">
      <text>
        <r>
          <rPr>
            <b/>
            <sz val="9"/>
            <color indexed="81"/>
            <rFont val="Tahoma"/>
            <family val="2"/>
          </rPr>
          <t>Natasha Worrall:</t>
        </r>
        <r>
          <rPr>
            <sz val="9"/>
            <color indexed="81"/>
            <rFont val="Tahoma"/>
            <family val="2"/>
          </rPr>
          <t xml:space="preserve">
UK-CI-179868
</t>
        </r>
      </text>
    </comment>
    <comment ref="AU56" authorId="1" shapeId="0" xr:uid="{C6015BC4-BD10-49E4-939B-E4CAC5546E66}">
      <text>
        <r>
          <rPr>
            <b/>
            <sz val="9"/>
            <color indexed="81"/>
            <rFont val="Tahoma"/>
            <family val="2"/>
          </rPr>
          <t>Natasha Worrall:</t>
        </r>
        <r>
          <rPr>
            <sz val="9"/>
            <color indexed="81"/>
            <rFont val="Tahoma"/>
            <family val="2"/>
          </rPr>
          <t xml:space="preserve">
UK-CI-200316</t>
        </r>
      </text>
    </comment>
    <comment ref="AV56" authorId="1" shapeId="0" xr:uid="{3EA1DD41-921B-4831-8D82-DDB9B93B8E07}">
      <text>
        <r>
          <rPr>
            <b/>
            <sz val="9"/>
            <color indexed="81"/>
            <rFont val="Tahoma"/>
            <family val="2"/>
          </rPr>
          <t>Natasha Worrall:</t>
        </r>
        <r>
          <rPr>
            <sz val="9"/>
            <color indexed="81"/>
            <rFont val="Tahoma"/>
            <family val="2"/>
          </rPr>
          <t xml:space="preserve">
UK-CI-210918</t>
        </r>
      </text>
    </comment>
    <comment ref="AW56" authorId="1" shapeId="0" xr:uid="{30A2C8DC-5EC4-4034-933E-3F8A6A7F68E4}">
      <text>
        <r>
          <rPr>
            <b/>
            <sz val="9"/>
            <color indexed="81"/>
            <rFont val="Tahoma"/>
            <family val="2"/>
          </rPr>
          <t>Natasha Worrall:</t>
        </r>
        <r>
          <rPr>
            <sz val="9"/>
            <color indexed="81"/>
            <rFont val="Tahoma"/>
            <family val="2"/>
          </rPr>
          <t xml:space="preserve">
UK-CI-220386</t>
        </r>
      </text>
    </comment>
    <comment ref="AX56" authorId="2" shapeId="0" xr:uid="{F6C616CE-14BE-41DD-A19B-1B1DB7125053}">
      <text>
        <r>
          <rPr>
            <b/>
            <sz val="9"/>
            <color indexed="81"/>
            <rFont val="Tahoma"/>
            <family val="2"/>
          </rPr>
          <t>Will Threlfall:</t>
        </r>
        <r>
          <rPr>
            <sz val="9"/>
            <color indexed="81"/>
            <rFont val="Tahoma"/>
            <family val="2"/>
          </rPr>
          <t xml:space="preserve">
UK-CI-223986
</t>
        </r>
      </text>
    </comment>
    <comment ref="AY56" authorId="2" shapeId="0" xr:uid="{7B360A32-3C4B-4C04-88D4-2B69AA20BF72}">
      <text>
        <r>
          <rPr>
            <b/>
            <sz val="9"/>
            <color indexed="81"/>
            <rFont val="Tahoma"/>
            <family val="2"/>
          </rPr>
          <t>Will Threlfall:</t>
        </r>
        <r>
          <rPr>
            <sz val="9"/>
            <color indexed="81"/>
            <rFont val="Tahoma"/>
            <family val="2"/>
          </rPr>
          <t xml:space="preserve">
UK-CI-234498
Includes 13,015 Atkins Work
</t>
        </r>
      </text>
    </comment>
    <comment ref="BA56" authorId="2" shapeId="0" xr:uid="{2AF0A3D7-5749-4982-AE5F-40C198D75585}">
      <text>
        <r>
          <rPr>
            <b/>
            <sz val="9"/>
            <color indexed="81"/>
            <rFont val="Tahoma"/>
            <family val="2"/>
          </rPr>
          <t>Will Threlfall</t>
        </r>
        <r>
          <rPr>
            <sz val="9"/>
            <color indexed="81"/>
            <rFont val="Tahoma"/>
            <family val="2"/>
          </rPr>
          <t>UK-CI-242286</t>
        </r>
        <r>
          <rPr>
            <b/>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Sam Aitchison</author>
    <author>Lesley Giles</author>
    <author>Natasha Worrall</author>
    <author>tc={20185779-5D9C-42CD-8988-91AAB49639F0}</author>
  </authors>
  <commentList>
    <comment ref="Q4" authorId="0" shapeId="0" xr:uid="{3894FF91-799C-4AB0-8B9D-E15EB921B1C0}">
      <text>
        <r>
          <rPr>
            <b/>
            <sz val="9"/>
            <color indexed="81"/>
            <rFont val="Tahoma"/>
            <family val="2"/>
          </rPr>
          <t>Sam Aitchison:</t>
        </r>
        <r>
          <rPr>
            <sz val="9"/>
            <color indexed="81"/>
            <rFont val="Tahoma"/>
            <family val="2"/>
          </rPr>
          <t xml:space="preserve">
Invoice 80117122
Paid 03/02/21</t>
        </r>
      </text>
    </comment>
    <comment ref="AG4" authorId="0" shapeId="0" xr:uid="{7390E7EB-2A15-486D-A217-F37FE037579B}">
      <text>
        <r>
          <rPr>
            <b/>
            <sz val="9"/>
            <color indexed="81"/>
            <rFont val="Tahoma"/>
            <family val="2"/>
          </rPr>
          <t>Sam Aitchison:</t>
        </r>
        <r>
          <rPr>
            <sz val="9"/>
            <color indexed="81"/>
            <rFont val="Tahoma"/>
            <family val="2"/>
          </rPr>
          <t xml:space="preserve">
Invoice No. 80198645
Paid 04/05/22</t>
        </r>
      </text>
    </comment>
    <comment ref="BC4" authorId="0" shapeId="0" xr:uid="{3050B93D-B612-4237-AD56-223BD34E59B8}">
      <text>
        <r>
          <rPr>
            <b/>
            <sz val="9"/>
            <color indexed="81"/>
            <rFont val="Tahoma"/>
            <family val="2"/>
          </rPr>
          <t>Sam Aitchison:</t>
        </r>
        <r>
          <rPr>
            <sz val="9"/>
            <color indexed="81"/>
            <rFont val="Tahoma"/>
            <family val="2"/>
          </rPr>
          <t xml:space="preserve">
Novation Fee - 80310759</t>
        </r>
      </text>
    </comment>
    <comment ref="BE4" authorId="0" shapeId="0" xr:uid="{67C74753-748A-4BC7-8AB8-209CC3E7B7E0}">
      <text>
        <r>
          <rPr>
            <b/>
            <sz val="9"/>
            <color indexed="81"/>
            <rFont val="Tahoma"/>
            <family val="2"/>
          </rPr>
          <t>Sam Aitchison:</t>
        </r>
        <r>
          <rPr>
            <sz val="9"/>
            <color indexed="81"/>
            <rFont val="Tahoma"/>
            <family val="2"/>
          </rPr>
          <t xml:space="preserve">
Mod App for Date change - 80323621</t>
        </r>
      </text>
    </comment>
    <comment ref="H9" authorId="1" shapeId="0" xr:uid="{2C7C65CF-D063-4AB0-B049-86DA5AF2F0EB}">
      <text>
        <r>
          <rPr>
            <sz val="11"/>
            <color theme="1"/>
            <rFont val="Calibri"/>
            <family val="2"/>
            <scheme val="minor"/>
          </rPr>
          <t xml:space="preserve">Lesley Giles:
Total Option Fees plus Landowner Legal &amp; Agent fees on Green Hill to date is £321,253.39
That covers the 7 Sites A-G, but which comprise 14 Option Agreements.
As of 11/06/2024
</t>
        </r>
      </text>
    </comment>
    <comment ref="AU9" authorId="2" shapeId="0" xr:uid="{CAB98F01-CCA5-4F38-A243-78937DCB2DDF}">
      <text>
        <r>
          <rPr>
            <b/>
            <sz val="9"/>
            <color indexed="81"/>
            <rFont val="Tahoma"/>
            <family val="2"/>
          </rPr>
          <t>Natasha Worrall:</t>
        </r>
        <r>
          <rPr>
            <sz val="9"/>
            <color indexed="81"/>
            <rFont val="Tahoma"/>
            <family val="2"/>
          </rPr>
          <t xml:space="preserve">
2111063 
Gurney Option
2111061
Wilson Option</t>
        </r>
      </text>
    </comment>
    <comment ref="AX9" authorId="1" shapeId="0" xr:uid="{B37EADD0-3F64-4249-829E-717130EF1D8D}">
      <text>
        <r>
          <rPr>
            <sz val="11"/>
            <color theme="1"/>
            <rFont val="Calibri"/>
            <family val="2"/>
            <scheme val="minor"/>
          </rPr>
          <t>Lesley Giles:
588100</t>
        </r>
      </text>
    </comment>
    <comment ref="I10" authorId="1" shapeId="0" xr:uid="{A8DBE69D-3997-48B1-948E-AD5D2A39DB11}">
      <text>
        <r>
          <rPr>
            <sz val="11"/>
            <color theme="1"/>
            <rFont val="Calibri"/>
            <family val="2"/>
            <scheme val="minor"/>
          </rPr>
          <t xml:space="preserve">Lesley Giles:
legal fees in agreeing the release. 
£10k per acre will be agreed on the consented design </t>
        </r>
      </text>
    </comment>
    <comment ref="J12" authorId="3" shapeId="0" xr:uid="{20185779-5D9C-42CD-8988-91AAB49639F0}">
      <text>
        <t>[Threaded comment]
Your version of Excel allows you to read this threaded comment; however, any edits to it will get removed if the file is opened in a newer version of Excel. Learn more: https://go.microsoft.com/fwlink/?linkid=870924
Comment:
    guestimate</t>
      </text>
    </comment>
    <comment ref="AT12" authorId="2" shapeId="0" xr:uid="{8DE61DAE-8841-4A74-A793-2F7DC5B256F6}">
      <text>
        <r>
          <rPr>
            <b/>
            <sz val="9"/>
            <color indexed="81"/>
            <rFont val="Tahoma"/>
            <family val="2"/>
          </rPr>
          <t>Natasha Worrall:</t>
        </r>
        <r>
          <rPr>
            <sz val="9"/>
            <color indexed="81"/>
            <rFont val="Tahoma"/>
            <family val="2"/>
          </rPr>
          <t xml:space="preserve">
#008346</t>
        </r>
      </text>
    </comment>
    <comment ref="AU12" authorId="2" shapeId="0" xr:uid="{3D1F01FA-712D-4757-BCF5-4E2D88C356A4}">
      <text>
        <r>
          <rPr>
            <b/>
            <sz val="9"/>
            <color indexed="81"/>
            <rFont val="Tahoma"/>
            <family val="2"/>
          </rPr>
          <t>Natasha Worrall:</t>
        </r>
        <r>
          <rPr>
            <sz val="9"/>
            <color indexed="81"/>
            <rFont val="Tahoma"/>
            <family val="2"/>
          </rPr>
          <t xml:space="preserve">
008702</t>
        </r>
      </text>
    </comment>
    <comment ref="AV12" authorId="1" shapeId="0" xr:uid="{B00BCC70-C9E1-4D93-B9E1-FDA38B77FC83}">
      <text>
        <r>
          <rPr>
            <sz val="11"/>
            <color theme="1"/>
            <rFont val="Calibri"/>
            <family val="2"/>
            <scheme val="minor"/>
          </rPr>
          <t>Lesley Giles:
008762</t>
        </r>
      </text>
    </comment>
    <comment ref="AW12" authorId="1" shapeId="0" xr:uid="{C7B2314A-03EF-4A20-AE57-24ADF34572AA}">
      <text>
        <r>
          <rPr>
            <sz val="11"/>
            <color theme="1"/>
            <rFont val="Calibri"/>
            <family val="2"/>
            <scheme val="minor"/>
          </rPr>
          <t xml:space="preserve">Lesley Giles:
008971
</t>
        </r>
      </text>
    </comment>
    <comment ref="AX12" authorId="1" shapeId="0" xr:uid="{EAD896EE-3D6A-41DB-9A73-7BE1FCBD2637}">
      <text>
        <r>
          <rPr>
            <sz val="11"/>
            <color theme="1"/>
            <rFont val="Calibri"/>
            <family val="2"/>
            <scheme val="minor"/>
          </rPr>
          <t>Lesley Giles:
009183</t>
        </r>
      </text>
    </comment>
    <comment ref="AY12" authorId="1" shapeId="0" xr:uid="{2BC482D7-7F2C-4304-9F7B-EBC1AE9887EB}">
      <text>
        <r>
          <rPr>
            <sz val="11"/>
            <color theme="1"/>
            <rFont val="Calibri"/>
            <family val="2"/>
            <scheme val="minor"/>
          </rPr>
          <t xml:space="preserve">Lesley Giles:
009363
009380 (Grendon West BESS cost)
</t>
        </r>
      </text>
    </comment>
    <comment ref="AZ12" authorId="1" shapeId="0" xr:uid="{0FD5D60D-5086-4948-A39A-0418466B4141}">
      <text>
        <r>
          <rPr>
            <b/>
            <sz val="9"/>
            <color indexed="81"/>
            <rFont val="Tahoma"/>
            <family val="2"/>
          </rPr>
          <t>Lesley Giles:</t>
        </r>
        <r>
          <rPr>
            <sz val="9"/>
            <color indexed="81"/>
            <rFont val="Tahoma"/>
            <family val="2"/>
          </rPr>
          <t xml:space="preserve">
009558
</t>
        </r>
      </text>
    </comment>
    <comment ref="BA12" authorId="1" shapeId="0" xr:uid="{D0E63396-7B4F-442C-94A7-1C550F5B3359}">
      <text>
        <r>
          <rPr>
            <sz val="11"/>
            <color theme="1"/>
            <rFont val="Calibri"/>
            <family val="2"/>
            <scheme val="minor"/>
          </rPr>
          <t>Lesley Giles:
009754</t>
        </r>
      </text>
    </comment>
    <comment ref="BB12" authorId="1" shapeId="0" xr:uid="{2086687C-6D00-44A7-AEA1-6325A925F2B0}">
      <text>
        <r>
          <rPr>
            <sz val="11"/>
            <color theme="1"/>
            <rFont val="Calibri"/>
            <family val="2"/>
            <scheme val="minor"/>
          </rPr>
          <t>Lesley Giles:
INV 009977</t>
        </r>
      </text>
    </comment>
    <comment ref="BC12" authorId="1" shapeId="0" xr:uid="{591E0D04-85AF-4323-91A6-1E98213B1155}">
      <text>
        <r>
          <rPr>
            <b/>
            <sz val="9"/>
            <color indexed="81"/>
            <rFont val="Tahoma"/>
            <family val="2"/>
          </rPr>
          <t>Lesley Giles:</t>
        </r>
        <r>
          <rPr>
            <sz val="9"/>
            <color indexed="81"/>
            <rFont val="Tahoma"/>
            <family val="2"/>
          </rPr>
          <t xml:space="preserve">
INV 010202</t>
        </r>
      </text>
    </comment>
    <comment ref="BD12" authorId="1" shapeId="0" xr:uid="{838819C4-6054-476B-AECF-A0D5CE165F69}">
      <text>
        <r>
          <rPr>
            <sz val="11"/>
            <color theme="1"/>
            <rFont val="Calibri"/>
            <family val="2"/>
            <scheme val="minor"/>
          </rPr>
          <t>Lesley Giles:
010432
010431</t>
        </r>
      </text>
    </comment>
    <comment ref="BE12" authorId="1" shapeId="0" xr:uid="{76736898-5638-4208-88D4-90643C88DF8B}">
      <text>
        <r>
          <rPr>
            <sz val="11"/>
            <color theme="1"/>
            <rFont val="Calibri"/>
            <family val="2"/>
            <scheme val="minor"/>
          </rPr>
          <t>Lesley Giles:
010685
010672
010673</t>
        </r>
      </text>
    </comment>
    <comment ref="BF12" authorId="1" shapeId="0" xr:uid="{BC57D589-6F00-4A6B-8D7D-F4D4561EDFF9}">
      <text>
        <r>
          <rPr>
            <sz val="11"/>
            <color theme="1"/>
            <rFont val="Calibri"/>
            <family val="2"/>
            <scheme val="minor"/>
          </rPr>
          <t>Lesley Giles:
010884
010882
010881
010883
010880</t>
        </r>
      </text>
    </comment>
    <comment ref="AU18" authorId="2" shapeId="0" xr:uid="{0A5FBB09-10F2-4767-BA30-357F93306FC8}">
      <text>
        <r>
          <rPr>
            <b/>
            <sz val="9"/>
            <color indexed="81"/>
            <rFont val="Tahoma"/>
            <family val="2"/>
          </rPr>
          <t>Natasha Worrall:</t>
        </r>
        <r>
          <rPr>
            <sz val="9"/>
            <color indexed="81"/>
            <rFont val="Tahoma"/>
            <family val="2"/>
          </rPr>
          <t xml:space="preserve">
Centremaps C0517</t>
        </r>
      </text>
    </comment>
    <comment ref="AW19" authorId="1" shapeId="0" xr:uid="{CD766380-CCE8-469E-97F9-257A723F4BEC}">
      <text>
        <r>
          <rPr>
            <sz val="11"/>
            <color theme="1"/>
            <rFont val="Calibri"/>
            <family val="2"/>
            <scheme val="minor"/>
          </rPr>
          <t>Lesley Giles:
008771</t>
        </r>
      </text>
    </comment>
    <comment ref="AX19" authorId="1" shapeId="0" xr:uid="{CFA801EE-8142-483F-AAA1-BD61CCBDB3D8}">
      <text>
        <r>
          <rPr>
            <sz val="11"/>
            <color theme="1"/>
            <rFont val="Calibri"/>
            <family val="2"/>
            <scheme val="minor"/>
          </rPr>
          <t xml:space="preserve">Lesley Giles:
008972
</t>
        </r>
      </text>
    </comment>
    <comment ref="AZ20" authorId="1" shapeId="0" xr:uid="{AADB350F-6882-436F-8A2D-0D2B26E45829}">
      <text>
        <r>
          <rPr>
            <sz val="11"/>
            <color theme="1"/>
            <rFont val="Calibri"/>
            <family val="2"/>
            <scheme val="minor"/>
          </rPr>
          <t>Lesley Giles:
009367
009387 Grendon West BESS</t>
        </r>
      </text>
    </comment>
    <comment ref="BB20" authorId="1" shapeId="0" xr:uid="{392C765A-AA76-4FB3-BF66-8EC859106977}">
      <text>
        <r>
          <rPr>
            <sz val="11"/>
            <color theme="1"/>
            <rFont val="Calibri"/>
            <family val="2"/>
            <scheme val="minor"/>
          </rPr>
          <t>Lesley Giles:
102368</t>
        </r>
      </text>
    </comment>
    <comment ref="BF20" authorId="1" shapeId="0" xr:uid="{8303652A-292E-4BB1-83F5-379C3C7618B6}">
      <text>
        <r>
          <rPr>
            <sz val="11"/>
            <color theme="1"/>
            <rFont val="Calibri"/>
            <family val="2"/>
            <scheme val="minor"/>
          </rPr>
          <t>Lesley Giles:
104706</t>
        </r>
      </text>
    </comment>
    <comment ref="AX21" authorId="1" shapeId="0" xr:uid="{F7D94526-0578-4B32-919B-80DB4CE62D21}">
      <text>
        <r>
          <rPr>
            <sz val="11"/>
            <color theme="1"/>
            <rFont val="Calibri"/>
            <family val="2"/>
            <scheme val="minor"/>
          </rPr>
          <t xml:space="preserve">Lesley Giles:
008974
</t>
        </r>
      </text>
    </comment>
    <comment ref="AY21" authorId="1" shapeId="0" xr:uid="{B236D4A7-158B-44F0-8B21-775133ED4EFE}">
      <text>
        <r>
          <rPr>
            <sz val="11"/>
            <color theme="1"/>
            <rFont val="Calibri"/>
            <family val="2"/>
            <scheme val="minor"/>
          </rPr>
          <t>Lesley Giles:
009182 Grendon West BESS</t>
        </r>
      </text>
    </comment>
    <comment ref="BB21" authorId="1" shapeId="0" xr:uid="{BF6AAFFB-C08A-4B79-A185-FB86481888A9}">
      <text>
        <r>
          <rPr>
            <b/>
            <sz val="9"/>
            <color indexed="81"/>
            <rFont val="Tahoma"/>
            <family val="2"/>
          </rPr>
          <t>Lesley Giles:</t>
        </r>
        <r>
          <rPr>
            <sz val="9"/>
            <color indexed="81"/>
            <rFont val="Tahoma"/>
            <family val="2"/>
          </rPr>
          <t xml:space="preserve">
009978</t>
        </r>
      </text>
    </comment>
    <comment ref="BC21" authorId="1" shapeId="0" xr:uid="{2874798E-B3F4-4D57-A35C-01B453F9D19C}">
      <text>
        <r>
          <rPr>
            <b/>
            <sz val="9"/>
            <color indexed="81"/>
            <rFont val="Tahoma"/>
            <family val="2"/>
          </rPr>
          <t>Lesley Giles:</t>
        </r>
        <r>
          <rPr>
            <sz val="9"/>
            <color indexed="81"/>
            <rFont val="Tahoma"/>
            <family val="2"/>
          </rPr>
          <t xml:space="preserve">
INV 010201</t>
        </r>
      </text>
    </comment>
    <comment ref="BD21" authorId="1" shapeId="0" xr:uid="{42FCA47E-B5CD-4430-8F18-D1B7E1BD6C7F}">
      <text>
        <r>
          <rPr>
            <sz val="11"/>
            <color theme="1"/>
            <rFont val="Calibri"/>
            <family val="2"/>
            <scheme val="minor"/>
          </rPr>
          <t>Lesley Giles:
010438</t>
        </r>
      </text>
    </comment>
    <comment ref="BE21" authorId="1" shapeId="0" xr:uid="{03FBBA2E-AA94-4B4C-A6ED-E25562877F9B}">
      <text>
        <r>
          <rPr>
            <sz val="11"/>
            <color theme="1"/>
            <rFont val="Calibri"/>
            <family val="2"/>
            <scheme val="minor"/>
          </rPr>
          <t>Lesley Giles:
010696</t>
        </r>
      </text>
    </comment>
    <comment ref="BF21" authorId="1" shapeId="0" xr:uid="{4A6BE5B0-B3AD-491A-9578-B873DE9F63E5}">
      <text>
        <r>
          <rPr>
            <sz val="11"/>
            <color theme="1"/>
            <rFont val="Calibri"/>
            <family val="2"/>
            <scheme val="minor"/>
          </rPr>
          <t>Lesley Giles:
010898
010897</t>
        </r>
      </text>
    </comment>
    <comment ref="AV24" authorId="2" shapeId="0" xr:uid="{4947C9E4-0B2D-410A-AC01-DE8D47AEF9A7}">
      <text>
        <r>
          <rPr>
            <b/>
            <sz val="9"/>
            <color indexed="81"/>
            <rFont val="Tahoma"/>
            <family val="2"/>
          </rPr>
          <t>Natasha Worrall:</t>
        </r>
        <r>
          <rPr>
            <sz val="9"/>
            <color indexed="81"/>
            <rFont val="Tahoma"/>
            <family val="2"/>
          </rPr>
          <t xml:space="preserve">
008703
</t>
        </r>
      </text>
    </comment>
    <comment ref="AW24" authorId="1" shapeId="0" xr:uid="{C8BE281C-F16F-499D-9E66-6E7BC7A6DE7C}">
      <text>
        <r>
          <rPr>
            <sz val="11"/>
            <color theme="1"/>
            <rFont val="Calibri"/>
            <family val="2"/>
            <scheme val="minor"/>
          </rPr>
          <t>Lesley Giles:
008761</t>
        </r>
      </text>
    </comment>
    <comment ref="AY24" authorId="1" shapeId="0" xr:uid="{2C0B612A-6B0E-4443-BB32-0D819966424A}">
      <text>
        <r>
          <rPr>
            <sz val="11"/>
            <color theme="1"/>
            <rFont val="Calibri"/>
            <family val="2"/>
            <scheme val="minor"/>
          </rPr>
          <t>Lesley Giles:
009176</t>
        </r>
      </text>
    </comment>
    <comment ref="AZ24" authorId="1" shapeId="0" xr:uid="{BCAB1BBF-AF7F-4138-858A-5AF95C28E560}">
      <text>
        <r>
          <rPr>
            <b/>
            <sz val="9"/>
            <color indexed="81"/>
            <rFont val="Tahoma"/>
            <family val="2"/>
          </rPr>
          <t>Lesley Giles:</t>
        </r>
        <r>
          <rPr>
            <sz val="9"/>
            <color indexed="81"/>
            <rFont val="Tahoma"/>
            <family val="2"/>
          </rPr>
          <t xml:space="preserve">
009385
</t>
        </r>
      </text>
    </comment>
    <comment ref="BA24" authorId="1" shapeId="0" xr:uid="{0AA599D6-D3C7-485C-B20F-A986546954ED}">
      <text>
        <r>
          <rPr>
            <sz val="11"/>
            <color theme="1"/>
            <rFont val="Calibri"/>
            <family val="2"/>
            <scheme val="minor"/>
          </rPr>
          <t>Lesley Giles:
009366
009757</t>
        </r>
      </text>
    </comment>
    <comment ref="BB24" authorId="1" shapeId="0" xr:uid="{5225B4C6-BDAD-416C-AD4A-5F73E0E858A2}">
      <text>
        <r>
          <rPr>
            <sz val="11"/>
            <color theme="1"/>
            <rFont val="Calibri"/>
            <family val="2"/>
            <scheme val="minor"/>
          </rPr>
          <t>Lesley Giles:
INV 009987</t>
        </r>
      </text>
    </comment>
    <comment ref="BC24" authorId="1" shapeId="0" xr:uid="{46F4195C-943D-4267-A852-8998473ADE4C}">
      <text>
        <r>
          <rPr>
            <sz val="11"/>
            <color theme="1"/>
            <rFont val="Calibri"/>
            <family val="2"/>
            <scheme val="minor"/>
          </rPr>
          <t>Lesley Giles:
INV 010220
INV 010205</t>
        </r>
      </text>
    </comment>
    <comment ref="BD24" authorId="1" shapeId="0" xr:uid="{DC7A81CE-23F9-44B0-A70A-41248D36E02B}">
      <text>
        <r>
          <rPr>
            <sz val="11"/>
            <color theme="1"/>
            <rFont val="Calibri"/>
            <family val="2"/>
            <scheme val="minor"/>
          </rPr>
          <t>Lesley Giles:
010442
010441</t>
        </r>
      </text>
    </comment>
    <comment ref="BE24" authorId="1" shapeId="0" xr:uid="{E8231FEF-33B0-447C-A251-7A229D459386}">
      <text>
        <r>
          <rPr>
            <sz val="11"/>
            <color theme="1"/>
            <rFont val="Calibri"/>
            <family val="2"/>
            <scheme val="minor"/>
          </rPr>
          <t>Lesley Giles:
010682</t>
        </r>
      </text>
    </comment>
    <comment ref="BF24" authorId="1" shapeId="0" xr:uid="{BC39592A-42C2-479E-9BA7-F3065D14ABA2}">
      <text>
        <r>
          <rPr>
            <sz val="11"/>
            <color theme="1"/>
            <rFont val="Calibri"/>
            <family val="2"/>
            <scheme val="minor"/>
          </rPr>
          <t>Lesley Giles:
010899</t>
        </r>
      </text>
    </comment>
    <comment ref="AT25" authorId="2" shapeId="0" xr:uid="{F3050BD9-8452-42C9-8057-9B0CE349B083}">
      <text>
        <r>
          <rPr>
            <b/>
            <sz val="9"/>
            <color indexed="81"/>
            <rFont val="Tahoma"/>
            <family val="2"/>
          </rPr>
          <t>Natasha Worrall:</t>
        </r>
        <r>
          <rPr>
            <sz val="9"/>
            <color indexed="81"/>
            <rFont val="Tahoma"/>
            <family val="2"/>
          </rPr>
          <t xml:space="preserve">
#008348</t>
        </r>
      </text>
    </comment>
    <comment ref="AU25" authorId="2" shapeId="0" xr:uid="{FA4F7EC7-52E6-4FC1-9527-88673CF342E8}">
      <text>
        <r>
          <rPr>
            <sz val="11"/>
            <color theme="1"/>
            <rFont val="Calibri"/>
            <family val="2"/>
            <scheme val="minor"/>
          </rPr>
          <t xml:space="preserve">Natasha Worrall:
008700
</t>
        </r>
      </text>
    </comment>
    <comment ref="AV25" authorId="1" shapeId="0" xr:uid="{C481E287-0BFC-4732-A451-65C702F69E00}">
      <text>
        <r>
          <rPr>
            <sz val="11"/>
            <color theme="1"/>
            <rFont val="Calibri"/>
            <family val="2"/>
            <scheme val="minor"/>
          </rPr>
          <t>Lesley Giles:
006764</t>
        </r>
      </text>
    </comment>
    <comment ref="AW25" authorId="1" shapeId="0" xr:uid="{55DECD91-A1BF-4E2B-B563-D7A6597DF852}">
      <text>
        <r>
          <rPr>
            <sz val="11"/>
            <color theme="1"/>
            <rFont val="Calibri"/>
            <family val="2"/>
            <scheme val="minor"/>
          </rPr>
          <t>Lesley Giles:
008973
008980</t>
        </r>
      </text>
    </comment>
    <comment ref="AX25" authorId="1" shapeId="0" xr:uid="{4ED07F2F-01A4-4EAC-AEA0-7858BA4280FD}">
      <text>
        <r>
          <rPr>
            <sz val="11"/>
            <color theme="1"/>
            <rFont val="Calibri"/>
            <family val="2"/>
            <scheme val="minor"/>
          </rPr>
          <t>Lesley Giles:
009175</t>
        </r>
      </text>
    </comment>
    <comment ref="AY25" authorId="1" shapeId="0" xr:uid="{DBF0D830-556E-4331-9DD9-A0D04B8E38BE}">
      <text>
        <r>
          <rPr>
            <sz val="11"/>
            <color theme="1"/>
            <rFont val="Calibri"/>
            <family val="2"/>
            <scheme val="minor"/>
          </rPr>
          <t>Lesley Giles:
009365
009383 Grendon West BESS</t>
        </r>
      </text>
    </comment>
    <comment ref="AZ25" authorId="1" shapeId="0" xr:uid="{432FFB26-CFBF-4A7B-BA9F-62538EB33D65}">
      <text>
        <r>
          <rPr>
            <sz val="11"/>
            <color theme="1"/>
            <rFont val="Calibri"/>
            <family val="2"/>
            <scheme val="minor"/>
          </rPr>
          <t>Lesley Giles:
009560
009567 - Grendon West BESS</t>
        </r>
      </text>
    </comment>
    <comment ref="BA25" authorId="1" shapeId="0" xr:uid="{E81B5AD4-ECAB-4450-8C58-42BF93C651E1}">
      <text>
        <r>
          <rPr>
            <sz val="11"/>
            <color theme="1"/>
            <rFont val="Calibri"/>
            <family val="2"/>
            <scheme val="minor"/>
          </rPr>
          <t>Lesley Giles:
INV 009756</t>
        </r>
      </text>
    </comment>
    <comment ref="BB25" authorId="1" shapeId="0" xr:uid="{8388E6B2-FB69-4B27-8F66-2403FF662921}">
      <text>
        <r>
          <rPr>
            <sz val="11"/>
            <color theme="1"/>
            <rFont val="Calibri"/>
            <family val="2"/>
            <scheme val="minor"/>
          </rPr>
          <t>Lesley Giles:
INV 009975</t>
        </r>
      </text>
    </comment>
    <comment ref="BC25" authorId="1" shapeId="0" xr:uid="{B5C925A8-BF26-4BDC-B711-1772EFA441FE}">
      <text>
        <r>
          <rPr>
            <sz val="11"/>
            <color theme="1"/>
            <rFont val="Calibri"/>
            <family val="2"/>
            <scheme val="minor"/>
          </rPr>
          <t>Lesley Giles:
INV 010219
INV 010204</t>
        </r>
      </text>
    </comment>
    <comment ref="BD25" authorId="1" shapeId="0" xr:uid="{4F82B71E-8E2C-4DAA-BEB1-C8CF6BC65976}">
      <text>
        <r>
          <rPr>
            <sz val="11"/>
            <color theme="1"/>
            <rFont val="Calibri"/>
            <family val="2"/>
            <scheme val="minor"/>
          </rPr>
          <t>Lesley Giles:
010437
010681
010680</t>
        </r>
      </text>
    </comment>
    <comment ref="BE25" authorId="1" shapeId="0" xr:uid="{10D64DF2-5878-4C14-94D6-45AF12451388}">
      <text>
        <r>
          <rPr>
            <sz val="11"/>
            <color theme="1"/>
            <rFont val="Calibri"/>
            <family val="2"/>
            <scheme val="minor"/>
          </rPr>
          <t>Lesley Giles:
010679</t>
        </r>
      </text>
    </comment>
    <comment ref="BF25" authorId="1" shapeId="0" xr:uid="{98A17517-DFAD-46FC-883F-6068ED89BF6E}">
      <text>
        <r>
          <rPr>
            <sz val="11"/>
            <color theme="1"/>
            <rFont val="Calibri"/>
            <family val="2"/>
            <scheme val="minor"/>
          </rPr>
          <t>Lesley Giles:
010896
010909
010894
010453
010895</t>
        </r>
      </text>
    </comment>
    <comment ref="AU27" authorId="2" shapeId="0" xr:uid="{4E2B6253-BA91-442B-9D31-31F0C0189B90}">
      <text>
        <r>
          <rPr>
            <b/>
            <sz val="9"/>
            <color indexed="81"/>
            <rFont val="Tahoma"/>
            <family val="2"/>
          </rPr>
          <t>Natasha Worrall:</t>
        </r>
        <r>
          <rPr>
            <sz val="9"/>
            <color indexed="81"/>
            <rFont val="Tahoma"/>
            <family val="2"/>
          </rPr>
          <t xml:space="preserve">
#008347</t>
        </r>
      </text>
    </comment>
    <comment ref="AV27" authorId="2" shapeId="0" xr:uid="{55EBDB4E-8540-4CFB-B117-B08E8986EC01}">
      <text>
        <r>
          <rPr>
            <b/>
            <sz val="9"/>
            <color indexed="81"/>
            <rFont val="Tahoma"/>
            <family val="2"/>
          </rPr>
          <t>Natasha Worrall:</t>
        </r>
        <r>
          <rPr>
            <sz val="9"/>
            <color indexed="81"/>
            <rFont val="Tahoma"/>
            <family val="2"/>
          </rPr>
          <t xml:space="preserve">
008701
</t>
        </r>
      </text>
    </comment>
    <comment ref="AW27" authorId="1" shapeId="0" xr:uid="{F4AE69B7-3C73-42F3-9DC4-95C608274097}">
      <text>
        <r>
          <rPr>
            <sz val="11"/>
            <color theme="1"/>
            <rFont val="Calibri"/>
            <family val="2"/>
            <scheme val="minor"/>
          </rPr>
          <t>Lesley Giles:
008763</t>
        </r>
      </text>
    </comment>
    <comment ref="AY27" authorId="1" shapeId="0" xr:uid="{4ED0B1FF-84DC-40C3-847C-4E3F2A6D6FDD}">
      <text>
        <r>
          <rPr>
            <sz val="11"/>
            <color theme="1"/>
            <rFont val="Calibri"/>
            <family val="2"/>
            <scheme val="minor"/>
          </rPr>
          <t>Lesley Giles:
009174
009184 Grendon West BESSS</t>
        </r>
      </text>
    </comment>
    <comment ref="AZ27" authorId="1" shapeId="0" xr:uid="{FD3A4FE8-4296-405D-9787-C7EB0CC7EFF3}">
      <text>
        <r>
          <rPr>
            <b/>
            <sz val="9"/>
            <color indexed="81"/>
            <rFont val="Tahoma"/>
            <family val="2"/>
          </rPr>
          <t>Lesley Giles:</t>
        </r>
        <r>
          <rPr>
            <sz val="9"/>
            <color indexed="81"/>
            <rFont val="Tahoma"/>
            <family val="2"/>
          </rPr>
          <t xml:space="preserve">
009364
500 added instead of subtracted
4,000 seems to be double counted in Environmental Master Plan</t>
        </r>
      </text>
    </comment>
    <comment ref="BA27" authorId="1" shapeId="0" xr:uid="{98641A1C-F17E-4E41-A867-8BB77DF352DA}">
      <text>
        <r>
          <rPr>
            <b/>
            <sz val="9"/>
            <color indexed="81"/>
            <rFont val="Tahoma"/>
            <family val="2"/>
          </rPr>
          <t>Lesley Giles:</t>
        </r>
        <r>
          <rPr>
            <sz val="9"/>
            <color indexed="81"/>
            <rFont val="Tahoma"/>
            <family val="2"/>
          </rPr>
          <t xml:space="preserve">
009559 minus £1500 for environmental masterplan, added below 
500 added instead of subtracted
4,493 seems to have been counted in Dec &amp; Jan
09755</t>
        </r>
      </text>
    </comment>
    <comment ref="BB27" authorId="1" shapeId="0" xr:uid="{BE52B283-AA01-4D8A-AB7F-E3FF4ED6EFB7}">
      <text>
        <r>
          <rPr>
            <sz val="11"/>
            <color theme="1"/>
            <rFont val="Calibri"/>
            <family val="2"/>
            <scheme val="minor"/>
          </rPr>
          <t xml:space="preserve">Lesley Giles:
INV 009976 minus Envi masterplan 
</t>
        </r>
      </text>
    </comment>
    <comment ref="BD27" authorId="1" shapeId="0" xr:uid="{7358BDE7-AE48-44FD-9BB1-4371D312AE75}">
      <text>
        <r>
          <rPr>
            <sz val="11"/>
            <color theme="1"/>
            <rFont val="Calibri"/>
            <family val="2"/>
            <scheme val="minor"/>
          </rPr>
          <t>Lesley Giles:
INV 010218
inv 010215
INV 010203</t>
        </r>
      </text>
    </comment>
    <comment ref="BE27" authorId="1" shapeId="0" xr:uid="{D6BAB3CA-C481-46B5-9418-4905B40ED720}">
      <text>
        <r>
          <rPr>
            <sz val="11"/>
            <color theme="1"/>
            <rFont val="Calibri"/>
            <family val="2"/>
            <scheme val="minor"/>
          </rPr>
          <t xml:space="preserve">Lesley Giles:
010435
010434
010433
010678
010676
010675
010674
010684
</t>
        </r>
      </text>
    </comment>
    <comment ref="BF27" authorId="1" shapeId="0" xr:uid="{DF9207EC-5394-4B7E-8EF1-1632C910FDE6}">
      <text>
        <r>
          <rPr>
            <sz val="11"/>
            <color theme="1"/>
            <rFont val="Calibri"/>
            <family val="2"/>
            <scheme val="minor"/>
          </rPr>
          <t>Lesley Giles:
010888
010891
010893
010892
010889
010885</t>
        </r>
      </text>
    </comment>
    <comment ref="AZ28" authorId="1" shapeId="0" xr:uid="{A8270630-70F2-4C99-B3A6-5CF96F2C7A00}">
      <text>
        <r>
          <rPr>
            <b/>
            <sz val="9"/>
            <color indexed="81"/>
            <rFont val="Tahoma"/>
            <family val="2"/>
          </rPr>
          <t>Lesley Giles:</t>
        </r>
        <r>
          <rPr>
            <sz val="9"/>
            <color indexed="81"/>
            <rFont val="Tahoma"/>
            <family val="2"/>
          </rPr>
          <t xml:space="preserve">
009364
£1500 taken from Invoice 009559 </t>
        </r>
      </text>
    </comment>
    <comment ref="BA28" authorId="1" shapeId="0" xr:uid="{CFB474EF-3ED9-4FF2-8918-3579EC105F6A}">
      <text>
        <r>
          <rPr>
            <b/>
            <sz val="9"/>
            <color indexed="81"/>
            <rFont val="Tahoma"/>
            <family val="2"/>
          </rPr>
          <t>Lesley Giles:</t>
        </r>
        <r>
          <rPr>
            <sz val="9"/>
            <color indexed="81"/>
            <rFont val="Tahoma"/>
            <family val="2"/>
          </rPr>
          <t xml:space="preserve">
009759
009755</t>
        </r>
      </text>
    </comment>
    <comment ref="BB28" authorId="1" shapeId="0" xr:uid="{8CF4A528-831E-40EA-9B4B-031441B027B4}">
      <text>
        <r>
          <rPr>
            <sz val="11"/>
            <color theme="1"/>
            <rFont val="Calibri"/>
            <family val="2"/>
            <scheme val="minor"/>
          </rPr>
          <t>Lesley Giles:
INV 009976</t>
        </r>
      </text>
    </comment>
    <comment ref="BD28" authorId="1" shapeId="0" xr:uid="{CF8190C5-9E82-4468-8D4B-24721BA01CE8}">
      <text>
        <r>
          <rPr>
            <sz val="11"/>
            <color theme="1"/>
            <rFont val="Calibri"/>
            <family val="2"/>
            <scheme val="minor"/>
          </rPr>
          <t>Lesley Giles:
INV 010215</t>
        </r>
      </text>
    </comment>
    <comment ref="BE28" authorId="1" shapeId="0" xr:uid="{4E73E143-8969-42DB-B3DE-9B948CA80CCD}">
      <text>
        <r>
          <rPr>
            <sz val="11"/>
            <color theme="1"/>
            <rFont val="Calibri"/>
            <family val="2"/>
            <scheme val="minor"/>
          </rPr>
          <t>Lesley Giles:
010674
010677</t>
        </r>
      </text>
    </comment>
    <comment ref="BF28" authorId="1" shapeId="0" xr:uid="{037C1AA7-CE3E-49E3-A775-BA2D6B98055F}">
      <text>
        <r>
          <rPr>
            <sz val="11"/>
            <color theme="1"/>
            <rFont val="Calibri"/>
            <family val="2"/>
            <scheme val="minor"/>
          </rPr>
          <t>Lesley Giles:
010890
010885</t>
        </r>
      </text>
    </comment>
    <comment ref="AT29" authorId="2" shapeId="0" xr:uid="{294209B6-0E6A-47AD-92A4-5D3D39DE7979}">
      <text>
        <r>
          <rPr>
            <sz val="11"/>
            <color theme="1"/>
            <rFont val="Calibri"/>
            <family val="2"/>
            <scheme val="minor"/>
          </rPr>
          <t xml:space="preserve">Natasha Worrall:
#183204 - Grendon West BESS cost
</t>
        </r>
      </text>
    </comment>
    <comment ref="AY29" authorId="1" shapeId="0" xr:uid="{9F1BBC50-1C3A-4119-B000-8D6D2C773628}">
      <text>
        <r>
          <rPr>
            <sz val="11"/>
            <color theme="1"/>
            <rFont val="Calibri"/>
            <family val="2"/>
            <scheme val="minor"/>
          </rPr>
          <t>Lesley Giles:
604735</t>
        </r>
      </text>
    </comment>
    <comment ref="BB29" authorId="1" shapeId="0" xr:uid="{A810A11D-0570-40CB-A931-47CC3F34E586}">
      <text>
        <r>
          <rPr>
            <sz val="11"/>
            <color theme="1"/>
            <rFont val="Calibri"/>
            <family val="2"/>
            <scheme val="minor"/>
          </rPr>
          <t>Lesley Giles:
605126
605378</t>
        </r>
      </text>
    </comment>
    <comment ref="BC29" authorId="1" shapeId="0" xr:uid="{224F244E-A2A7-455D-BD47-F52C1C9E7810}">
      <text>
        <r>
          <rPr>
            <b/>
            <sz val="9"/>
            <color indexed="81"/>
            <rFont val="Tahoma"/>
            <family val="2"/>
          </rPr>
          <t>Lesley Giles:</t>
        </r>
        <r>
          <rPr>
            <sz val="9"/>
            <color indexed="81"/>
            <rFont val="Tahoma"/>
            <family val="2"/>
          </rPr>
          <t xml:space="preserve">
605552</t>
        </r>
      </text>
    </comment>
    <comment ref="BD29" authorId="1" shapeId="0" xr:uid="{763CD124-601A-4030-946E-1F1AB6B06D03}">
      <text>
        <r>
          <rPr>
            <b/>
            <sz val="9"/>
            <color indexed="81"/>
            <rFont val="Tahoma"/>
            <family val="2"/>
          </rPr>
          <t>Lesley Giles:</t>
        </r>
        <r>
          <rPr>
            <sz val="9"/>
            <color indexed="81"/>
            <rFont val="Tahoma"/>
            <family val="2"/>
          </rPr>
          <t xml:space="preserve">
605790
605791</t>
        </r>
      </text>
    </comment>
    <comment ref="BE29" authorId="1" shapeId="0" xr:uid="{10931A32-F4AC-4A76-B741-BA5567389FF1}">
      <text>
        <r>
          <rPr>
            <sz val="11"/>
            <color theme="1"/>
            <rFont val="Calibri"/>
            <family val="2"/>
            <scheme val="minor"/>
          </rPr>
          <t>Lesley Giles:
010677</t>
        </r>
      </text>
    </comment>
    <comment ref="BF30" authorId="1" shapeId="0" xr:uid="{B476A642-8243-4E86-9E16-8EAF9DFEABC8}">
      <text>
        <r>
          <rPr>
            <sz val="11"/>
            <color theme="1"/>
            <rFont val="Calibri"/>
            <family val="2"/>
            <scheme val="minor"/>
          </rPr>
          <t>Lesley Giles:
606464</t>
        </r>
      </text>
    </comment>
    <comment ref="BB31" authorId="1" shapeId="0" xr:uid="{19B5A58D-DFA6-473C-B12E-516B4B965453}">
      <text>
        <r>
          <rPr>
            <sz val="11"/>
            <color theme="1"/>
            <rFont val="Calibri"/>
            <family val="2"/>
            <scheme val="minor"/>
          </rPr>
          <t>Lesley Giles:
680046025</t>
        </r>
      </text>
    </comment>
    <comment ref="BE31" authorId="1" shapeId="0" xr:uid="{C5706BB6-B70E-4C67-B40D-73F7B2A9C172}">
      <text>
        <r>
          <rPr>
            <sz val="11"/>
            <color theme="1"/>
            <rFont val="Calibri"/>
            <family val="2"/>
            <scheme val="minor"/>
          </rPr>
          <t>Lesley Giles:
680045888
680046029</t>
        </r>
      </text>
    </comment>
    <comment ref="BF31" authorId="1" shapeId="0" xr:uid="{3658CBB1-81D1-465D-AB43-DBC623CBE62E}">
      <text>
        <r>
          <rPr>
            <sz val="11"/>
            <color theme="1"/>
            <rFont val="Calibri"/>
            <family val="2"/>
            <scheme val="minor"/>
          </rPr>
          <t>Lesley Giles:
680048386</t>
        </r>
      </text>
    </comment>
    <comment ref="E32" authorId="2" shapeId="0" xr:uid="{2E8D2949-365D-496E-BDC2-33BDB51953AF}">
      <text>
        <r>
          <rPr>
            <b/>
            <sz val="9"/>
            <color indexed="81"/>
            <rFont val="Tahoma"/>
            <family val="2"/>
          </rPr>
          <t>Natasha Worrall:</t>
        </r>
        <r>
          <rPr>
            <sz val="9"/>
            <color indexed="81"/>
            <rFont val="Tahoma"/>
            <family val="2"/>
          </rPr>
          <t xml:space="preserve">
Includes examination costs
</t>
        </r>
      </text>
    </comment>
    <comment ref="F32" authorId="2" shapeId="0" xr:uid="{538B5E25-A23C-438D-8318-826C21487F18}">
      <text>
        <r>
          <rPr>
            <b/>
            <sz val="9"/>
            <color indexed="81"/>
            <rFont val="Tahoma"/>
            <family val="2"/>
          </rPr>
          <t>Natasha Worrall:</t>
        </r>
        <r>
          <rPr>
            <sz val="9"/>
            <color indexed="81"/>
            <rFont val="Tahoma"/>
            <family val="2"/>
          </rPr>
          <t xml:space="preserve">
Includes examination costs
</t>
        </r>
      </text>
    </comment>
    <comment ref="G32" authorId="2" shapeId="0" xr:uid="{16356FC3-E751-48C8-933A-C007C70DB118}">
      <text>
        <r>
          <rPr>
            <b/>
            <sz val="9"/>
            <color indexed="81"/>
            <rFont val="Tahoma"/>
            <family val="2"/>
          </rPr>
          <t>Natasha Worrall:</t>
        </r>
        <r>
          <rPr>
            <sz val="9"/>
            <color indexed="81"/>
            <rFont val="Tahoma"/>
            <family val="2"/>
          </rPr>
          <t xml:space="preserve">
Includes examination costs
</t>
        </r>
      </text>
    </comment>
    <comment ref="J32" authorId="1" shapeId="0" xr:uid="{B6574F0F-8B6E-43A9-8038-CED92EB06665}">
      <text>
        <r>
          <rPr>
            <sz val="11"/>
            <color theme="1"/>
            <rFont val="Calibri"/>
            <family val="2"/>
            <scheme val="minor"/>
          </rPr>
          <t xml:space="preserve">Lesley Giles:
Assumed cost already included for examination
</t>
        </r>
      </text>
    </comment>
    <comment ref="AZ32" authorId="1" shapeId="0" xr:uid="{41536375-84FB-48B2-853A-FB06A2AABC99}">
      <text>
        <r>
          <rPr>
            <b/>
            <sz val="9"/>
            <color indexed="81"/>
            <rFont val="Tahoma"/>
            <family val="2"/>
          </rPr>
          <t>Lesley Giles:</t>
        </r>
        <r>
          <rPr>
            <sz val="9"/>
            <color indexed="81"/>
            <rFont val="Tahoma"/>
            <family val="2"/>
          </rPr>
          <t xml:space="preserve">
INV-731</t>
        </r>
      </text>
    </comment>
    <comment ref="BD32" authorId="1" shapeId="0" xr:uid="{E864C7F7-CD7C-411C-931C-E26CF3CF96BD}">
      <text>
        <r>
          <rPr>
            <sz val="11"/>
            <color theme="1"/>
            <rFont val="Calibri"/>
            <family val="2"/>
            <scheme val="minor"/>
          </rPr>
          <t>Lesley Giles:
INV-856</t>
        </r>
      </text>
    </comment>
    <comment ref="BE32" authorId="1" shapeId="0" xr:uid="{B7A8DD93-0F25-480D-887A-B25092A3ED40}">
      <text>
        <r>
          <rPr>
            <sz val="11"/>
            <color theme="1"/>
            <rFont val="Calibri"/>
            <family val="2"/>
            <scheme val="minor"/>
          </rPr>
          <t>Lesley Giles:
INV-992</t>
        </r>
      </text>
    </comment>
    <comment ref="G35" authorId="1" shapeId="0" xr:uid="{52BA22AD-03AD-4ABD-A7D7-50B696FDC5DA}">
      <text>
        <r>
          <rPr>
            <sz val="11"/>
            <color theme="1"/>
            <rFont val="Calibri"/>
            <family val="2"/>
            <scheme val="minor"/>
          </rPr>
          <t>Lesley Giles:
includes costs for TCPA and fire technical note</t>
        </r>
      </text>
    </comment>
    <comment ref="AY35" authorId="1" shapeId="0" xr:uid="{84287F2A-7136-4E84-820E-3D346400ABD0}">
      <text>
        <r>
          <rPr>
            <sz val="11"/>
            <color theme="1"/>
            <rFont val="Calibri"/>
            <family val="2"/>
            <scheme val="minor"/>
          </rPr>
          <t>Lesley Giles:
680028957</t>
        </r>
      </text>
    </comment>
    <comment ref="AZ35" authorId="1" shapeId="0" xr:uid="{069F2964-FA7B-4F9E-A173-41BA02AC73CC}">
      <text>
        <r>
          <rPr>
            <b/>
            <sz val="9"/>
            <color indexed="81"/>
            <rFont val="Tahoma"/>
            <family val="2"/>
          </rPr>
          <t>Lesley Giles:</t>
        </r>
        <r>
          <rPr>
            <sz val="9"/>
            <color indexed="81"/>
            <rFont val="Tahoma"/>
            <family val="2"/>
          </rPr>
          <t xml:space="preserve">
680033037</t>
        </r>
      </text>
    </comment>
    <comment ref="BB35" authorId="1" shapeId="0" xr:uid="{3043311D-5495-4F69-8A0D-3FB9CEE1D8CF}">
      <text>
        <r>
          <rPr>
            <sz val="11"/>
            <color theme="1"/>
            <rFont val="Calibri"/>
            <family val="2"/>
            <scheme val="minor"/>
          </rPr>
          <t>Lesley Giles:
680036215</t>
        </r>
      </text>
    </comment>
    <comment ref="BC35" authorId="1" shapeId="0" xr:uid="{97E223B7-03F2-40C3-AE83-22CF3973DA75}">
      <text>
        <r>
          <rPr>
            <sz val="11"/>
            <color theme="1"/>
            <rFont val="Calibri"/>
            <family val="2"/>
            <scheme val="minor"/>
          </rPr>
          <t>Lesley Giles:
680041809</t>
        </r>
      </text>
    </comment>
    <comment ref="BD35" authorId="1" shapeId="0" xr:uid="{1F1F62DC-658D-43B5-B8F9-BF64DC3CC469}">
      <text>
        <r>
          <rPr>
            <sz val="11"/>
            <color theme="1"/>
            <rFont val="Calibri"/>
            <family val="2"/>
            <scheme val="minor"/>
          </rPr>
          <t>Lesley Giles:
680043703</t>
        </r>
      </text>
    </comment>
    <comment ref="BE35" authorId="1" shapeId="0" xr:uid="{064E1374-6DDB-4318-934F-7F56DBD3975C}">
      <text>
        <r>
          <rPr>
            <sz val="11"/>
            <color theme="1"/>
            <rFont val="Calibri"/>
            <family val="2"/>
            <scheme val="minor"/>
          </rPr>
          <t>Lesley Giles:
680045883</t>
        </r>
      </text>
    </comment>
    <comment ref="BF35" authorId="1" shapeId="0" xr:uid="{BA6C3CB3-4D15-467F-B7F1-59616D829E03}">
      <text>
        <r>
          <rPr>
            <sz val="11"/>
            <color theme="1"/>
            <rFont val="Calibri"/>
            <family val="2"/>
            <scheme val="minor"/>
          </rPr>
          <t>Lesley Giles:
680048385</t>
        </r>
      </text>
    </comment>
    <comment ref="L36" authorId="1" shapeId="0" xr:uid="{4A136B9F-3A07-4128-9C7D-032A8913BF61}">
      <text>
        <r>
          <rPr>
            <sz val="11"/>
            <color theme="1"/>
            <rFont val="Calibri"/>
            <family val="2"/>
            <scheme val="minor"/>
          </rPr>
          <t xml:space="preserve">Lesley Giles:
£3,420 already invoiced in April before PO was raised so deducted from Quote amount
</t>
        </r>
      </text>
    </comment>
    <comment ref="BD36" authorId="1" shapeId="0" xr:uid="{1B03202E-A049-4D9B-BC03-45ACE45290C0}">
      <text>
        <r>
          <rPr>
            <sz val="11"/>
            <color theme="1"/>
            <rFont val="Calibri"/>
            <family val="2"/>
            <scheme val="minor"/>
          </rPr>
          <t xml:space="preserve">Lesley Giles:
GHS/001
</t>
        </r>
      </text>
    </comment>
    <comment ref="AW37" authorId="1" shapeId="0" xr:uid="{BFECA9EC-1FE1-4E1C-A0D4-32FA32706B38}">
      <text>
        <r>
          <rPr>
            <sz val="11"/>
            <color theme="1"/>
            <rFont val="Calibri"/>
            <family val="2"/>
            <scheme val="minor"/>
          </rPr>
          <t xml:space="preserve">Lesley Giles:
189251
</t>
        </r>
      </text>
    </comment>
    <comment ref="AZ37" authorId="1" shapeId="0" xr:uid="{D2D7118F-1FC7-4A8A-8D8B-2C159000ACAC}">
      <text>
        <r>
          <rPr>
            <sz val="11"/>
            <color theme="1"/>
            <rFont val="Calibri"/>
            <family val="2"/>
            <scheme val="minor"/>
          </rPr>
          <t>Lesley Giles:
194702 GRENDON WEST BESS</t>
        </r>
      </text>
    </comment>
    <comment ref="BB37" authorId="1" shapeId="0" xr:uid="{807C892C-8B19-4C4D-AF2F-30C02E6B3F58}">
      <text>
        <r>
          <rPr>
            <sz val="11"/>
            <color theme="1"/>
            <rFont val="Calibri"/>
            <family val="2"/>
            <scheme val="minor"/>
          </rPr>
          <t xml:space="preserve">Lesley Giles:
198707
</t>
        </r>
      </text>
    </comment>
    <comment ref="BC37" authorId="1" shapeId="0" xr:uid="{2CFE41E3-7321-4848-9241-DA9BCFDB29A1}">
      <text>
        <r>
          <rPr>
            <b/>
            <sz val="9"/>
            <color indexed="81"/>
            <rFont val="Tahoma"/>
            <family val="2"/>
          </rPr>
          <t>Lesley Giles:</t>
        </r>
        <r>
          <rPr>
            <sz val="9"/>
            <color indexed="81"/>
            <rFont val="Tahoma"/>
            <family val="2"/>
          </rPr>
          <t xml:space="preserve">
200151</t>
        </r>
      </text>
    </comment>
    <comment ref="BC38" authorId="1" shapeId="0" xr:uid="{FC9F7415-BCCF-42B9-A619-788AC00FC674}">
      <text>
        <r>
          <rPr>
            <b/>
            <sz val="9"/>
            <color indexed="81"/>
            <rFont val="Tahoma"/>
            <family val="2"/>
          </rPr>
          <t>Lesley Giles:</t>
        </r>
        <r>
          <rPr>
            <sz val="9"/>
            <color indexed="81"/>
            <rFont val="Tahoma"/>
            <family val="2"/>
          </rPr>
          <t xml:space="preserve">
07/03/2024</t>
        </r>
      </text>
    </comment>
    <comment ref="BD39" authorId="1" shapeId="0" xr:uid="{1F5208DC-1DDC-478F-A36A-9B94074906BA}">
      <text>
        <r>
          <rPr>
            <b/>
            <sz val="9"/>
            <color indexed="81"/>
            <rFont val="Tahoma"/>
            <family val="2"/>
          </rPr>
          <t>Lesley Giles:</t>
        </r>
        <r>
          <rPr>
            <sz val="9"/>
            <color indexed="81"/>
            <rFont val="Tahoma"/>
            <family val="2"/>
          </rPr>
          <t xml:space="preserve">
INV 010214</t>
        </r>
      </text>
    </comment>
    <comment ref="BE39" authorId="1" shapeId="0" xr:uid="{2CBEE097-B482-4D06-9BA2-F29B975950DA}">
      <text>
        <r>
          <rPr>
            <sz val="11"/>
            <color theme="1"/>
            <rFont val="Calibri"/>
            <family val="2"/>
            <scheme val="minor"/>
          </rPr>
          <t>Lesley Giles:
010686</t>
        </r>
      </text>
    </comment>
    <comment ref="F40" authorId="2" shapeId="0" xr:uid="{DA642E72-F0E6-4F7A-BCB0-583BAE3CD402}">
      <text>
        <r>
          <rPr>
            <b/>
            <sz val="9"/>
            <color indexed="81"/>
            <rFont val="Tahoma"/>
            <family val="2"/>
          </rPr>
          <t>Natasha Worrall:</t>
        </r>
        <r>
          <rPr>
            <sz val="9"/>
            <color indexed="81"/>
            <rFont val="Tahoma"/>
            <family val="2"/>
          </rPr>
          <t xml:space="preserve">
Lesley, increased on 15.09.23 to include additional costs provided by Clarkson and Woods for Otters, NE DAS etc. </t>
        </r>
      </text>
    </comment>
    <comment ref="I40" authorId="1" shapeId="0" xr:uid="{5CBBBB8A-9939-4977-8C3A-C40393F28087}">
      <text>
        <r>
          <rPr>
            <sz val="11"/>
            <color theme="1"/>
            <rFont val="Calibri"/>
            <family val="2"/>
            <scheme val="minor"/>
          </rPr>
          <t>Lesley Giles:
Quote V7 without revisions budget</t>
        </r>
      </text>
    </comment>
    <comment ref="AY40" authorId="1" shapeId="0" xr:uid="{67768AF1-8F6D-405C-AB0A-73436B38F6B8}">
      <text>
        <r>
          <rPr>
            <sz val="11"/>
            <color theme="1"/>
            <rFont val="Calibri"/>
            <family val="2"/>
            <scheme val="minor"/>
          </rPr>
          <t>Lesley Giles:
83082
85421 Grendon West BESS</t>
        </r>
      </text>
    </comment>
    <comment ref="AZ40" authorId="1" shapeId="0" xr:uid="{4D50219B-4136-4528-AB6F-BA768683DA49}">
      <text>
        <r>
          <rPr>
            <b/>
            <sz val="9"/>
            <color indexed="81"/>
            <rFont val="Tahoma"/>
            <family val="2"/>
          </rPr>
          <t>Lesley Giles:</t>
        </r>
        <r>
          <rPr>
            <sz val="9"/>
            <color indexed="81"/>
            <rFont val="Tahoma"/>
            <family val="2"/>
          </rPr>
          <t xml:space="preserve">
83083</t>
        </r>
      </text>
    </comment>
    <comment ref="BB40" authorId="1" shapeId="0" xr:uid="{14836403-EBF2-4E38-887A-EA6FCCB3A799}">
      <text>
        <r>
          <rPr>
            <sz val="11"/>
            <color theme="1"/>
            <rFont val="Calibri"/>
            <family val="2"/>
            <scheme val="minor"/>
          </rPr>
          <t>Lesley Giles:
83085</t>
        </r>
      </text>
    </comment>
    <comment ref="BC40" authorId="1" shapeId="0" xr:uid="{711BCD55-2EF9-4F97-AA46-4643A9B0CDE3}">
      <text>
        <r>
          <rPr>
            <b/>
            <sz val="9"/>
            <color indexed="81"/>
            <rFont val="Tahoma"/>
            <family val="2"/>
          </rPr>
          <t>Lesley Giles:</t>
        </r>
        <r>
          <rPr>
            <sz val="9"/>
            <color indexed="81"/>
            <rFont val="Tahoma"/>
            <family val="2"/>
          </rPr>
          <t xml:space="preserve">
83087</t>
        </r>
      </text>
    </comment>
    <comment ref="BD40" authorId="1" shapeId="0" xr:uid="{EB806A40-B518-4575-A8EE-789CF3B56A66}">
      <text>
        <r>
          <rPr>
            <sz val="11"/>
            <color theme="1"/>
            <rFont val="Calibri"/>
            <family val="2"/>
            <scheme val="minor"/>
          </rPr>
          <t>Lesley Giles:
83088</t>
        </r>
      </text>
    </comment>
    <comment ref="BE40" authorId="1" shapeId="0" xr:uid="{E66CAF34-7209-4C92-BA8F-C25BE2AB43B0}">
      <text>
        <r>
          <rPr>
            <sz val="11"/>
            <color theme="1"/>
            <rFont val="Calibri"/>
            <family val="2"/>
            <scheme val="minor"/>
          </rPr>
          <t>Lesley Giles:
83089</t>
        </r>
      </text>
    </comment>
    <comment ref="H41" authorId="1" shapeId="0" xr:uid="{E855446E-4D6B-44E5-866F-89EDD864265F}">
      <text>
        <r>
          <rPr>
            <sz val="11"/>
            <color theme="1"/>
            <rFont val="Calibri"/>
            <family val="2"/>
            <scheme val="minor"/>
          </rPr>
          <t>Lesley Giles:
£10k for stage one assessment, stage two costs will be between £300-600k</t>
        </r>
      </text>
    </comment>
    <comment ref="BC42" authorId="1" shapeId="0" xr:uid="{4231479C-8803-4D34-817F-A3AD04663877}">
      <text>
        <r>
          <rPr>
            <b/>
            <sz val="9"/>
            <color indexed="81"/>
            <rFont val="Tahoma"/>
            <family val="2"/>
          </rPr>
          <t>Lesley Giles:</t>
        </r>
        <r>
          <rPr>
            <sz val="9"/>
            <color indexed="81"/>
            <rFont val="Tahoma"/>
            <family val="2"/>
          </rPr>
          <t xml:space="preserve">
30081954</t>
        </r>
      </text>
    </comment>
    <comment ref="BD42" authorId="1" shapeId="0" xr:uid="{95C5CACF-1A8B-4CE7-951D-FDE43E2D91D3}">
      <text>
        <r>
          <rPr>
            <b/>
            <sz val="9"/>
            <color indexed="81"/>
            <rFont val="Tahoma"/>
            <family val="2"/>
          </rPr>
          <t>Lesley Giles:</t>
        </r>
        <r>
          <rPr>
            <sz val="9"/>
            <color indexed="81"/>
            <rFont val="Tahoma"/>
            <family val="2"/>
          </rPr>
          <t xml:space="preserve">
30081301</t>
        </r>
      </text>
    </comment>
    <comment ref="BF42" authorId="1" shapeId="0" xr:uid="{BD7A4D20-A56C-42B6-888C-EEAECE2D1E8A}">
      <text>
        <r>
          <rPr>
            <sz val="11"/>
            <color theme="1"/>
            <rFont val="Calibri"/>
            <family val="2"/>
            <scheme val="minor"/>
          </rPr>
          <t>Lesley Giles:
30097330</t>
        </r>
      </text>
    </comment>
    <comment ref="AY43" authorId="1" shapeId="0" xr:uid="{8EE20E95-A799-4F7F-9440-1B5065C1A0AF}">
      <text>
        <r>
          <rPr>
            <sz val="11"/>
            <color theme="1"/>
            <rFont val="Calibri"/>
            <family val="2"/>
            <scheme val="minor"/>
          </rPr>
          <t>Lesley Giles:
604734</t>
        </r>
      </text>
    </comment>
    <comment ref="AZ43" authorId="1" shapeId="0" xr:uid="{1289ABBF-AF9C-467D-AF6D-721C181BAC0E}">
      <text>
        <r>
          <rPr>
            <b/>
            <sz val="9"/>
            <color indexed="81"/>
            <rFont val="Tahoma"/>
            <family val="2"/>
          </rPr>
          <t>Lesley Giles:</t>
        </r>
        <r>
          <rPr>
            <sz val="9"/>
            <color indexed="81"/>
            <rFont val="Tahoma"/>
            <family val="2"/>
          </rPr>
          <t xml:space="preserve">
30065917
Tetra tech?</t>
        </r>
      </text>
    </comment>
    <comment ref="BB43" authorId="1" shapeId="0" xr:uid="{0BEBB443-C628-4C40-9B58-A112F804FCCC}">
      <text>
        <r>
          <rPr>
            <sz val="11"/>
            <color theme="1"/>
            <rFont val="Calibri"/>
            <family val="2"/>
            <scheme val="minor"/>
          </rPr>
          <t>Lesley Giles:
605415</t>
        </r>
      </text>
    </comment>
    <comment ref="BC43" authorId="1" shapeId="0" xr:uid="{601077F7-EE59-455B-B9B5-4BE65D4A2986}">
      <text>
        <r>
          <rPr>
            <b/>
            <sz val="9"/>
            <color indexed="81"/>
            <rFont val="Tahoma"/>
            <family val="2"/>
          </rPr>
          <t>Lesley Giles:</t>
        </r>
        <r>
          <rPr>
            <sz val="9"/>
            <color indexed="81"/>
            <rFont val="Tahoma"/>
            <family val="2"/>
          </rPr>
          <t xml:space="preserve">
605551</t>
        </r>
      </text>
    </comment>
    <comment ref="BE43" authorId="1" shapeId="0" xr:uid="{49619DCF-D9A0-4EE2-9007-C55003E49DB2}">
      <text>
        <r>
          <rPr>
            <sz val="11"/>
            <color theme="1"/>
            <rFont val="Calibri"/>
            <family val="2"/>
            <scheme val="minor"/>
          </rPr>
          <t>Lesley Giles:
606399</t>
        </r>
      </text>
    </comment>
    <comment ref="BF43" authorId="1" shapeId="0" xr:uid="{8DDBC95A-DE28-4E64-B8E4-CC3F5681AE61}">
      <text>
        <r>
          <rPr>
            <sz val="11"/>
            <color theme="1"/>
            <rFont val="Calibri"/>
            <family val="2"/>
            <scheme val="minor"/>
          </rPr>
          <t>Lesley Giles:
606641</t>
        </r>
      </text>
    </comment>
    <comment ref="AY44" authorId="1" shapeId="0" xr:uid="{9FEC7176-5AB9-4952-9DCA-13BF1D4C3A25}">
      <text>
        <r>
          <rPr>
            <b/>
            <sz val="9"/>
            <color indexed="81"/>
            <rFont val="Tahoma"/>
            <family val="2"/>
          </rPr>
          <t>Lesley Giles:</t>
        </r>
        <r>
          <rPr>
            <sz val="9"/>
            <color indexed="81"/>
            <rFont val="Tahoma"/>
            <family val="2"/>
          </rPr>
          <t xml:space="preserve">
009367</t>
        </r>
      </text>
    </comment>
    <comment ref="AZ44" authorId="1" shapeId="0" xr:uid="{F8734DA5-C812-4C54-BF48-8DCB281413ED}">
      <text>
        <r>
          <rPr>
            <b/>
            <sz val="9"/>
            <color indexed="81"/>
            <rFont val="Tahoma"/>
            <family val="2"/>
          </rPr>
          <t>Lesley Giles:</t>
        </r>
        <r>
          <rPr>
            <sz val="9"/>
            <color indexed="81"/>
            <rFont val="Tahoma"/>
            <family val="2"/>
          </rPr>
          <t xml:space="preserve">
009561</t>
        </r>
      </text>
    </comment>
    <comment ref="BA44" authorId="1" shapeId="0" xr:uid="{0D93184B-ED96-417A-977C-6E7F87F5F8D7}">
      <text>
        <r>
          <rPr>
            <sz val="11"/>
            <color theme="1"/>
            <rFont val="Calibri"/>
            <family val="2"/>
            <scheme val="minor"/>
          </rPr>
          <t>Lesley Giles:
009758</t>
        </r>
      </text>
    </comment>
    <comment ref="BC44" authorId="1" shapeId="0" xr:uid="{6ABEE0A5-E8AA-45C1-AD91-F5510A75CA26}">
      <text>
        <r>
          <rPr>
            <b/>
            <sz val="9"/>
            <color indexed="81"/>
            <rFont val="Tahoma"/>
            <family val="2"/>
          </rPr>
          <t>Lesley Giles:</t>
        </r>
        <r>
          <rPr>
            <sz val="9"/>
            <color indexed="81"/>
            <rFont val="Tahoma"/>
            <family val="2"/>
          </rPr>
          <t xml:space="preserve">
INV 010206</t>
        </r>
      </text>
    </comment>
    <comment ref="BD44" authorId="1" shapeId="0" xr:uid="{FCAB719E-A19C-451F-A2AB-6DED1F66B8FA}">
      <text>
        <r>
          <rPr>
            <sz val="11"/>
            <color theme="1"/>
            <rFont val="Calibri"/>
            <family val="2"/>
            <scheme val="minor"/>
          </rPr>
          <t>Lesley Giles:
010443</t>
        </r>
      </text>
    </comment>
    <comment ref="BE44" authorId="1" shapeId="0" xr:uid="{0A4DBDD4-7F1B-4921-9D95-6674DB038281}">
      <text>
        <r>
          <rPr>
            <sz val="11"/>
            <color theme="1"/>
            <rFont val="Calibri"/>
            <family val="2"/>
            <scheme val="minor"/>
          </rPr>
          <t>Lesley Giles:
010683</t>
        </r>
      </text>
    </comment>
    <comment ref="BF44" authorId="1" shapeId="0" xr:uid="{936AC5D5-C1BA-441C-9A4C-92A92A0773B4}">
      <text>
        <r>
          <rPr>
            <sz val="11"/>
            <color theme="1"/>
            <rFont val="Calibri"/>
            <family val="2"/>
            <scheme val="minor"/>
          </rPr>
          <t>Lesley Giles:
010900</t>
        </r>
      </text>
    </comment>
    <comment ref="BB45" authorId="1" shapeId="0" xr:uid="{A6F1631D-748A-4AFB-9D45-55A74A25286D}">
      <text>
        <r>
          <rPr>
            <sz val="11"/>
            <color theme="1"/>
            <rFont val="Calibri"/>
            <family val="2"/>
            <scheme val="minor"/>
          </rPr>
          <t>Lesley Giles:
709657</t>
        </r>
      </text>
    </comment>
    <comment ref="BD45" authorId="1" shapeId="0" xr:uid="{B6F71832-AD2C-497C-BD79-C7BAD5D2FFE6}">
      <text>
        <r>
          <rPr>
            <b/>
            <sz val="9"/>
            <color indexed="81"/>
            <rFont val="Tahoma"/>
            <family val="2"/>
          </rPr>
          <t>Lesley Giles:</t>
        </r>
        <r>
          <rPr>
            <sz val="9"/>
            <color indexed="81"/>
            <rFont val="Tahoma"/>
            <family val="2"/>
          </rPr>
          <t xml:space="preserve">
709758</t>
        </r>
      </text>
    </comment>
    <comment ref="BE45" authorId="1" shapeId="0" xr:uid="{2854CCC9-8461-486A-AC98-FBE8288D2453}">
      <text>
        <r>
          <rPr>
            <sz val="11"/>
            <color theme="1"/>
            <rFont val="Calibri"/>
            <family val="2"/>
            <scheme val="minor"/>
          </rPr>
          <t xml:space="preserve">Lesley Giles:
709864
</t>
        </r>
      </text>
    </comment>
    <comment ref="BF45" authorId="1" shapeId="0" xr:uid="{F258C0F1-65B4-4863-9B9F-D75434AD3A98}">
      <text>
        <r>
          <rPr>
            <sz val="11"/>
            <color theme="1"/>
            <rFont val="Calibri"/>
            <family val="2"/>
            <scheme val="minor"/>
          </rPr>
          <t xml:space="preserve">Lesley Giles:
709926
</t>
        </r>
      </text>
    </comment>
    <comment ref="AY47" authorId="1" shapeId="0" xr:uid="{794021AD-80B6-467D-835F-65E3C126472B}">
      <text>
        <r>
          <rPr>
            <sz val="11"/>
            <color theme="1"/>
            <rFont val="Calibri"/>
            <family val="2"/>
            <scheme val="minor"/>
          </rPr>
          <t>Lesley Giles:
6784485</t>
        </r>
      </text>
    </comment>
    <comment ref="AZ47" authorId="1" shapeId="0" xr:uid="{6EAD9ECB-81A6-46C5-A3DB-CDEDCA88C434}">
      <text>
        <r>
          <rPr>
            <b/>
            <sz val="9"/>
            <color indexed="81"/>
            <rFont val="Tahoma"/>
            <family val="2"/>
          </rPr>
          <t>Lesley Giles:</t>
        </r>
        <r>
          <rPr>
            <sz val="9"/>
            <color indexed="81"/>
            <rFont val="Tahoma"/>
            <family val="2"/>
          </rPr>
          <t xml:space="preserve">
6792039</t>
        </r>
      </text>
    </comment>
    <comment ref="BB47" authorId="1" shapeId="0" xr:uid="{65777633-6481-4FE7-B837-5E31AA0338E6}">
      <text>
        <r>
          <rPr>
            <sz val="11"/>
            <color theme="1"/>
            <rFont val="Calibri"/>
            <family val="2"/>
            <scheme val="minor"/>
          </rPr>
          <t>Lesley Giles:
6804283</t>
        </r>
      </text>
    </comment>
    <comment ref="BC47" authorId="1" shapeId="0" xr:uid="{5B47C738-6329-449D-A453-E367890D57A6}">
      <text>
        <r>
          <rPr>
            <sz val="11"/>
            <color theme="1"/>
            <rFont val="Calibri"/>
            <family val="2"/>
            <scheme val="minor"/>
          </rPr>
          <t>Lesley Giles:
INV 6814939</t>
        </r>
      </text>
    </comment>
    <comment ref="BD47" authorId="1" shapeId="0" xr:uid="{71FBFF5C-FBD4-4BAF-ADE7-953CA9874DE1}">
      <text>
        <r>
          <rPr>
            <sz val="11"/>
            <color theme="1"/>
            <rFont val="Calibri"/>
            <family val="2"/>
            <scheme val="minor"/>
          </rPr>
          <t>Lesley Giles:
GP/700871/07000</t>
        </r>
      </text>
    </comment>
    <comment ref="BE47" authorId="1" shapeId="0" xr:uid="{6E2EAC9E-D963-46B2-9F39-5EE7D8E7A845}">
      <text>
        <r>
          <rPr>
            <sz val="11"/>
            <color theme="1"/>
            <rFont val="Calibri"/>
            <family val="2"/>
            <scheme val="minor"/>
          </rPr>
          <t>Lesley Giles:
6831181</t>
        </r>
      </text>
    </comment>
    <comment ref="BF47" authorId="1" shapeId="0" xr:uid="{EB428AB1-A8DA-4B93-8B28-90BDDDFB2466}">
      <text>
        <r>
          <rPr>
            <sz val="11"/>
            <color theme="1"/>
            <rFont val="Calibri"/>
            <family val="2"/>
            <scheme val="minor"/>
          </rPr>
          <t>Lesley Giles:
6834978</t>
        </r>
      </text>
    </comment>
    <comment ref="AV48" authorId="1" shapeId="0" xr:uid="{57A85A1A-5C1A-435D-84F4-3BF9FFDD22CB}">
      <text>
        <r>
          <rPr>
            <sz val="11"/>
            <color theme="1"/>
            <rFont val="Calibri"/>
            <family val="2"/>
            <scheme val="minor"/>
          </rPr>
          <t>Lesley Giles:
Solar 12521
BESS 12522</t>
        </r>
      </text>
    </comment>
    <comment ref="AX48" authorId="1" shapeId="0" xr:uid="{8110E6EC-6617-497B-9028-4AB552008065}">
      <text>
        <r>
          <rPr>
            <sz val="11"/>
            <color theme="1"/>
            <rFont val="Calibri"/>
            <family val="2"/>
            <scheme val="minor"/>
          </rPr>
          <t>Lesley Giles:
12681</t>
        </r>
      </text>
    </comment>
    <comment ref="AY48" authorId="1" shapeId="0" xr:uid="{FFFE5A22-E091-43B0-8371-90A8B7C8B3BD}">
      <text>
        <r>
          <rPr>
            <sz val="11"/>
            <color theme="1"/>
            <rFont val="Calibri"/>
            <family val="2"/>
            <scheme val="minor"/>
          </rPr>
          <t>Lesley Giles:
12746</t>
        </r>
      </text>
    </comment>
    <comment ref="AZ48" authorId="1" shapeId="0" xr:uid="{AD0011CF-167A-464A-B0F4-6E19D7E7C953}">
      <text>
        <r>
          <rPr>
            <b/>
            <sz val="9"/>
            <color indexed="81"/>
            <rFont val="Tahoma"/>
            <family val="2"/>
          </rPr>
          <t>Lesley Giles:</t>
        </r>
        <r>
          <rPr>
            <sz val="9"/>
            <color indexed="81"/>
            <rFont val="Tahoma"/>
            <family val="2"/>
          </rPr>
          <t xml:space="preserve">
12878
</t>
        </r>
      </text>
    </comment>
    <comment ref="BA48" authorId="1" shapeId="0" xr:uid="{45B49DD2-D6D7-47DA-ABEF-587FC723B837}">
      <text>
        <r>
          <rPr>
            <sz val="11"/>
            <color theme="1"/>
            <rFont val="Calibri"/>
            <family val="2"/>
            <scheme val="minor"/>
          </rPr>
          <t xml:space="preserve">Lesley Giles:
12879
</t>
        </r>
      </text>
    </comment>
    <comment ref="BB48" authorId="1" shapeId="0" xr:uid="{07F09F9E-1E45-4A38-9170-08F6630EC578}">
      <text>
        <r>
          <rPr>
            <sz val="11"/>
            <color theme="1"/>
            <rFont val="Calibri"/>
            <family val="2"/>
            <scheme val="minor"/>
          </rPr>
          <t>Lesley Giles:
£37,374.09 is invoice 13013</t>
        </r>
      </text>
    </comment>
    <comment ref="BC48" authorId="1" shapeId="0" xr:uid="{A4180785-F86C-4456-A090-436E9DE14F60}">
      <text>
        <r>
          <rPr>
            <sz val="11"/>
            <color theme="1"/>
            <rFont val="Calibri"/>
            <family val="2"/>
            <scheme val="minor"/>
          </rPr>
          <t>Lesley Giles:
13110
13111
13057</t>
        </r>
      </text>
    </comment>
    <comment ref="BD48" authorId="1" shapeId="0" xr:uid="{1B22C9E4-8F76-4089-993A-931C5F03A4FC}">
      <text>
        <r>
          <rPr>
            <sz val="11"/>
            <color theme="1"/>
            <rFont val="Calibri"/>
            <family val="2"/>
            <scheme val="minor"/>
          </rPr>
          <t>Lesley Giles:
13201
13230</t>
        </r>
      </text>
    </comment>
    <comment ref="BE48" authorId="1" shapeId="0" xr:uid="{28042B30-A175-496A-B416-6E55E5C314C6}">
      <text>
        <r>
          <rPr>
            <sz val="11"/>
            <color theme="1"/>
            <rFont val="Calibri"/>
            <family val="2"/>
            <scheme val="minor"/>
          </rPr>
          <t>Lesley Giles:
13244</t>
        </r>
      </text>
    </comment>
    <comment ref="AX49" authorId="1" shapeId="0" xr:uid="{454FB11C-4B75-47D6-AD32-8B0C293240A7}">
      <text>
        <r>
          <rPr>
            <sz val="11"/>
            <color theme="1"/>
            <rFont val="Calibri"/>
            <family val="2"/>
            <scheme val="minor"/>
          </rPr>
          <t>Lesley Giles:
12681</t>
        </r>
      </text>
    </comment>
    <comment ref="AZ49" authorId="1" shapeId="0" xr:uid="{48DC7AD0-E77A-4B3B-8C07-0D963389DDE6}">
      <text>
        <r>
          <rPr>
            <sz val="11"/>
            <color theme="1"/>
            <rFont val="Calibri"/>
            <family val="2"/>
            <scheme val="minor"/>
          </rPr>
          <t>Lesley Giles:
12878
12877
12880 Grendon West BESS</t>
        </r>
      </text>
    </comment>
    <comment ref="BA49" authorId="1" shapeId="0" xr:uid="{7486632C-79AE-4704-88D3-18D65E82FB6B}">
      <text>
        <r>
          <rPr>
            <sz val="11"/>
            <color theme="1"/>
            <rFont val="Calibri"/>
            <family val="2"/>
            <scheme val="minor"/>
          </rPr>
          <t xml:space="preserve">Lesley Giles:
12879
</t>
        </r>
      </text>
    </comment>
    <comment ref="BB49" authorId="1" shapeId="0" xr:uid="{9ED87D3A-E0FA-4693-A208-9E083E545635}">
      <text>
        <r>
          <rPr>
            <sz val="11"/>
            <color theme="1"/>
            <rFont val="Calibri"/>
            <family val="2"/>
            <scheme val="minor"/>
          </rPr>
          <t>Lesley Giles:
£37,374.09 is invoice 13013</t>
        </r>
      </text>
    </comment>
    <comment ref="BA50" authorId="1" shapeId="0" xr:uid="{E4B71032-30EA-42CC-AE26-2D1E9407F186}">
      <text>
        <r>
          <rPr>
            <sz val="11"/>
            <color theme="1"/>
            <rFont val="Calibri"/>
            <family val="2"/>
            <scheme val="minor"/>
          </rPr>
          <t>Lesley Giles:
12938</t>
        </r>
      </text>
    </comment>
    <comment ref="BB50" authorId="1" shapeId="0" xr:uid="{E1F170CA-CF02-4185-8D25-CF3EBA0BAF83}">
      <text>
        <r>
          <rPr>
            <sz val="11"/>
            <color theme="1"/>
            <rFont val="Calibri"/>
            <family val="2"/>
            <scheme val="minor"/>
          </rPr>
          <t>Lesley Giles:
13057</t>
        </r>
      </text>
    </comment>
    <comment ref="BD50" authorId="1" shapeId="0" xr:uid="{931DB3A5-2E9F-44B9-8AB1-72B197C12109}">
      <text>
        <r>
          <rPr>
            <sz val="11"/>
            <color theme="1"/>
            <rFont val="Calibri"/>
            <family val="2"/>
            <scheme val="minor"/>
          </rPr>
          <t xml:space="preserve">Lesley Giles:
13202
</t>
        </r>
      </text>
    </comment>
    <comment ref="BE50" authorId="1" shapeId="0" xr:uid="{CE6684EF-A491-4785-88B1-28E30626C1B0}">
      <text>
        <r>
          <rPr>
            <sz val="11"/>
            <color theme="1"/>
            <rFont val="Calibri"/>
            <family val="2"/>
            <scheme val="minor"/>
          </rPr>
          <t>Lesley Giles:
13230</t>
        </r>
      </text>
    </comment>
    <comment ref="AV52" authorId="1" shapeId="0" xr:uid="{6E813E09-31D6-44F2-AC4D-65FA983B638D}">
      <text>
        <r>
          <rPr>
            <sz val="11"/>
            <color theme="1"/>
            <rFont val="Calibri"/>
            <family val="2"/>
            <scheme val="minor"/>
          </rPr>
          <t>Lesley Giles:
INV-2307-172</t>
        </r>
      </text>
    </comment>
    <comment ref="AX52" authorId="1" shapeId="0" xr:uid="{46F8B266-9AA8-40B5-B4F2-0B510340AF16}">
      <text>
        <r>
          <rPr>
            <sz val="11"/>
            <color theme="1"/>
            <rFont val="Calibri"/>
            <family val="2"/>
            <scheme val="minor"/>
          </rPr>
          <t>Lesley Giles:
INV-2309-135</t>
        </r>
      </text>
    </comment>
    <comment ref="AY52" authorId="1" shapeId="0" xr:uid="{27A8296C-1795-4FE9-853D-170E02E5CAD7}">
      <text>
        <r>
          <rPr>
            <sz val="11"/>
            <color theme="1"/>
            <rFont val="Calibri"/>
            <family val="2"/>
            <scheme val="minor"/>
          </rPr>
          <t>Lesley Giles:
INV-2310-083</t>
        </r>
      </text>
    </comment>
    <comment ref="AZ52" authorId="1" shapeId="0" xr:uid="{286036A6-7491-4307-89D3-DBC2CAA2D25C}">
      <text>
        <r>
          <rPr>
            <b/>
            <sz val="9"/>
            <color indexed="81"/>
            <rFont val="Tahoma"/>
            <family val="2"/>
          </rPr>
          <t>Lesley Giles:</t>
        </r>
        <r>
          <rPr>
            <sz val="9"/>
            <color indexed="81"/>
            <rFont val="Tahoma"/>
            <family val="2"/>
          </rPr>
          <t xml:space="preserve">
INV-2311-041
</t>
        </r>
      </text>
    </comment>
    <comment ref="BB52" authorId="1" shapeId="0" xr:uid="{1DF0CC99-85E4-45FF-B2C7-BC05D7904BC9}">
      <text>
        <r>
          <rPr>
            <b/>
            <sz val="9"/>
            <color indexed="81"/>
            <rFont val="Tahoma"/>
            <family val="2"/>
          </rPr>
          <t>Lesley Giles:</t>
        </r>
        <r>
          <rPr>
            <sz val="9"/>
            <color indexed="81"/>
            <rFont val="Tahoma"/>
            <family val="2"/>
          </rPr>
          <t xml:space="preserve">
INV-2402-185</t>
        </r>
      </text>
    </comment>
    <comment ref="BC52" authorId="1" shapeId="0" xr:uid="{B826B64E-7799-4FD2-A91B-330DECB382AE}">
      <text>
        <r>
          <rPr>
            <sz val="11"/>
            <color theme="1"/>
            <rFont val="Calibri"/>
            <family val="2"/>
            <scheme val="minor"/>
          </rPr>
          <t>Lesley Giles:
INV-2403-168</t>
        </r>
      </text>
    </comment>
    <comment ref="BD52" authorId="1" shapeId="0" xr:uid="{DCD93045-86DB-4921-A863-BEF8EBE9F4AA}">
      <text>
        <r>
          <rPr>
            <sz val="11"/>
            <color theme="1"/>
            <rFont val="Calibri"/>
            <family val="2"/>
            <scheme val="minor"/>
          </rPr>
          <t>Lesley Giles:
INV-2403-169</t>
        </r>
      </text>
    </comment>
    <comment ref="BE52" authorId="1" shapeId="0" xr:uid="{126EB08A-AADF-4900-AD6A-247FE01C09A9}">
      <text>
        <r>
          <rPr>
            <sz val="11"/>
            <color theme="1"/>
            <rFont val="Calibri"/>
            <family val="2"/>
            <scheme val="minor"/>
          </rPr>
          <t>Lesley Giles:
inv-203-169</t>
        </r>
      </text>
    </comment>
    <comment ref="BF52" authorId="1" shapeId="0" xr:uid="{AE8BD247-E8CA-44C5-B7EE-D8A3499FAC53}">
      <text>
        <r>
          <rPr>
            <sz val="11"/>
            <color theme="1"/>
            <rFont val="Calibri"/>
            <family val="2"/>
            <scheme val="minor"/>
          </rPr>
          <t>Lesley Giles:
INV-13000599</t>
        </r>
      </text>
    </comment>
    <comment ref="BD53" authorId="1" shapeId="0" xr:uid="{F8043D6F-0008-4480-B31C-B5FDD9A6155F}">
      <text>
        <r>
          <rPr>
            <sz val="11"/>
            <color theme="1"/>
            <rFont val="Calibri"/>
            <family val="2"/>
            <scheme val="minor"/>
          </rPr>
          <t>Lesley Giles:
1548</t>
        </r>
      </text>
    </comment>
    <comment ref="BE53" authorId="1" shapeId="0" xr:uid="{1660A96F-3B98-486D-9C75-05CEA7E4C688}">
      <text>
        <r>
          <rPr>
            <sz val="11"/>
            <color theme="1"/>
            <rFont val="Calibri"/>
            <family val="2"/>
            <scheme val="minor"/>
          </rPr>
          <t>Lesley Giles:
1550</t>
        </r>
      </text>
    </comment>
    <comment ref="BB54" authorId="1" shapeId="0" xr:uid="{24D6CE30-844A-4E1C-8F75-82B87C79E95B}">
      <text>
        <r>
          <rPr>
            <sz val="11"/>
            <color theme="1"/>
            <rFont val="Calibri"/>
            <family val="2"/>
            <scheme val="minor"/>
          </rPr>
          <t>Lesley Giles:
SI404421</t>
        </r>
      </text>
    </comment>
    <comment ref="BC54" authorId="1" shapeId="0" xr:uid="{3EE26CDB-AEF7-44CE-B146-79531CFF7C50}">
      <text>
        <r>
          <rPr>
            <sz val="11"/>
            <color theme="1"/>
            <rFont val="Calibri"/>
            <family val="2"/>
            <scheme val="minor"/>
          </rPr>
          <t>Lesley Giles:
SI404042</t>
        </r>
      </text>
    </comment>
    <comment ref="BE54" authorId="1" shapeId="0" xr:uid="{194D7BFB-A673-4B12-B19C-C286B40E2D7F}">
      <text>
        <r>
          <rPr>
            <sz val="11"/>
            <color theme="1"/>
            <rFont val="Calibri"/>
            <family val="2"/>
            <scheme val="minor"/>
          </rPr>
          <t>Lesley Giles:
SI405785</t>
        </r>
      </text>
    </comment>
    <comment ref="BF54" authorId="1" shapeId="0" xr:uid="{7CB9F872-616D-4528-88C1-256E0D872B4D}">
      <text>
        <r>
          <rPr>
            <sz val="11"/>
            <color theme="1"/>
            <rFont val="Calibri"/>
            <family val="2"/>
            <scheme val="minor"/>
          </rPr>
          <t>Lesley Giles:
S1406225</t>
        </r>
      </text>
    </comment>
    <comment ref="D57" authorId="2" shapeId="0" xr:uid="{B2927F54-B746-4847-9D55-0BB68384CBD7}">
      <text>
        <r>
          <rPr>
            <b/>
            <sz val="9"/>
            <color indexed="81"/>
            <rFont val="Tahoma"/>
            <family val="2"/>
          </rPr>
          <t>Natasha Worrall:</t>
        </r>
        <r>
          <rPr>
            <sz val="9"/>
            <color indexed="81"/>
            <rFont val="Tahoma"/>
            <family val="2"/>
          </rPr>
          <t xml:space="preserve">
Use WB&amp;C</t>
        </r>
      </text>
    </comment>
    <comment ref="H57" authorId="2" shapeId="0" xr:uid="{D41618FF-F118-41D9-9E12-A35BBC0E9328}">
      <text>
        <r>
          <rPr>
            <b/>
            <sz val="9"/>
            <color indexed="81"/>
            <rFont val="Tahoma"/>
            <family val="2"/>
          </rPr>
          <t>Natasha Worrall:</t>
        </r>
        <r>
          <rPr>
            <sz val="9"/>
            <color indexed="81"/>
            <rFont val="Tahoma"/>
            <family val="2"/>
          </rPr>
          <t xml:space="preserve">
Use WB&amp;C</t>
        </r>
      </text>
    </comment>
    <comment ref="D63" authorId="2" shapeId="0" xr:uid="{27B62915-C534-451B-A834-D928D74969E4}">
      <text>
        <r>
          <rPr>
            <b/>
            <sz val="9"/>
            <color indexed="81"/>
            <rFont val="Tahoma"/>
            <family val="2"/>
          </rPr>
          <t xml:space="preserve">Natasha Worrall 
From chat with Eve
</t>
        </r>
      </text>
    </comment>
    <comment ref="F63" authorId="1" shapeId="0" xr:uid="{DA575651-023F-436E-9FF9-C790D695B53F}">
      <text>
        <r>
          <rPr>
            <sz val="11"/>
            <color theme="1"/>
            <rFont val="Calibri"/>
            <family val="2"/>
            <scheme val="minor"/>
          </rPr>
          <t xml:space="preserve">Lesley Giles:
£1,813 HMLR data for cable route
 </t>
        </r>
      </text>
    </comment>
    <comment ref="AU63" authorId="1" shapeId="0" xr:uid="{39F0B567-B169-4C6D-AF09-90AAB9521EC3}">
      <text>
        <r>
          <rPr>
            <sz val="11"/>
            <color theme="1"/>
            <rFont val="Calibri"/>
            <family val="2"/>
            <scheme val="minor"/>
          </rPr>
          <t>Lesley Giles:
UAI-24-10537</t>
        </r>
      </text>
    </comment>
    <comment ref="AX63" authorId="1" shapeId="0" xr:uid="{033EF0B4-A576-40BC-B334-8066E37B6150}">
      <text>
        <r>
          <rPr>
            <sz val="11"/>
            <color theme="1"/>
            <rFont val="Calibri"/>
            <family val="2"/>
            <scheme val="minor"/>
          </rPr>
          <t>Lesley Giles:
UAI-24-10963</t>
        </r>
      </text>
    </comment>
    <comment ref="AY63" authorId="1" shapeId="0" xr:uid="{4C47DCAD-4E4A-4066-8191-0650DC0279A1}">
      <text>
        <r>
          <rPr>
            <sz val="11"/>
            <color theme="1"/>
            <rFont val="Calibri"/>
            <family val="2"/>
            <scheme val="minor"/>
          </rPr>
          <t>Lesley Giles:
UAI-24-11214</t>
        </r>
      </text>
    </comment>
    <comment ref="AZ63" authorId="1" shapeId="0" xr:uid="{63A3D9D2-180A-4A99-BF8D-B569B30E168F}">
      <text>
        <r>
          <rPr>
            <b/>
            <sz val="9"/>
            <color indexed="81"/>
            <rFont val="Tahoma"/>
            <family val="2"/>
          </rPr>
          <t>Lesley Giles:</t>
        </r>
        <r>
          <rPr>
            <sz val="9"/>
            <color indexed="81"/>
            <rFont val="Tahoma"/>
            <family val="2"/>
          </rPr>
          <t xml:space="preserve">
UAI-24-11582</t>
        </r>
      </text>
    </comment>
    <comment ref="BA63" authorId="1" shapeId="0" xr:uid="{EECB122E-DA7C-464B-8851-6B27F8CBFC0B}">
      <text>
        <r>
          <rPr>
            <b/>
            <sz val="9"/>
            <color indexed="81"/>
            <rFont val="Tahoma"/>
            <family val="2"/>
          </rPr>
          <t>Lesley Giles:</t>
        </r>
        <r>
          <rPr>
            <sz val="9"/>
            <color indexed="81"/>
            <rFont val="Tahoma"/>
            <family val="2"/>
          </rPr>
          <t xml:space="preserve">
UAI-24-11879</t>
        </r>
      </text>
    </comment>
    <comment ref="BB63" authorId="1" shapeId="0" xr:uid="{60355742-CD0B-48FB-8B0B-10364116EECE}">
      <text>
        <r>
          <rPr>
            <sz val="11"/>
            <color theme="1"/>
            <rFont val="Calibri"/>
            <family val="2"/>
            <scheme val="minor"/>
          </rPr>
          <t>Lesley Giles:
UAI-24-12437</t>
        </r>
      </text>
    </comment>
    <comment ref="BC63" authorId="1" shapeId="0" xr:uid="{35B8AF5C-791E-4CD1-A38C-912A1CF23F18}">
      <text>
        <r>
          <rPr>
            <sz val="11"/>
            <color theme="1"/>
            <rFont val="Calibri"/>
            <family val="2"/>
            <scheme val="minor"/>
          </rPr>
          <t>Lesley Giles:
UAI-24-13028</t>
        </r>
      </text>
    </comment>
    <comment ref="BD63" authorId="1" shapeId="0" xr:uid="{87143E48-D934-456C-99CD-4CACE4B3CCC5}">
      <text>
        <r>
          <rPr>
            <sz val="11"/>
            <color theme="1"/>
            <rFont val="Calibri"/>
            <family val="2"/>
            <scheme val="minor"/>
          </rPr>
          <t>Lesley Giles:
UAI-24-13304</t>
        </r>
      </text>
    </comment>
    <comment ref="BE63" authorId="1" shapeId="0" xr:uid="{3A9DFC02-7119-4843-B59A-1F02CE6F62B6}">
      <text>
        <r>
          <rPr>
            <sz val="11"/>
            <color theme="1"/>
            <rFont val="Calibri"/>
            <family val="2"/>
            <scheme val="minor"/>
          </rPr>
          <t>Lesley Giles:
UAI-24-13644</t>
        </r>
      </text>
    </comment>
    <comment ref="BF63" authorId="1" shapeId="0" xr:uid="{FD5D3870-BEA1-498F-98CC-5392CB4FCE27}">
      <text>
        <r>
          <rPr>
            <sz val="11"/>
            <color theme="1"/>
            <rFont val="Calibri"/>
            <family val="2"/>
            <scheme val="minor"/>
          </rPr>
          <t>Lesley Giles:
UAI-24-13921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tc={348F93C9-B42F-464B-8657-D7B281C12AFA}</author>
    <author>tc={6EB1634C-6FCE-4A6A-A1EB-4581E6707034}</author>
    <author>tc={2A4AF97E-E73A-449F-818F-44EBBBF0842E}</author>
    <author>tc={1E100381-9599-4B51-85B6-FC9DA5BF7BFC}</author>
    <author>tc={73F4DF3C-46DB-4010-B485-2931FA385C1A}</author>
    <author>tc={8FB53A55-AC71-4DBD-A564-4194BEEAD5EC}</author>
    <author>tc={08C9D32E-9917-43E5-A23A-7C506B537178}</author>
    <author>tc={986ECAB2-0454-477D-915A-E64225ED9214}</author>
    <author>tc={EF2D3D9F-AFAF-468E-A0F6-48DD5C84D824}</author>
    <author>tc={71983986-924D-42A3-8F65-D0961964FF55}</author>
    <author>tc={B44F3203-2CD8-40FC-A3DB-D77C65CBD246}</author>
    <author>tc={76C17B35-1DAC-4198-8DE3-B7DEBD2CC371}</author>
    <author>tc={74C0B94C-BA51-4110-8A12-FDDBDA3712BF}</author>
    <author>tc={9C1CB8AD-3506-4DB9-82DB-FAA119F6D1B0}</author>
    <author>tc={92EF5D2B-BA37-409C-8A00-8C9A15EEADAE}</author>
  </authors>
  <commentList>
    <comment ref="E7" authorId="0" shapeId="0" xr:uid="{348F93C9-B42F-464B-8657-D7B281C12AFA}">
      <text>
        <t>[Threaded comment]
Your version of Excel allows you to read this threaded comment; however, any edits to it will get removed if the file is opened in a newer version of Excel. Learn more: https://go.microsoft.com/fwlink/?linkid=870924
Comment:
    Estimated - TBC</t>
      </text>
    </comment>
    <comment ref="E9" authorId="1" shapeId="0" xr:uid="{6EB1634C-6FCE-4A6A-A1EB-4581E6707034}">
      <text>
        <t>[Threaded comment]
Your version of Excel allows you to read this threaded comment; however, any edits to it will get removed if the file is opened in a newer version of Excel. Learn more: https://go.microsoft.com/fwlink/?linkid=870924
Comment:
    East Lothian Council 
1https://www.eastlothian.gov.uk/info/210547/planning_and_building_standards/12775/discretionary_planning_charges_-
_pre_application</t>
      </text>
    </comment>
    <comment ref="E10" authorId="2" shapeId="0" xr:uid="{2A4AF97E-E73A-449F-818F-44EBBBF0842E}">
      <text>
        <t xml:space="preserve">[Threaded comment]
Your version of Excel allows you to read this threaded comment; however, any edits to it will get removed if the file is opened in a newer version of Excel. Learn more: https://go.microsoft.com/fwlink/?linkid=870924
Comment:
    £264k non-EIA 
£548k EIA </t>
      </text>
    </comment>
    <comment ref="E12" authorId="3" shapeId="0" xr:uid="{1E100381-9599-4B51-85B6-FC9DA5BF7BFC}">
      <text>
        <t>[Threaded comment]
Your version of Excel allows you to read this threaded comment; however, any edits to it will get removed if the file is opened in a newer version of Excel. Learn more: https://go.microsoft.com/fwlink/?linkid=870924
Comment:
    TBC with ITPE as it refers to contract mgt which is not required. PM (£9290), Site visit (£1300), pre app (£550) and design workshop (£985).</t>
      </text>
    </comment>
    <comment ref="E14" authorId="4" shapeId="0" xr:uid="{73F4DF3C-46DB-4010-B485-2931FA385C1A}">
      <text>
        <t xml:space="preserve">[Threaded comment]
Your version of Excel allows you to read this threaded comment; however, any edits to it will get removed if the file is opened in a newer version of Excel. Learn more: https://go.microsoft.com/fwlink/?linkid=870924
Comment:
    ITPE costs for Scoping, although this could be David Bell. TBC. </t>
      </text>
    </comment>
    <comment ref="E15" authorId="5" shapeId="0" xr:uid="{8FB53A55-AC71-4DBD-A564-4194BEEAD5EC}">
      <text>
        <t>[Threaded comment]
Your version of Excel allows you to read this threaded comment; however, any edits to it will get removed if the file is opened in a newer version of Excel. Learn more: https://go.microsoft.com/fwlink/?linkid=870924
Comment:
    ITPE costs for GC report, although this could be David Bell. TBC</t>
      </text>
    </comment>
    <comment ref="E16" authorId="6" shapeId="0" xr:uid="{08C9D32E-9917-43E5-A23A-7C506B537178}">
      <text>
        <t>[Threaded comment]
Your version of Excel allows you to read this threaded comment; however, any edits to it will get removed if the file is opened in a newer version of Excel. Learn more: https://go.microsoft.com/fwlink/?linkid=870924
Comment:
    EIA report including front end and concluding chapters, PM review (£7,210) plus NTS (£1430)</t>
      </text>
    </comment>
    <comment ref="E17" authorId="7" shapeId="0" xr:uid="{986ECAB2-0454-477D-915A-E64225ED9214}">
      <text>
        <t>[Threaded comment]
Your version of Excel allows you to read this threaded comment; however, any edits to it will get removed if the file is opened in a newer version of Excel. Learn more: https://go.microsoft.com/fwlink/?linkid=870924
Comment:
    Task management £1270, input to EIA screening £740, input to EIA scoping £1,370</t>
      </text>
    </comment>
    <comment ref="E37" authorId="8" shapeId="0" xr:uid="{EF2D3D9F-AFAF-468E-A0F6-48DD5C84D824}">
      <text>
        <t>[Threaded comment]
Your version of Excel allows you to read this threaded comment; however, any edits to it will get removed if the file is opened in a newer version of Excel. Learn more: https://go.microsoft.com/fwlink/?linkid=870924
Comment:
    Headland: Option 1 area calculated at 14.54 ha (£6,240) and option 2 area calculated at 41.5ha (£13,250)</t>
      </text>
    </comment>
    <comment ref="C40" authorId="9" shapeId="0" xr:uid="{71983986-924D-42A3-8F65-D0961964FF55}">
      <text>
        <t xml:space="preserve">[Threaded comment]
Your version of Excel allows you to read this threaded comment; however, any edits to it will get removed if the file is opened in a newer version of Excel. Learn more: https://go.microsoft.com/fwlink/?linkid=870924
Comment:
    Includes survey, report, 2 x meetings and post-sub liaison with LPA </t>
      </text>
    </comment>
    <comment ref="E50" authorId="10" shapeId="0" xr:uid="{B44F3203-2CD8-40FC-A3DB-D77C65CBD246}">
      <text>
        <t>[Threaded comment]
Your version of Excel allows you to read this threaded comment; however, any edits to it will get removed if the file is opened in a newer version of Excel. Learn more: https://go.microsoft.com/fwlink/?linkid=870924
Comment:
    Fee includes £17,600  (total of 22 days) suggested contingency budget of £7,200 for 3 months, Website £4,280, Expenses £2,000</t>
      </text>
    </comment>
    <comment ref="C51" authorId="11" shapeId="0" xr:uid="{76C17B35-1DAC-4198-8DE3-B7DEBD2CC371}">
      <text>
        <t>[Threaded comment]
Your version of Excel allows you to read this threaded comment; however, any edits to it will get removed if the file is opened in a newer version of Excel. Learn more: https://go.microsoft.com/fwlink/?linkid=870924
Comment:
    Cable route being delivered by SPEN. Consider including route within RLB?</t>
      </text>
    </comment>
    <comment ref="E52" authorId="12" shapeId="0" xr:uid="{74C0B94C-BA51-4110-8A12-FDDBDA3712BF}">
      <text>
        <t>[Threaded comment]
Your version of Excel allows you to read this threaded comment; however, any edits to it will get removed if the file is opened in a newer version of Excel. Learn more: https://go.microsoft.com/fwlink/?linkid=870924
Comment:
    Option 1 and 2 land</t>
      </text>
    </comment>
    <comment ref="E53" authorId="13" shapeId="0" xr:uid="{9C1CB8AD-3506-4DB9-82DB-FAA119F6D1B0}">
      <text>
        <t>[Threaded comment]
Your version of Excel allows you to read this threaded comment; however, any edits to it will get removed if the file is opened in a newer version of Excel. Learn more: https://go.microsoft.com/fwlink/?linkid=870924
Comment:
    DB recommended £1,500 per month over a 9 month determination period (i.e. £13,500)</t>
      </text>
    </comment>
    <comment ref="E54" authorId="14" shapeId="0" xr:uid="{92EF5D2B-BA37-409C-8A00-8C9A15EEADAE}">
      <text>
        <t>[Threaded comment]
Your version of Excel allows you to read this threaded comment; however, any edits to it will get removed if the file is opened in a newer version of Excel. Learn more: https://go.microsoft.com/fwlink/?linkid=870924
Comment:
    An indicative figure to allow for potential scheme changes and updates to consultants' reports.</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Natasha Worrall</author>
    <author>Samantha Jones</author>
  </authors>
  <commentList>
    <comment ref="J11" authorId="0" shapeId="0" xr:uid="{27DB97B7-FC38-4B73-B34C-F8F8B4474091}">
      <text>
        <r>
          <rPr>
            <b/>
            <sz val="9"/>
            <color indexed="81"/>
            <rFont val="Tahoma"/>
            <family val="2"/>
          </rPr>
          <t>Natasha Worrall:</t>
        </r>
        <r>
          <rPr>
            <sz val="9"/>
            <color indexed="81"/>
            <rFont val="Tahoma"/>
            <family val="2"/>
          </rPr>
          <t xml:space="preserve">
210/2</t>
        </r>
      </text>
    </comment>
    <comment ref="K11" authorId="0" shapeId="0" xr:uid="{C98CA714-8855-4014-B1DF-D288FF6F8C34}">
      <text>
        <r>
          <rPr>
            <b/>
            <sz val="9"/>
            <color indexed="81"/>
            <rFont val="Tahoma"/>
            <family val="2"/>
          </rPr>
          <t>Natasha Worrall:</t>
        </r>
        <r>
          <rPr>
            <sz val="9"/>
            <color indexed="81"/>
            <rFont val="Tahoma"/>
            <family val="2"/>
          </rPr>
          <t xml:space="preserve">
210/1</t>
        </r>
      </text>
    </comment>
    <comment ref="L11" authorId="0" shapeId="0" xr:uid="{196120DD-3391-4B49-BAEF-FB26947574BF}">
      <text>
        <r>
          <rPr>
            <b/>
            <sz val="9"/>
            <color indexed="81"/>
            <rFont val="Tahoma"/>
            <family val="2"/>
          </rPr>
          <t>Natasha Worrall:</t>
        </r>
        <r>
          <rPr>
            <sz val="9"/>
            <color indexed="81"/>
            <rFont val="Tahoma"/>
            <family val="2"/>
          </rPr>
          <t xml:space="preserve">
210/3 (VAT excl.)
</t>
        </r>
      </text>
    </comment>
    <comment ref="D23" authorId="1" shapeId="0" xr:uid="{FA59AB81-1DA1-46E4-9404-DE3CD5CC1F8F}">
      <text>
        <r>
          <rPr>
            <sz val="11"/>
            <color theme="1"/>
            <rFont val="Calibri"/>
            <family val="2"/>
            <scheme val="minor"/>
          </rPr>
          <t>Samantha Jones:
this includes some survey work so need to confirm with ITP - tbc</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tc={9BD81E16-F44E-4A58-BCA1-435D3E66F810}</author>
    <author>tc={5E0E55F1-8435-428D-B4C6-6DD5E735C0B3}</author>
    <author>tc={B93179CA-0E8E-4049-BC91-C0C925582953}</author>
    <author>tc={4C1DA3D7-A03F-405F-B59A-C80E9B444F80}</author>
    <author>tc={F1C45334-C69E-450B-AF17-75A74BE5AFAD}</author>
    <author>tc={E3FD8A56-CAE2-4F76-A1A8-C4C0B563BEAA}</author>
    <author>tc={176F6580-B3E3-48A4-9F4D-31FB791D6661}</author>
    <author>tc={004CB9DE-FCD0-4355-B781-EAC2535F80C0}</author>
    <author>tc={820B10B6-3712-43C4-9E3E-BFF02ED45ED0}</author>
    <author>tc={9676355B-A58E-457E-A2B7-871A62B6E6DE}</author>
    <author>tc={3C235952-81B2-48A3-BB47-92524732D049}</author>
    <author>tc={B6A3DF36-E7FF-4982-A72C-C27226BD6530}</author>
    <author>tc={559B826E-AF61-48B7-806A-46254995255A}</author>
    <author>tc={C9083CAD-75B5-48D2-869A-09E157BFA6C5}</author>
  </authors>
  <commentList>
    <comment ref="E8" authorId="0" shapeId="0" xr:uid="{9BD81E16-F44E-4A58-BCA1-435D3E66F810}">
      <text>
        <t>[Threaded comment]
Your version of Excel allows you to read this threaded comment; however, any edits to it will get removed if the file is opened in a newer version of Excel. Learn more: https://go.microsoft.com/fwlink/?linkid=870924
Comment:
    PM fee - check no overlap with ITPE.</t>
      </text>
    </comment>
    <comment ref="E9" authorId="1" shapeId="0" xr:uid="{5E0E55F1-8435-428D-B4C6-6DD5E735C0B3}">
      <text>
        <t>[Threaded comment]
Your version of Excel allows you to read this threaded comment; however, any edits to it will get removed if the file is opened in a newer version of Excel. Learn more: https://go.microsoft.com/fwlink/?linkid=870924
Comment:
    £180k non-EIA but £336k for EIA</t>
      </text>
    </comment>
    <comment ref="E13" authorId="2" shapeId="0" xr:uid="{B93179CA-0E8E-4049-BC91-C0C925582953}">
      <text>
        <t xml:space="preserve">[Threaded comment]
Your version of Excel allows you to read this threaded comment; however, any edits to it will get removed if the file is opened in a newer version of Excel. Learn more: https://go.microsoft.com/fwlink/?linkid=870924
Comment:
    £4920 plus design workshop fee £985, EIA Screening figures £555 and Environmental Supporting Information Report ESIR £6,930. </t>
      </text>
    </comment>
    <comment ref="C14" authorId="3" shapeId="0" xr:uid="{4C1DA3D7-A03F-405F-B59A-C80E9B444F80}">
      <text>
        <t>[Threaded comment]
Your version of Excel allows you to read this threaded comment; however, any edits to it will get removed if the file is opened in a newer version of Excel. Learn more: https://go.microsoft.com/fwlink/?linkid=870924
Comment:
    Includes: PEA Survey inc. PRA (bats), badger, otter and water vole (£2,570) and PM (£750)</t>
      </text>
    </comment>
    <comment ref="C15" authorId="4" shapeId="0" xr:uid="{F1C45334-C69E-450B-AF17-75A74BE5AFAD}">
      <text>
        <t>[Threaded comment]
Your version of Excel allows you to read this threaded comment; however, any edits to it will get removed if the file is opened in a newer version of Excel. Learn more: https://go.microsoft.com/fwlink/?linkid=870924
Comment:
    Ecology report (£2,420) and data search (£250)</t>
      </text>
    </comment>
    <comment ref="C16" authorId="5" shapeId="0" xr:uid="{E3FD8A56-CAE2-4F76-A1A8-C4C0B563BEAA}">
      <text>
        <t xml:space="preserve">[Threaded comment]
Your version of Excel allows you to read this threaded comment; however, any edits to it will get removed if the file is opened in a newer version of Excel. Learn more: https://go.microsoft.com/fwlink/?linkid=870924
Comment:
    Allows for amendments following review by LPA if required (£170) </t>
      </text>
    </comment>
    <comment ref="C17" authorId="6" shapeId="0" xr:uid="{176F6580-B3E3-48A4-9F4D-31FB791D6661}">
      <text>
        <t xml:space="preserve">[Threaded comment]
Your version of Excel allows you to read this threaded comment; however, any edits to it will get removed if the file is opened in a newer version of Excel. Learn more: https://go.microsoft.com/fwlink/?linkid=870924
Comment:
    Allows for amendments following review by LPA if required (£170) </t>
      </text>
    </comment>
    <comment ref="E19" authorId="7" shapeId="0" xr:uid="{004CB9DE-FCD0-4355-B781-EAC2535F80C0}">
      <text>
        <t>[Threaded comment]
Your version of Excel allows you to read this threaded comment; however, any edits to it will get removed if the file is opened in a newer version of Excel. Learn more: https://go.microsoft.com/fwlink/?linkid=870924
Comment:
    Estimated cost. TBC</t>
      </text>
    </comment>
    <comment ref="C23" authorId="8" shapeId="0" xr:uid="{820B10B6-3712-43C4-9E3E-BFF02ED45ED0}">
      <text>
        <t xml:space="preserve">[Threaded comment]
Your version of Excel allows you to read this threaded comment; however, any edits to it will get removed if the file is opened in a newer version of Excel. Learn more: https://go.microsoft.com/fwlink/?linkid=870924
Comment:
    May not be required </t>
      </text>
    </comment>
    <comment ref="E27" authorId="9" shapeId="0" xr:uid="{9676355B-A58E-457E-A2B7-871A62B6E6DE}">
      <text>
        <t xml:space="preserve">[Threaded comment]
Your version of Excel allows you to read this threaded comment; however, any edits to it will get removed if the file is opened in a newer version of Excel. Learn more: https://go.microsoft.com/fwlink/?linkid=870924
Comment:
    Tetra tech - £5,970.00 
</t>
      </text>
    </comment>
    <comment ref="E31" authorId="10" shapeId="0" xr:uid="{3C235952-81B2-48A3-BB47-92524732D049}">
      <text>
        <t>[Threaded comment]
Your version of Excel allows you to read this threaded comment; however, any edits to it will get removed if the file is opened in a newer version of Excel. Learn more: https://go.microsoft.com/fwlink/?linkid=870924
Comment:
    Based on purple route</t>
      </text>
    </comment>
    <comment ref="E36" authorId="11" shapeId="0" xr:uid="{B6A3DF36-E7FF-4982-A72C-C27226BD6530}">
      <text>
        <t>[Threaded comment]
Your version of Excel allows you to read this threaded comment; however, any edits to it will get removed if the file is opened in a newer version of Excel. Learn more: https://go.microsoft.com/fwlink/?linkid=870924
Comment:
    Fee includes £9600 (total of 12 days for 3 months) suggested contingency budget of £7,200 for 3 month, Website £4280, Expenses £2000</t>
      </text>
    </comment>
    <comment ref="C41" authorId="12" shapeId="0" xr:uid="{559B826E-AF61-48B7-806A-46254995255A}">
      <text>
        <t>[Threaded comment]
Your version of Excel allows you to read this threaded comment; however, any edits to it will get removed if the file is opened in a newer version of Excel. Learn more: https://go.microsoft.com/fwlink/?linkid=870924
Comment:
    DB recommended £1,500 per month over a 9 month determination period (i.e. £13,500)</t>
      </text>
    </comment>
    <comment ref="E42" authorId="13" shapeId="0" xr:uid="{C9083CAD-75B5-48D2-869A-09E157BFA6C5}">
      <text>
        <t xml:space="preserve">[Threaded comment]
Your version of Excel allows you to read this threaded comment; however, any edits to it will get removed if the file is opened in a newer version of Excel. Learn more: https://go.microsoft.com/fwlink/?linkid=870924
Comment:
    An indicative figure to allow for potential scheme changes and updates to consultants' reports. </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Samantha Jones</author>
    <author>tc={8E656C6E-850E-44F4-8877-4F47EA430582}</author>
    <author>tc={BDF45913-82A6-469F-B764-582DB933320C}</author>
  </authors>
  <commentList>
    <comment ref="E10" authorId="0" shapeId="0" xr:uid="{0DB3ED13-2EA3-4FD0-A487-239011B47780}">
      <text>
        <r>
          <rPr>
            <sz val="11"/>
            <color theme="1"/>
            <rFont val="Calibri"/>
            <family val="2"/>
            <scheme val="minor"/>
          </rPr>
          <t xml:space="preserve">Samantha Jones:
148k taken from completion statement </t>
        </r>
      </text>
    </comment>
    <comment ref="M13" authorId="1" shapeId="0" xr:uid="{8E656C6E-850E-44F4-8877-4F47EA430582}">
      <text>
        <t>[Threaded comment]
Your version of Excel allows you to read this threaded comment; however, any edits to it will get removed if the file is opened in a newer version of Excel. Learn more: https://go.microsoft.com/fwlink/?linkid=870924
Comment:
    ARUP</t>
      </text>
    </comment>
    <comment ref="L18" authorId="0" shapeId="0" xr:uid="{9EA23D76-0AF1-4244-812E-ADC8A5AF1513}">
      <text>
        <r>
          <rPr>
            <sz val="11"/>
            <color theme="1"/>
            <rFont val="Calibri"/>
            <family val="2"/>
            <scheme val="minor"/>
          </rPr>
          <t>Samantha Jones:
GHC</t>
        </r>
      </text>
    </comment>
    <comment ref="D20" authorId="0" shapeId="0" xr:uid="{6A907941-1B96-4A51-BEAC-001CE99C8543}">
      <text>
        <r>
          <rPr>
            <sz val="11"/>
            <color theme="1"/>
            <rFont val="Calibri"/>
            <family val="2"/>
            <scheme val="minor"/>
          </rPr>
          <t xml:space="preserve">Samantha Jones:
Soil and Agri </t>
        </r>
      </text>
    </comment>
    <comment ref="D27" authorId="2" shapeId="0" xr:uid="{BDF45913-82A6-469F-B764-582DB933320C}">
      <text>
        <t xml:space="preserve">[Threaded comment]
Your version of Excel allows you to read this threaded comment; however, any edits to it will get removed if the file is opened in a newer version of Excel. Learn more: https://go.microsoft.com/fwlink/?linkid=870924
Comment:
    Doesn't include full air quality assessment </t>
      </text>
    </comment>
    <comment ref="G32" authorId="0" shapeId="0" xr:uid="{04A96A5E-832B-4D0F-9E53-E0E2A38219CF}">
      <text>
        <r>
          <rPr>
            <sz val="11"/>
            <color theme="1"/>
            <rFont val="Calibri"/>
            <family val="2"/>
            <scheme val="minor"/>
          </rPr>
          <t>Samantha Jones:
Update allows for PEA results and additional land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Harman Sond</author>
    <author>tc={B20CCDE3-F76B-4EF0-B38E-827BA0A3DB9A}</author>
    <author>Samantha Jones</author>
  </authors>
  <commentList>
    <comment ref="E8" authorId="0" shapeId="0" xr:uid="{0FBC9535-97EA-4053-B6C2-D868234F6385}">
      <text>
        <r>
          <rPr>
            <b/>
            <sz val="9"/>
            <color indexed="81"/>
            <rFont val="Tahoma"/>
            <family val="2"/>
          </rPr>
          <t>Harman Sond:</t>
        </r>
        <r>
          <rPr>
            <sz val="9"/>
            <color indexed="81"/>
            <rFont val="Tahoma"/>
            <family val="2"/>
          </rPr>
          <t xml:space="preserve">
As per the UK Grid Oveveiw/steer from Sam A. Not included in budget</t>
        </r>
      </text>
    </comment>
    <comment ref="C20" authorId="1" shapeId="0" xr:uid="{B20CCDE3-F76B-4EF0-B38E-827BA0A3DB9A}">
      <text>
        <t>[Threaded comment]
Your version of Excel allows you to read this threaded comment; however, any edits to it will get removed if the file is opened in a newer version of Excel. Learn more: https://go.microsoft.com/fwlink/?linkid=870924
Comment:
    Swap out with Paul Gajos if not using on any other project. His fee is £31,650</t>
      </text>
    </comment>
    <comment ref="D21" authorId="2" shapeId="0" xr:uid="{3F2FBDAB-68B1-4BA8-96D1-6F2D97BB0A54}">
      <text>
        <r>
          <rPr>
            <sz val="11"/>
            <color theme="1"/>
            <rFont val="Calibri"/>
            <family val="2"/>
            <scheme val="minor"/>
          </rPr>
          <t xml:space="preserve">Samantha Jones:
Soil and Agri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tc={58032642-09C4-4765-A2B8-E5D8C406DB72}</author>
    <author>tc={B83C2403-9296-471D-8C1A-F711B5E8749E}</author>
    <author>tc={4BAF6ADA-23FF-4E26-BF88-450C1C10066B}</author>
    <author>tc={8F03A1A5-6657-4F10-8E6C-33B8602ADD85}</author>
    <author>tc={1C205A11-CE94-4194-9F0F-FE79500973F8}</author>
    <author>tc={F6995AC3-A10C-4CA5-B754-D67E6AD59283}</author>
  </authors>
  <commentList>
    <comment ref="BN22" authorId="0" shapeId="0" xr:uid="{58032642-09C4-4765-A2B8-E5D8C406DB72}">
      <text>
        <t>[Threaded comment]
Your version of Excel allows you to read this threaded comment; however, any edits to it will get removed if the file is opened in a newer version of Excel. Learn more: https://go.microsoft.com/fwlink/?linkid=870924
Comment:
    June invoice &amp; july credit note</t>
      </text>
    </comment>
    <comment ref="BO22" authorId="1" shapeId="0" xr:uid="{B83C2403-9296-471D-8C1A-F711B5E8749E}">
      <text>
        <t>[Threaded comment]
Your version of Excel allows you to read this threaded comment; however, any edits to it will get removed if the file is opened in a newer version of Excel. Learn more: https://go.microsoft.com/fwlink/?linkid=870924
Comment:
    1156575 invoice 31/07</t>
      </text>
    </comment>
    <comment ref="BN25" authorId="2" shapeId="0" xr:uid="{4BAF6ADA-23FF-4E26-BF88-450C1C10066B}">
      <text>
        <t>[Threaded comment]
Your version of Excel allows you to read this threaded comment; however, any edits to it will get removed if the file is opened in a newer version of Excel. Learn more: https://go.microsoft.com/fwlink/?linkid=870924
Comment:
    June invoice &amp; july credit note</t>
      </text>
    </comment>
    <comment ref="BO25" authorId="3" shapeId="0" xr:uid="{8F03A1A5-6657-4F10-8E6C-33B8602ADD85}">
      <text>
        <t>[Threaded comment]
Your version of Excel allows you to read this threaded comment; however, any edits to it will get removed if the file is opened in a newer version of Excel. Learn more: https://go.microsoft.com/fwlink/?linkid=870924
Comment:
    1156575 invoice 31/07</t>
      </text>
    </comment>
    <comment ref="BO41" authorId="4" shapeId="0" xr:uid="{1C205A11-CE94-4194-9F0F-FE79500973F8}">
      <text>
        <t>[Threaded comment]
Your version of Excel allows you to read this threaded comment; however, any edits to it will get removed if the file is opened in a newer version of Excel. Learn more: https://go.microsoft.com/fwlink/?linkid=870924
Comment:
    Inv dated 30th July</t>
      </text>
    </comment>
    <comment ref="BO131" authorId="5" shapeId="0" xr:uid="{F6995AC3-A10C-4CA5-B754-D67E6AD59283}">
      <text>
        <t>[Threaded comment]
Your version of Excel allows you to read this threaded comment; however, any edits to it will get removed if the file is opened in a newer version of Excel. Learn more: https://go.microsoft.com/fwlink/?linkid=870924
Comment:
    205577</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Jamie Gleeson</author>
  </authors>
  <commentList>
    <comment ref="D10" authorId="0" shapeId="0" xr:uid="{6E3390C3-6EF3-44F6-BEF4-767A1FE59CDB}">
      <text>
        <r>
          <rPr>
            <b/>
            <sz val="9"/>
            <color indexed="81"/>
            <rFont val="Tahoma"/>
            <family val="2"/>
          </rPr>
          <t>Jamie Gleeson:</t>
        </r>
        <r>
          <rPr>
            <sz val="9"/>
            <color indexed="81"/>
            <rFont val="Tahoma"/>
            <family val="2"/>
          </rPr>
          <t xml:space="preserve">
£750 (ex. VAT) per request/meeting</t>
        </r>
      </text>
    </comment>
    <comment ref="F10" authorId="0" shapeId="0" xr:uid="{7E93A6A4-58D6-4DD1-8FF2-F08D4911FF69}">
      <text>
        <r>
          <rPr>
            <b/>
            <sz val="9"/>
            <color indexed="81"/>
            <rFont val="Tahoma"/>
            <charset val="1"/>
          </rPr>
          <t>Jamie Gleeson:</t>
        </r>
        <r>
          <rPr>
            <sz val="9"/>
            <color indexed="81"/>
            <rFont val="Tahoma"/>
            <charset val="1"/>
          </rPr>
          <t xml:space="preserve">
Lanpro</t>
        </r>
      </text>
    </comment>
    <comment ref="G10" authorId="0" shapeId="0" xr:uid="{32E6F909-931E-4CA2-9B49-52D88F0376F1}">
      <text>
        <r>
          <rPr>
            <b/>
            <sz val="9"/>
            <color indexed="81"/>
            <rFont val="Tahoma"/>
            <charset val="1"/>
          </rPr>
          <t>Jamie Gleeson:</t>
        </r>
        <r>
          <rPr>
            <sz val="9"/>
            <color indexed="81"/>
            <rFont val="Tahoma"/>
            <charset val="1"/>
          </rPr>
          <t xml:space="preserve">
DWD</t>
        </r>
      </text>
    </comment>
    <comment ref="H10" authorId="0" shapeId="0" xr:uid="{A17B0896-46D3-4660-876F-6A466533BB64}">
      <text>
        <r>
          <rPr>
            <b/>
            <sz val="9"/>
            <color indexed="81"/>
            <rFont val="Tahoma"/>
            <charset val="1"/>
          </rPr>
          <t>Jamie Gleeson:</t>
        </r>
        <r>
          <rPr>
            <sz val="9"/>
            <color indexed="81"/>
            <rFont val="Tahoma"/>
            <charset val="1"/>
          </rPr>
          <t xml:space="preserve">
Third Revolution Projects</t>
        </r>
      </text>
    </comment>
    <comment ref="F15" authorId="0" shapeId="0" xr:uid="{A3718FF6-5F1B-4A08-9E89-C4F22020CE33}">
      <text>
        <r>
          <rPr>
            <b/>
            <sz val="9"/>
            <color indexed="81"/>
            <rFont val="Tahoma"/>
            <charset val="1"/>
          </rPr>
          <t>Jamie Gleeson:</t>
        </r>
        <r>
          <rPr>
            <sz val="9"/>
            <color indexed="81"/>
            <rFont val="Tahoma"/>
            <charset val="1"/>
          </rPr>
          <t xml:space="preserve">
Entrust</t>
        </r>
      </text>
    </comment>
    <comment ref="F16" authorId="0" shapeId="0" xr:uid="{B4A00699-47DD-4DB2-850D-D18991FE351C}">
      <text>
        <r>
          <rPr>
            <b/>
            <sz val="9"/>
            <color indexed="81"/>
            <rFont val="Tahoma"/>
            <charset val="1"/>
          </rPr>
          <t>Jamie Gleeson:</t>
        </r>
        <r>
          <rPr>
            <sz val="9"/>
            <color indexed="81"/>
            <rFont val="Tahoma"/>
            <charset val="1"/>
          </rPr>
          <t xml:space="preserve">
Lanpro</t>
        </r>
      </text>
    </comment>
    <comment ref="F18" authorId="0" shapeId="0" xr:uid="{8E69B206-54A9-42D7-BA7C-1DFAE1925E6B}">
      <text>
        <r>
          <rPr>
            <b/>
            <sz val="9"/>
            <color indexed="81"/>
            <rFont val="Tahoma"/>
            <charset val="1"/>
          </rPr>
          <t>Jamie Gleeson:</t>
        </r>
        <r>
          <rPr>
            <sz val="9"/>
            <color indexed="81"/>
            <rFont val="Tahoma"/>
            <charset val="1"/>
          </rPr>
          <t xml:space="preserve">
Lanpro</t>
        </r>
      </text>
    </comment>
    <comment ref="F19" authorId="0" shapeId="0" xr:uid="{993F0526-3636-4F8A-A703-071FD09FDD07}">
      <text>
        <r>
          <rPr>
            <b/>
            <sz val="9"/>
            <color indexed="81"/>
            <rFont val="Tahoma"/>
            <charset val="1"/>
          </rPr>
          <t>Jamie Gleeson:</t>
        </r>
        <r>
          <rPr>
            <sz val="9"/>
            <color indexed="81"/>
            <rFont val="Tahoma"/>
            <charset val="1"/>
          </rPr>
          <t xml:space="preserve">
Lanpro</t>
        </r>
      </text>
    </comment>
    <comment ref="F20" authorId="0" shapeId="0" xr:uid="{D919D307-B5A7-471B-8DF0-FAB4E69A624B}">
      <text>
        <r>
          <rPr>
            <b/>
            <sz val="9"/>
            <color indexed="81"/>
            <rFont val="Tahoma"/>
            <charset val="1"/>
          </rPr>
          <t>Jamie Gleeson:</t>
        </r>
        <r>
          <rPr>
            <sz val="9"/>
            <color indexed="81"/>
            <rFont val="Tahoma"/>
            <charset val="1"/>
          </rPr>
          <t xml:space="preserve">
Lanpro</t>
        </r>
      </text>
    </comment>
    <comment ref="F21" authorId="0" shapeId="0" xr:uid="{77951DED-5706-43F5-8CB2-9574A929AECE}">
      <text>
        <r>
          <rPr>
            <b/>
            <sz val="9"/>
            <color indexed="81"/>
            <rFont val="Tahoma"/>
            <family val="2"/>
          </rPr>
          <t>Jamie Gleeson:</t>
        </r>
        <r>
          <rPr>
            <sz val="9"/>
            <color indexed="81"/>
            <rFont val="Tahoma"/>
            <family val="2"/>
          </rPr>
          <t xml:space="preserve">
Land Research Associates</t>
        </r>
      </text>
    </comment>
    <comment ref="F22" authorId="0" shapeId="0" xr:uid="{5CD8341F-BA3D-4A34-B0D8-861822E42F2B}">
      <text>
        <r>
          <rPr>
            <b/>
            <sz val="9"/>
            <color indexed="81"/>
            <rFont val="Tahoma"/>
            <family val="2"/>
          </rPr>
          <t>Jamie Gleeson:</t>
        </r>
        <r>
          <rPr>
            <sz val="9"/>
            <color indexed="81"/>
            <rFont val="Tahoma"/>
            <family val="2"/>
          </rPr>
          <t xml:space="preserve">
Clarkson Woods</t>
        </r>
      </text>
    </comment>
    <comment ref="G22" authorId="0" shapeId="0" xr:uid="{F9B79084-501B-4B39-B934-E015579E46A7}">
      <text>
        <r>
          <rPr>
            <b/>
            <sz val="9"/>
            <color indexed="81"/>
            <rFont val="Tahoma"/>
            <family val="2"/>
          </rPr>
          <t>Jamie Gleeson:</t>
        </r>
        <r>
          <rPr>
            <sz val="9"/>
            <color indexed="81"/>
            <rFont val="Tahoma"/>
            <family val="2"/>
          </rPr>
          <t xml:space="preserve">
Tyler Grange</t>
        </r>
      </text>
    </comment>
    <comment ref="F27" authorId="0" shapeId="0" xr:uid="{8A9B79D3-797F-4D90-81C7-24AB8F42982A}">
      <text>
        <r>
          <rPr>
            <b/>
            <sz val="9"/>
            <color indexed="81"/>
            <rFont val="Tahoma"/>
            <charset val="1"/>
          </rPr>
          <t>Jamie Gleeson:</t>
        </r>
        <r>
          <rPr>
            <sz val="9"/>
            <color indexed="81"/>
            <rFont val="Tahoma"/>
            <charset val="1"/>
          </rPr>
          <t xml:space="preserve">
Lanpro</t>
        </r>
      </text>
    </comment>
    <comment ref="F36" authorId="0" shapeId="0" xr:uid="{EFB8F370-2315-462A-9B9E-1B43E910F6B9}">
      <text>
        <r>
          <rPr>
            <b/>
            <sz val="9"/>
            <color indexed="81"/>
            <rFont val="Tahoma"/>
            <charset val="1"/>
          </rPr>
          <t>Jamie Gleeson:</t>
        </r>
        <r>
          <rPr>
            <sz val="9"/>
            <color indexed="81"/>
            <rFont val="Tahoma"/>
            <charset val="1"/>
          </rPr>
          <t xml:space="preserve">
Lanpro</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Samantha Jones</author>
  </authors>
  <commentList>
    <comment ref="D23" authorId="0" shapeId="0" xr:uid="{5D6A3505-0702-4947-B875-888AA8CBF967}">
      <text>
        <r>
          <rPr>
            <sz val="11"/>
            <color theme="1"/>
            <rFont val="Calibri"/>
            <family val="2"/>
            <scheme val="minor"/>
          </rPr>
          <t>Samantha Jones:
this includes some survey work so need to confirm with ITP - tbc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<sst xmlns="http://schemas.openxmlformats.org/spreadsheetml/2006/main" count="3075" uniqueCount="1110">
  <si>
    <t>Cost to date</t>
  </si>
  <si>
    <t>West Burton Budget Cost</t>
  </si>
  <si>
    <t>June</t>
  </si>
  <si>
    <t>July</t>
  </si>
  <si>
    <t>August</t>
  </si>
  <si>
    <t>September</t>
  </si>
  <si>
    <t>October</t>
  </si>
  <si>
    <t>November</t>
  </si>
  <si>
    <t>December</t>
  </si>
  <si>
    <t>February</t>
  </si>
  <si>
    <t>March</t>
  </si>
  <si>
    <t>April</t>
  </si>
  <si>
    <t>May</t>
  </si>
  <si>
    <t>January</t>
  </si>
  <si>
    <t>Month</t>
  </si>
  <si>
    <t>App submitted</t>
  </si>
  <si>
    <t>Item</t>
  </si>
  <si>
    <t>Sub-Item</t>
  </si>
  <si>
    <t>Original Budget (£)</t>
  </si>
  <si>
    <t>Updated budget (£) Jan 2022</t>
  </si>
  <si>
    <t>Invoices and forecast total (£)</t>
  </si>
  <si>
    <t>Pre-submission total (£)</t>
  </si>
  <si>
    <t>Post-submission total (£)</t>
  </si>
  <si>
    <t>Variance</t>
  </si>
  <si>
    <t>Quote 1</t>
  </si>
  <si>
    <t>Quote 2</t>
  </si>
  <si>
    <t>Quote 3</t>
  </si>
  <si>
    <t>Quote 4</t>
  </si>
  <si>
    <t>Commissioned consultant work</t>
  </si>
  <si>
    <t>Grid</t>
  </si>
  <si>
    <t>NGET Application</t>
  </si>
  <si>
    <t>Consultants</t>
  </si>
  <si>
    <t>Deposit/security</t>
  </si>
  <si>
    <t>Auxiliary connection applications</t>
  </si>
  <si>
    <t>Network Rail BAPA</t>
  </si>
  <si>
    <t>Lease/Option</t>
  </si>
  <si>
    <t>Legal fees - assignment of Broxholme</t>
  </si>
  <si>
    <t>Planning Application Fee</t>
  </si>
  <si>
    <t>Performance Agreements</t>
  </si>
  <si>
    <t>Planning Inspectorate</t>
  </si>
  <si>
    <t>Planning Consultant</t>
  </si>
  <si>
    <t>Pinsent Masons Project Management</t>
  </si>
  <si>
    <t>Planning Studies</t>
  </si>
  <si>
    <t>Heritage Statement</t>
  </si>
  <si>
    <t>ALC Classification</t>
  </si>
  <si>
    <t>Agricultural circumstances</t>
  </si>
  <si>
    <t>Topographical Study</t>
  </si>
  <si>
    <t>Flood Risk Assessment</t>
  </si>
  <si>
    <t>Geophysical Survey</t>
  </si>
  <si>
    <t>Geophysical Survey (cable route overlap)</t>
  </si>
  <si>
    <t>Trial Trenching</t>
  </si>
  <si>
    <t>Air Quality</t>
  </si>
  <si>
    <t>Minerals and deposits</t>
  </si>
  <si>
    <t>Arboricultural Survey</t>
  </si>
  <si>
    <t>Highways Survey</t>
  </si>
  <si>
    <t>Abnormal loads</t>
  </si>
  <si>
    <t>Ecological Survey</t>
  </si>
  <si>
    <t>Environmental Masterplan</t>
  </si>
  <si>
    <t>LVIA</t>
  </si>
  <si>
    <t>CTMP</t>
  </si>
  <si>
    <t>Noise</t>
  </si>
  <si>
    <t>3D model</t>
  </si>
  <si>
    <t>Cumulative Impact</t>
  </si>
  <si>
    <t>Funding Statement</t>
  </si>
  <si>
    <t>Glint/Glare</t>
  </si>
  <si>
    <t>Legal DCO drafting</t>
  </si>
  <si>
    <t>Examination phase costs</t>
  </si>
  <si>
    <t>Consultation / PR / website</t>
  </si>
  <si>
    <t>Statement of Need</t>
  </si>
  <si>
    <t>Utilities Digitisation</t>
  </si>
  <si>
    <t>Oil pipeline investigation</t>
  </si>
  <si>
    <t>Cable route utilities search</t>
  </si>
  <si>
    <t>Electromagnetic fields</t>
  </si>
  <si>
    <t>Contaminated land</t>
  </si>
  <si>
    <t>Savills WB4 land agent costs</t>
  </si>
  <si>
    <t>Natural England DAS</t>
  </si>
  <si>
    <t>Climate change</t>
  </si>
  <si>
    <t>Cable route engineering design</t>
  </si>
  <si>
    <t>Construction timescales/waste/worker numbers</t>
  </si>
  <si>
    <t>EDF survey licence</t>
  </si>
  <si>
    <t>SEUK NSIP Membership</t>
  </si>
  <si>
    <t>Protective provisions 3rd party legal costs</t>
  </si>
  <si>
    <t>National Grid property agreements</t>
  </si>
  <si>
    <t>Co-operation agreement</t>
  </si>
  <si>
    <t>Batteries</t>
  </si>
  <si>
    <t>Other</t>
  </si>
  <si>
    <t>Mapping</t>
  </si>
  <si>
    <t>Tillbridge survey refund</t>
  </si>
  <si>
    <t>Professional services</t>
  </si>
  <si>
    <t>Land referencing (DM)</t>
  </si>
  <si>
    <t>Land referencing (Savills/Bruton Knowles)</t>
  </si>
  <si>
    <t>Cable route landowner payments</t>
  </si>
  <si>
    <t>Cable route legals</t>
  </si>
  <si>
    <t>Contingency</t>
  </si>
  <si>
    <t>10% of planning costs</t>
  </si>
  <si>
    <t>Satisfaction of pre-commencement planning conditions</t>
  </si>
  <si>
    <t>Accounting, admin, prof. fees &amp; bank charges</t>
  </si>
  <si>
    <t>Transaction Cost</t>
  </si>
  <si>
    <t>Total</t>
  </si>
  <si>
    <t>Installed Capacity</t>
  </si>
  <si>
    <t>Total/MW</t>
  </si>
  <si>
    <t>Spend to date</t>
  </si>
  <si>
    <t>Deal Sheet budget 08/07/21</t>
  </si>
  <si>
    <t>Difference to total:</t>
  </si>
  <si>
    <t>Disbursements</t>
  </si>
  <si>
    <t>Lanpro</t>
  </si>
  <si>
    <t>Amet</t>
  </si>
  <si>
    <t>Cottam Budget Cost</t>
  </si>
  <si>
    <t>Work commences</t>
  </si>
  <si>
    <t>Examination close</t>
  </si>
  <si>
    <t>Decision due</t>
  </si>
  <si>
    <t>Consultant</t>
  </si>
  <si>
    <t>Arcus</t>
  </si>
  <si>
    <t>Pegasus</t>
  </si>
  <si>
    <t xml:space="preserve"> Original Budget (£)</t>
  </si>
  <si>
    <t>Variance - original budget to updated</t>
  </si>
  <si>
    <t>Cost to date (17/12/2021)</t>
  </si>
  <si>
    <t>Omnia</t>
  </si>
  <si>
    <t>National Grid</t>
  </si>
  <si>
    <t>Network Rail</t>
  </si>
  <si>
    <t>Pinsent Masons</t>
  </si>
  <si>
    <t>Lincolnshire County Council, Nottinghamshire County Council, West Lindsey District Council</t>
  </si>
  <si>
    <t>Daniel Baird Soils</t>
  </si>
  <si>
    <t>Mabbett / Delta Simons</t>
  </si>
  <si>
    <t>Tetratech</t>
  </si>
  <si>
    <t>Ted Clover</t>
  </si>
  <si>
    <t>Minerals &amp; deposits</t>
  </si>
  <si>
    <t>TPA</t>
  </si>
  <si>
    <t>Wynns</t>
  </si>
  <si>
    <t>Clarkson and Woods</t>
  </si>
  <si>
    <t>Pager Power</t>
  </si>
  <si>
    <t>Counter Context</t>
  </si>
  <si>
    <t>Examination Phase costs</t>
  </si>
  <si>
    <t>Humbeat</t>
  </si>
  <si>
    <t>Cable route utilities</t>
  </si>
  <si>
    <t>Delta Simons</t>
  </si>
  <si>
    <t>Bureau Veritas</t>
  </si>
  <si>
    <t>JSM</t>
  </si>
  <si>
    <t>NSIP forum membership</t>
  </si>
  <si>
    <t>Protective provisions third party legal costs</t>
  </si>
  <si>
    <t>BST&amp;T</t>
  </si>
  <si>
    <t>Tribus / Recurrent Energy</t>
  </si>
  <si>
    <t>Dalcour Maclaren</t>
  </si>
  <si>
    <t>Land Referencing (DM)</t>
  </si>
  <si>
    <t>Bruton Knowles</t>
  </si>
  <si>
    <t>Cable route landowner discussions (Savills)</t>
  </si>
  <si>
    <t>Third party agents and legal fees</t>
  </si>
  <si>
    <t>Third party legals working on behalf of IGP</t>
  </si>
  <si>
    <t>Third Party Wayleaves</t>
  </si>
  <si>
    <t>Accounting &amp; admininstration, and bank charges</t>
  </si>
  <si>
    <t>Quoted - excluding examination</t>
  </si>
  <si>
    <t>Estimate for examination costs</t>
  </si>
  <si>
    <t>Quoted - including examination</t>
  </si>
  <si>
    <t>Ecology Quotes</t>
  </si>
  <si>
    <t>Clarkson Woods phase 1</t>
  </si>
  <si>
    <t>Includes assumptions for surveys and preliminary reports</t>
  </si>
  <si>
    <t>Clarkson Woods phase 2</t>
  </si>
  <si>
    <t>Wintering Birds</t>
  </si>
  <si>
    <t>Clarkson Woods total</t>
  </si>
  <si>
    <t>Baker Consultants</t>
  </si>
  <si>
    <t>Includes assumptions for all surveys and preliminary reports</t>
  </si>
  <si>
    <t>Aspect Ecology phase 1</t>
  </si>
  <si>
    <t>Aspect Ecology phase 2</t>
  </si>
  <si>
    <t>Inlcudes assumptions for all further surveys and reports</t>
  </si>
  <si>
    <t>Euston Budget Cost</t>
  </si>
  <si>
    <t>Option signed</t>
  </si>
  <si>
    <t>App. Submitted</t>
  </si>
  <si>
    <t>Quote</t>
  </si>
  <si>
    <t>Total Cost (£) Quoted/to date</t>
  </si>
  <si>
    <t>Total Cost (£)</t>
  </si>
  <si>
    <t>DNO Application</t>
  </si>
  <si>
    <t xml:space="preserve">Trial Trenching </t>
  </si>
  <si>
    <t>Arboricutural Survey</t>
  </si>
  <si>
    <t>incl in FRA</t>
  </si>
  <si>
    <t>EIA</t>
  </si>
  <si>
    <t>Already spent (awaitng breakdown)</t>
  </si>
  <si>
    <t>Installed capacity</t>
  </si>
  <si>
    <t>Costs TBC</t>
  </si>
  <si>
    <t>Lullington Budget Cost</t>
  </si>
  <si>
    <t>Planning Submitted</t>
  </si>
  <si>
    <r>
      <t xml:space="preserve">Planning Committee </t>
    </r>
    <r>
      <rPr>
        <b/>
        <sz val="11"/>
        <color rgb="FFFF0000"/>
        <rFont val="Calibri"/>
        <family val="2"/>
        <scheme val="minor"/>
      </rPr>
      <t>26th July</t>
    </r>
  </si>
  <si>
    <t>Submit Appeal</t>
  </si>
  <si>
    <t>Hearings</t>
  </si>
  <si>
    <t>21st July Decision</t>
  </si>
  <si>
    <t>Budget (£)</t>
  </si>
  <si>
    <t>Forecast Total Spend (£)</t>
  </si>
  <si>
    <t>Quote Instructed (£)</t>
  </si>
  <si>
    <t>Total Invoiced Amount (£)/ As of last month</t>
  </si>
  <si>
    <t xml:space="preserve">South Derbyshire </t>
  </si>
  <si>
    <t>Soil Management Plan</t>
  </si>
  <si>
    <t>Tetra Tech</t>
  </si>
  <si>
    <t>ALS Surveys</t>
  </si>
  <si>
    <t>Rossi Long</t>
  </si>
  <si>
    <t>Traffic speed survey</t>
  </si>
  <si>
    <t xml:space="preserve">PCC </t>
  </si>
  <si>
    <t>Liz Lake</t>
  </si>
  <si>
    <t>Communications</t>
  </si>
  <si>
    <t>Thorncliffe</t>
  </si>
  <si>
    <t>Planning Lawyer</t>
  </si>
  <si>
    <t>N/A</t>
  </si>
  <si>
    <t>Camblesforth Budget Cost</t>
  </si>
  <si>
    <r>
      <t xml:space="preserve">Planning Committee </t>
    </r>
    <r>
      <rPr>
        <b/>
        <sz val="11"/>
        <color rgb="FFFF0000"/>
        <rFont val="Calibri"/>
        <family val="2"/>
        <scheme val="minor"/>
      </rPr>
      <t xml:space="preserve">Wed 6th </t>
    </r>
  </si>
  <si>
    <t>Discharge Conditions</t>
  </si>
  <si>
    <t>J</t>
  </si>
  <si>
    <t>Walker Morris</t>
  </si>
  <si>
    <t xml:space="preserve">Legal/Coorporate </t>
  </si>
  <si>
    <t xml:space="preserve">Lanpro </t>
  </si>
  <si>
    <t>Sensat</t>
  </si>
  <si>
    <t xml:space="preserve">Liz Lake </t>
  </si>
  <si>
    <t xml:space="preserve">Tetra Tech </t>
  </si>
  <si>
    <t>CMP</t>
  </si>
  <si>
    <t>Land Contamination</t>
  </si>
  <si>
    <t>Planning Performance Agreement</t>
  </si>
  <si>
    <t>to date (admin, accounts etc)</t>
  </si>
  <si>
    <t>Brynrhyd Budget Cost</t>
  </si>
  <si>
    <r>
      <t xml:space="preserve">Hearings </t>
    </r>
    <r>
      <rPr>
        <b/>
        <sz val="11"/>
        <rFont val="Calibri"/>
        <family val="2"/>
        <scheme val="minor"/>
      </rPr>
      <t>15-17th Aug</t>
    </r>
  </si>
  <si>
    <t>PINS Report</t>
  </si>
  <si>
    <t xml:space="preserve">Decision Received 30th </t>
  </si>
  <si>
    <t xml:space="preserve">Disharge Conditions </t>
  </si>
  <si>
    <t>WSP</t>
  </si>
  <si>
    <t xml:space="preserve">Cooperation </t>
  </si>
  <si>
    <t>Ashtons</t>
  </si>
  <si>
    <t>PINS Wales</t>
  </si>
  <si>
    <t>Outline WSI</t>
  </si>
  <si>
    <t>Gwynedd Archaeological Trust</t>
  </si>
  <si>
    <t xml:space="preserve">Soil Management Plan </t>
  </si>
  <si>
    <t xml:space="preserve">Askew Land + Soil </t>
  </si>
  <si>
    <t>Landmark Survey Wales</t>
  </si>
  <si>
    <t>.</t>
  </si>
  <si>
    <t>Clive Onions</t>
  </si>
  <si>
    <t xml:space="preserve"> </t>
  </si>
  <si>
    <t>SAB</t>
  </si>
  <si>
    <t>Burroughs</t>
  </si>
  <si>
    <t xml:space="preserve">SUMO </t>
  </si>
  <si>
    <t>Barton Hyett Associates</t>
  </si>
  <si>
    <t>Clarkson &amp; Woods</t>
  </si>
  <si>
    <t>ion Acoustics</t>
  </si>
  <si>
    <t xml:space="preserve">Ground Condition &amp; Coal mining </t>
  </si>
  <si>
    <t>Integrale</t>
  </si>
  <si>
    <t xml:space="preserve">Task </t>
  </si>
  <si>
    <t xml:space="preserve">Name </t>
  </si>
  <si>
    <t xml:space="preserve">Fee </t>
  </si>
  <si>
    <t>Notes</t>
  </si>
  <si>
    <t>Hearing coordination, Liaising with PEDW, provide info requested by Stephen etc</t>
  </si>
  <si>
    <t>Gareth Roberts</t>
  </si>
  <si>
    <t xml:space="preserve">£2k per month during determination </t>
  </si>
  <si>
    <t xml:space="preserve">Hearing 1 [landscape] </t>
  </si>
  <si>
    <t>Landscape Position Statement</t>
  </si>
  <si>
    <t>Andy Cook</t>
  </si>
  <si>
    <t>Consolidate Hearing Statement 1 &amp; policy review.  </t>
  </si>
  <si>
    <t>Hearing 2 [ecology]</t>
  </si>
  <si>
    <t>Statement to be prepared by Clarkson &amp; Woods</t>
  </si>
  <si>
    <t>n/a</t>
  </si>
  <si>
    <t>Pegasus input into Hearing Statement 2</t>
  </si>
  <si>
    <t>Hearing 3 [residential amenity, highway safety and conditions)</t>
  </si>
  <si>
    <t>Consolidated Hearing statement 3</t>
  </si>
  <si>
    <t>Transport Input into statement</t>
  </si>
  <si>
    <t>Tony Jones</t>
  </si>
  <si>
    <t>Landscape input into statement</t>
  </si>
  <si>
    <t>Attendance at Virtual Hearings  </t>
  </si>
  <si>
    <t xml:space="preserve">(excludes travel costs and these will probably be limited to mileage to Ashfords office). </t>
  </si>
  <si>
    <t>Hearing session 1</t>
  </si>
  <si>
    <t>Hearing session 2</t>
  </si>
  <si>
    <t>Hearing Session 3</t>
  </si>
  <si>
    <t>Tony Jones (transport)</t>
  </si>
  <si>
    <t>Hearing Test event</t>
  </si>
  <si>
    <t>PEDW will hold a test event and this is likely to last around 20 mins.  </t>
  </si>
  <si>
    <t>SoCG</t>
  </si>
  <si>
    <t>SoCG with NRW – Clarkson &amp; Woods leading</t>
  </si>
  <si>
    <t>Pegasus input into NRW SoCG.</t>
  </si>
  <si>
    <t>SoCG with LPA  (including schedule of conditions)</t>
  </si>
  <si>
    <t xml:space="preserve">Other </t>
  </si>
  <si>
    <t xml:space="preserve">Con with Ashfords </t>
  </si>
  <si>
    <t>All</t>
  </si>
  <si>
    <t>Applicant’s closing statement – we understand that Ashford’s will be preparing this.  </t>
  </si>
  <si>
    <t>Printing one set of all documentation for hearing</t>
  </si>
  <si>
    <t>Pegasus will instruct external printers to undertake this work</t>
  </si>
  <si>
    <t>At cost</t>
  </si>
  <si>
    <t>Hardwick Budget Cost</t>
  </si>
  <si>
    <t>Budget</t>
  </si>
  <si>
    <t>Pre-Application</t>
  </si>
  <si>
    <t>Planning</t>
  </si>
  <si>
    <t>5000 - 6000</t>
  </si>
  <si>
    <t>Hydrology (flood risk)</t>
  </si>
  <si>
    <t>ESP</t>
  </si>
  <si>
    <t>Landscape</t>
  </si>
  <si>
    <t>Pre-Application consultation fee</t>
  </si>
  <si>
    <t>TBC with KLWN Council</t>
  </si>
  <si>
    <t>Expenses</t>
  </si>
  <si>
    <t>ALS, not including underground services - separately quoted</t>
  </si>
  <si>
    <t>Commissioned to date from Wild Frontier - Phase 1, data search, breeding birds</t>
  </si>
  <si>
    <t>EIA Screening submitted</t>
  </si>
  <si>
    <t>Kinmuck Budget Cost</t>
  </si>
  <si>
    <t>Public Cons</t>
  </si>
  <si>
    <t xml:space="preserve">Public Cons 26th July </t>
  </si>
  <si>
    <t>Submission 7th Sept</t>
  </si>
  <si>
    <t>Decision</t>
  </si>
  <si>
    <t>Application</t>
  </si>
  <si>
    <t xml:space="preserve">SSEN </t>
  </si>
  <si>
    <t xml:space="preserve">Soil Resistivity </t>
  </si>
  <si>
    <t>ERM</t>
  </si>
  <si>
    <t xml:space="preserve">Legal/Cooperation </t>
  </si>
  <si>
    <t xml:space="preserve">Planning Application Fee </t>
  </si>
  <si>
    <t>David Bell</t>
  </si>
  <si>
    <t>CFA Archaeology</t>
  </si>
  <si>
    <t>Pell Frischmann</t>
  </si>
  <si>
    <t>Cain Tech</t>
  </si>
  <si>
    <t>ITP Energised</t>
  </si>
  <si>
    <t>Geophysical Survey/Earth works</t>
  </si>
  <si>
    <t>Gondolin</t>
  </si>
  <si>
    <t xml:space="preserve">Geo-Environmental Phase I </t>
  </si>
  <si>
    <t>CEMP</t>
  </si>
  <si>
    <t>Peter Dunmow</t>
  </si>
  <si>
    <t>3D model photomontage</t>
  </si>
  <si>
    <t xml:space="preserve">Air Quality </t>
  </si>
  <si>
    <t>PR</t>
  </si>
  <si>
    <t>Kane Partnership</t>
  </si>
  <si>
    <t xml:space="preserve">Battery Safety Management Plan </t>
  </si>
  <si>
    <t xml:space="preserve">Socio Economics </t>
  </si>
  <si>
    <t>Installed capacity/MW</t>
  </si>
  <si>
    <t>Welby Budget Cost</t>
  </si>
  <si>
    <t>PRE-APP</t>
  </si>
  <si>
    <t>Submitted</t>
  </si>
  <si>
    <t>DECISION</t>
  </si>
  <si>
    <t>Variance on quote (remaining spend)</t>
  </si>
  <si>
    <t>Variance on Budget to Quote</t>
  </si>
  <si>
    <t xml:space="preserve">PO Raised? </t>
  </si>
  <si>
    <t>Item fully billed</t>
  </si>
  <si>
    <t>Grid Subtotal</t>
  </si>
  <si>
    <t xml:space="preserve">Property Searches </t>
  </si>
  <si>
    <t>Utilities Searches</t>
  </si>
  <si>
    <t>Land Subtotal</t>
  </si>
  <si>
    <t xml:space="preserve">Planning Consultant PM </t>
  </si>
  <si>
    <t>Yes</t>
  </si>
  <si>
    <t>Arcadis</t>
  </si>
  <si>
    <t>Planning Application Fee and Design PAD</t>
  </si>
  <si>
    <t>South Kesteven DC</t>
  </si>
  <si>
    <t>Desktop</t>
  </si>
  <si>
    <t xml:space="preserve">Entrust Report </t>
  </si>
  <si>
    <t>Entrust</t>
  </si>
  <si>
    <t>Pre-app</t>
  </si>
  <si>
    <t xml:space="preserve">Pre-application support/meetings /app forms/planning statement/sustainability statement </t>
  </si>
  <si>
    <t xml:space="preserve">Kick off meeting </t>
  </si>
  <si>
    <t xml:space="preserve">EIA Screening </t>
  </si>
  <si>
    <t>Arcadis contingency - by IGP approval only</t>
  </si>
  <si>
    <t>No</t>
  </si>
  <si>
    <t>LVIA/Mitigation Plan</t>
  </si>
  <si>
    <t>Public consultation / SCI</t>
  </si>
  <si>
    <t xml:space="preserve">Monitor application, advise, respond to objections, liaise with LPA, negotiate planning </t>
  </si>
  <si>
    <t>Tree Survey and AIA</t>
  </si>
  <si>
    <t>Heritage DBA and Heritage Statement</t>
  </si>
  <si>
    <t xml:space="preserve">Heritage Evaluation and Mitigation Planning </t>
  </si>
  <si>
    <t xml:space="preserve">Geophysical Survey </t>
  </si>
  <si>
    <t>Wessex Archaeology</t>
  </si>
  <si>
    <t>Topographical Survey</t>
  </si>
  <si>
    <t xml:space="preserve">Midland Surveys </t>
  </si>
  <si>
    <t>Ecological Surveys and Reports</t>
  </si>
  <si>
    <t>Transport Desktop</t>
  </si>
  <si>
    <t xml:space="preserve">CTMP and routing plans </t>
  </si>
  <si>
    <t xml:space="preserve">FRA and Drainage </t>
  </si>
  <si>
    <t xml:space="preserve">Glint and Glare </t>
  </si>
  <si>
    <t xml:space="preserve">Noise impact assessment </t>
  </si>
  <si>
    <t>Agricultural Land Survey</t>
  </si>
  <si>
    <t>Amet Property</t>
  </si>
  <si>
    <t>Trial trenching</t>
  </si>
  <si>
    <t>Outline CEMP and Minerals Assessment</t>
  </si>
  <si>
    <t>GIS systems</t>
  </si>
  <si>
    <t xml:space="preserve">Website &amp; Consultation Letters </t>
  </si>
  <si>
    <t>Thirty47</t>
  </si>
  <si>
    <t xml:space="preserve">Cable Route Feasibility </t>
  </si>
  <si>
    <t>Cable Route Agreement Support</t>
  </si>
  <si>
    <t>Post Submission</t>
  </si>
  <si>
    <t>Planning support</t>
  </si>
  <si>
    <t>TBC</t>
  </si>
  <si>
    <t>GCN DLL</t>
  </si>
  <si>
    <t>Natural England</t>
  </si>
  <si>
    <t>Planning Total</t>
  </si>
  <si>
    <t>Development Total</t>
  </si>
  <si>
    <t>Estimate</t>
  </si>
  <si>
    <t>Actual Cable Route agreement</t>
  </si>
  <si>
    <t>Trial trenching second stage</t>
  </si>
  <si>
    <r>
      <rPr>
        <b/>
        <sz val="11"/>
        <rFont val="Calibri"/>
        <family val="2"/>
        <scheme val="minor"/>
      </rPr>
      <t xml:space="preserve">Carlton </t>
    </r>
    <r>
      <rPr>
        <b/>
        <sz val="11"/>
        <color theme="1"/>
        <rFont val="Calibri"/>
        <family val="2"/>
        <scheme val="minor"/>
      </rPr>
      <t>Budget Cost</t>
    </r>
  </si>
  <si>
    <t>EIA S&amp;S</t>
  </si>
  <si>
    <t>Submission</t>
  </si>
  <si>
    <t xml:space="preserve">Decision </t>
  </si>
  <si>
    <t>Graham - Lanpro</t>
  </si>
  <si>
    <t>SELBY</t>
  </si>
  <si>
    <t>Heritage Statement &amp; WSI</t>
  </si>
  <si>
    <t xml:space="preserve">Land Research Associates </t>
  </si>
  <si>
    <t xml:space="preserve">Coal mining risk report </t>
  </si>
  <si>
    <t>Arboricutural Survey (+conditions)</t>
  </si>
  <si>
    <t>Aspect</t>
  </si>
  <si>
    <t>Cable Route Engineering &amp; Trial Holes</t>
  </si>
  <si>
    <t xml:space="preserve">UTX </t>
  </si>
  <si>
    <t>Landscape DOC</t>
  </si>
  <si>
    <t>BMP DOC</t>
  </si>
  <si>
    <t>Landowner VAT payment</t>
  </si>
  <si>
    <t xml:space="preserve">Data Room </t>
  </si>
  <si>
    <t>Ansarada</t>
  </si>
  <si>
    <t>Desktop Report Revision</t>
  </si>
  <si>
    <t>Tean Leys Budget Sheet</t>
  </si>
  <si>
    <t>WPD</t>
  </si>
  <si>
    <t>Roythornes</t>
  </si>
  <si>
    <t>Planning Constraints Report</t>
  </si>
  <si>
    <t>Heritage and Archaeological DBA</t>
  </si>
  <si>
    <t>Land Research Associates</t>
  </si>
  <si>
    <t xml:space="preserve">Tower Surveys </t>
  </si>
  <si>
    <t>Clarkson Woods</t>
  </si>
  <si>
    <t>EIA Screening</t>
  </si>
  <si>
    <t>EIA (if required)</t>
  </si>
  <si>
    <t>Total £/MW</t>
  </si>
  <si>
    <t>Ragwhistle Budget Cost</t>
  </si>
  <si>
    <t>Planning Submission</t>
  </si>
  <si>
    <t>TetraTech</t>
  </si>
  <si>
    <t>Utility Search</t>
  </si>
  <si>
    <t>Centra Maps Live</t>
  </si>
  <si>
    <t>Grid App</t>
  </si>
  <si>
    <t>PO Raised?</t>
  </si>
  <si>
    <t>PO000999</t>
  </si>
  <si>
    <t>Ashfords</t>
  </si>
  <si>
    <t>Stantec</t>
  </si>
  <si>
    <t>Desktop Planning Assessment  ()</t>
  </si>
  <si>
    <t>PO000813</t>
  </si>
  <si>
    <t xml:space="preserve">Entrust </t>
  </si>
  <si>
    <t>Planning Feasibility Study</t>
  </si>
  <si>
    <t xml:space="preserve">EIA </t>
  </si>
  <si>
    <t>EIA Co-ordination</t>
  </si>
  <si>
    <t>ES Climate Change Chapter</t>
  </si>
  <si>
    <t>Ecology (PO000834)</t>
  </si>
  <si>
    <t>Phase 1 Habitat Survey</t>
  </si>
  <si>
    <t>PO000834</t>
  </si>
  <si>
    <t>EDP</t>
  </si>
  <si>
    <t>Badger survey</t>
  </si>
  <si>
    <t>Breeding bird surveys</t>
  </si>
  <si>
    <t>Wintering bird surveys</t>
  </si>
  <si>
    <t xml:space="preserve">Bat activity surveys </t>
  </si>
  <si>
    <t>GCN surveys</t>
  </si>
  <si>
    <t xml:space="preserve">Water vole survey </t>
  </si>
  <si>
    <t>Ecological Baseline Report inc. design</t>
  </si>
  <si>
    <t xml:space="preserve">ES Scoping </t>
  </si>
  <si>
    <t xml:space="preserve">ES Ecology Chapter </t>
  </si>
  <si>
    <t xml:space="preserve">Green Infrastructure Statement </t>
  </si>
  <si>
    <t xml:space="preserve">Cumulative Assessment </t>
  </si>
  <si>
    <t xml:space="preserve">Phase 1 survey of Cable route - circa 5km </t>
  </si>
  <si>
    <t xml:space="preserve">BNG Assessment </t>
  </si>
  <si>
    <t>Landscape and visual</t>
  </si>
  <si>
    <t>Baseline data collection</t>
  </si>
  <si>
    <t xml:space="preserve">EDP </t>
  </si>
  <si>
    <t xml:space="preserve">LVA Baseline </t>
  </si>
  <si>
    <t xml:space="preserve">Night time LVA </t>
  </si>
  <si>
    <t>RVAA</t>
  </si>
  <si>
    <t xml:space="preserve">ES Landscape Chapter and NTS </t>
  </si>
  <si>
    <t>LEMP w/ ecology input</t>
  </si>
  <si>
    <t>Photomontages / verified views</t>
  </si>
  <si>
    <t xml:space="preserve">Landscape Strategy </t>
  </si>
  <si>
    <t>Heritage and Archaeology</t>
  </si>
  <si>
    <t xml:space="preserve">DBA </t>
  </si>
  <si>
    <t>Cotswold</t>
  </si>
  <si>
    <t>AOC</t>
  </si>
  <si>
    <t>WSI</t>
  </si>
  <si>
    <t>ES Scoping</t>
  </si>
  <si>
    <t xml:space="preserve">ES Heritage Chapter </t>
  </si>
  <si>
    <t>Cotswold - TBC</t>
  </si>
  <si>
    <t xml:space="preserve">Geophys survey of Cable route - circa 5km </t>
  </si>
  <si>
    <t xml:space="preserve">Flood Risk </t>
  </si>
  <si>
    <t xml:space="preserve">Stage 1 </t>
  </si>
  <si>
    <t>Calibro</t>
  </si>
  <si>
    <t>WFD</t>
  </si>
  <si>
    <t>Drainage Strategy and SAB</t>
  </si>
  <si>
    <t xml:space="preserve">Coastal Modelling </t>
  </si>
  <si>
    <t>Flood Consequence Assessment</t>
  </si>
  <si>
    <t xml:space="preserve">ES Flood Risk Chapter </t>
  </si>
  <si>
    <t xml:space="preserve">Agricultural land </t>
  </si>
  <si>
    <t>ALC survey</t>
  </si>
  <si>
    <t>PO000998</t>
  </si>
  <si>
    <t>LRA</t>
  </si>
  <si>
    <t>Kernon</t>
  </si>
  <si>
    <t>Detailed Agricultural Report</t>
  </si>
  <si>
    <t>Transport</t>
  </si>
  <si>
    <t>Transport Assessment and CTMP</t>
  </si>
  <si>
    <t>Pell Freischmann</t>
  </si>
  <si>
    <t xml:space="preserve">Trafic surveys </t>
  </si>
  <si>
    <t xml:space="preserve">Abnormal Load Route Survey and TMP </t>
  </si>
  <si>
    <t>ES Scoping and ES Chapter (if required)</t>
  </si>
  <si>
    <t xml:space="preserve">BESS access track design </t>
  </si>
  <si>
    <t xml:space="preserve">Noise </t>
  </si>
  <si>
    <t xml:space="preserve">Noise survey and report </t>
  </si>
  <si>
    <t xml:space="preserve">Arboricultural </t>
  </si>
  <si>
    <t xml:space="preserve">Arboricutural Survey and Report </t>
  </si>
  <si>
    <t xml:space="preserve">Battery Safety </t>
  </si>
  <si>
    <t xml:space="preserve">OBSMP </t>
  </si>
  <si>
    <t xml:space="preserve">ARC </t>
  </si>
  <si>
    <t xml:space="preserve">Ground conditions </t>
  </si>
  <si>
    <t xml:space="preserve">Socio-economic </t>
  </si>
  <si>
    <t xml:space="preserve">Socio-economic report </t>
  </si>
  <si>
    <r>
      <t>Stantec /</t>
    </r>
    <r>
      <rPr>
        <sz val="11"/>
        <color rgb="FFFF0000"/>
        <rFont val="Calibri"/>
        <family val="2"/>
        <scheme val="minor"/>
      </rPr>
      <t xml:space="preserve"> Wave Hill - TBC</t>
    </r>
  </si>
  <si>
    <t>Glint and Glare Assessment (fixed and trackers)</t>
  </si>
  <si>
    <t xml:space="preserve">Pager Power </t>
  </si>
  <si>
    <t>ES Glint and Glare Chapter</t>
  </si>
  <si>
    <t>Outline CEMP</t>
  </si>
  <si>
    <t xml:space="preserve">Main document </t>
  </si>
  <si>
    <t xml:space="preserve">Ecology input </t>
  </si>
  <si>
    <t xml:space="preserve">Landscape input </t>
  </si>
  <si>
    <t>Outline Decommissioning Plan</t>
  </si>
  <si>
    <t xml:space="preserve">Topographical Survey </t>
  </si>
  <si>
    <t xml:space="preserve">Topographical survey (drone) </t>
  </si>
  <si>
    <t>MJ Rees</t>
  </si>
  <si>
    <t>Minerals</t>
  </si>
  <si>
    <t>Minerals Impact Assessment</t>
  </si>
  <si>
    <t xml:space="preserve">Collaborative Benefits Report </t>
  </si>
  <si>
    <t>CBR</t>
  </si>
  <si>
    <t>Stantec / Thirty 4/7</t>
  </si>
  <si>
    <t>Comms/PR</t>
  </si>
  <si>
    <t xml:space="preserve">Comms </t>
  </si>
  <si>
    <t>Grasshopper</t>
  </si>
  <si>
    <t>Utilities</t>
  </si>
  <si>
    <t>Utilities search</t>
  </si>
  <si>
    <t>Centremaps Ltd</t>
  </si>
  <si>
    <t xml:space="preserve">Land </t>
  </si>
  <si>
    <t xml:space="preserve">Cable Routes </t>
  </si>
  <si>
    <t xml:space="preserve">Gateley Hamer </t>
  </si>
  <si>
    <t>Post-submission / Examination</t>
  </si>
  <si>
    <t xml:space="preserve">Planning </t>
  </si>
  <si>
    <t xml:space="preserve">Legals </t>
  </si>
  <si>
    <t xml:space="preserve">Other consultants inputs (review/resposne to Inspectors questions, attendance at hearings etc) </t>
  </si>
  <si>
    <t>Various (EDP etc)</t>
  </si>
  <si>
    <t>Melksham Solar Budget Cost</t>
  </si>
  <si>
    <t>SUBMITTED</t>
  </si>
  <si>
    <t>N/A no fee yet</t>
  </si>
  <si>
    <t>Network Rail Easement Fee</t>
  </si>
  <si>
    <t>Lanpro (Up to 30.06.24)</t>
  </si>
  <si>
    <t>Reconciling</t>
  </si>
  <si>
    <t>Aecom (From 20.05.24)</t>
  </si>
  <si>
    <t xml:space="preserve">Yes </t>
  </si>
  <si>
    <t>AECOM</t>
  </si>
  <si>
    <t>Scoping Report Finalisation</t>
  </si>
  <si>
    <t>Site Selection &amp; DAS</t>
  </si>
  <si>
    <t>Wiltshire Council</t>
  </si>
  <si>
    <t>Environment Agengy Advice</t>
  </si>
  <si>
    <t>Awaiting PO</t>
  </si>
  <si>
    <t>Envirnment Agency</t>
  </si>
  <si>
    <t>Planning Inspectorate- Pre App advice</t>
  </si>
  <si>
    <t xml:space="preserve">Planning Constraints Report </t>
  </si>
  <si>
    <t>Entrust Services</t>
  </si>
  <si>
    <t>OS Mapping</t>
  </si>
  <si>
    <t>Survey Solutions</t>
  </si>
  <si>
    <t>No but can be</t>
  </si>
  <si>
    <t>WYAS (under Lanpro)</t>
  </si>
  <si>
    <t>Geophysical Survey (cable route)</t>
  </si>
  <si>
    <t>WYAS</t>
  </si>
  <si>
    <t xml:space="preserve">Historic Environment </t>
  </si>
  <si>
    <t>WYAS (through Lanpro)</t>
  </si>
  <si>
    <t>Reading Agri Consultants</t>
  </si>
  <si>
    <t>Transport Input</t>
  </si>
  <si>
    <t>Lucion Group (former DS)</t>
  </si>
  <si>
    <t>Socioeconomics</t>
  </si>
  <si>
    <t>Ecological Surveys</t>
  </si>
  <si>
    <t>*Site District Level Licensing</t>
  </si>
  <si>
    <t>Ecological Surveys (Cable route)</t>
  </si>
  <si>
    <t>*Cable District Level Licensing</t>
  </si>
  <si>
    <t xml:space="preserve">GIS Support </t>
  </si>
  <si>
    <t>Legal</t>
  </si>
  <si>
    <t>Comms and Engagement</t>
  </si>
  <si>
    <t>Consultation/PR/Website</t>
  </si>
  <si>
    <t>Engineering</t>
  </si>
  <si>
    <t xml:space="preserve">Cable route feasibility </t>
  </si>
  <si>
    <t>Other Deliverables</t>
  </si>
  <si>
    <t xml:space="preserve">N/A </t>
  </si>
  <si>
    <t>IGP</t>
  </si>
  <si>
    <t>Centremaps</t>
  </si>
  <si>
    <t>Agreements</t>
  </si>
  <si>
    <t xml:space="preserve">Natural England </t>
  </si>
  <si>
    <t>Land Referencing and Land Agency</t>
  </si>
  <si>
    <t>Dalcour Maclaren/Atkins</t>
  </si>
  <si>
    <t>Cable route landowner discussions</t>
  </si>
  <si>
    <t>Less Grid Costs</t>
  </si>
  <si>
    <t>Grendon Solar Budget Cost</t>
  </si>
  <si>
    <t xml:space="preserve">Assumed cost </t>
  </si>
  <si>
    <t>Initial Quote Instructed (£)</t>
  </si>
  <si>
    <t>Quote Update Dec 2023 (Site F)</t>
  </si>
  <si>
    <t>Quote Update April 2024 (Site G)</t>
  </si>
  <si>
    <t>Quote Update June 2024 (Site A.2)</t>
  </si>
  <si>
    <t xml:space="preserve">Estimated cost during examination </t>
  </si>
  <si>
    <t xml:space="preserve">Amount paid before Netsuites </t>
  </si>
  <si>
    <t>PO amount</t>
  </si>
  <si>
    <t>PO Number</t>
  </si>
  <si>
    <t xml:space="preserve">PO Status </t>
  </si>
  <si>
    <t>Land Agents</t>
  </si>
  <si>
    <t xml:space="preserve">National Grid Title Restriction </t>
  </si>
  <si>
    <t>PO000153</t>
  </si>
  <si>
    <t>Increase</t>
  </si>
  <si>
    <t>North Northants</t>
  </si>
  <si>
    <t xml:space="preserve">West Northants </t>
  </si>
  <si>
    <t xml:space="preserve">Milton Keynes </t>
  </si>
  <si>
    <t xml:space="preserve">OS Mapping </t>
  </si>
  <si>
    <t>-</t>
  </si>
  <si>
    <t>PO000973</t>
  </si>
  <si>
    <t>Raised</t>
  </si>
  <si>
    <t>PO000158</t>
  </si>
  <si>
    <t>LiDAR assessment</t>
  </si>
  <si>
    <t>PO000160</t>
  </si>
  <si>
    <t>Lanpro (Subcontractor: CFA</t>
  </si>
  <si>
    <t>PO000159</t>
  </si>
  <si>
    <t>PO000228</t>
  </si>
  <si>
    <t>Mabbett</t>
  </si>
  <si>
    <t xml:space="preserve">Hydrolic Modelling </t>
  </si>
  <si>
    <t>PO000230</t>
  </si>
  <si>
    <t>PO000739</t>
  </si>
  <si>
    <t xml:space="preserve">Arcadis </t>
  </si>
  <si>
    <t>Highways</t>
  </si>
  <si>
    <t>Included in costs</t>
  </si>
  <si>
    <t>PO000226</t>
  </si>
  <si>
    <t xml:space="preserve">KMC Transport </t>
  </si>
  <si>
    <t xml:space="preserve">Traffic sureys </t>
  </si>
  <si>
    <t>PO000785</t>
  </si>
  <si>
    <t>KMC Transport (Subcontractor: Streetwise)</t>
  </si>
  <si>
    <t>Abnormal Loads</t>
  </si>
  <si>
    <t>PO000787</t>
  </si>
  <si>
    <t>KMC Transport (Subcontractor: WYNNS)</t>
  </si>
  <si>
    <t>PO000224</t>
  </si>
  <si>
    <t>PO001002</t>
  </si>
  <si>
    <t>Ground Conditions &amp; Contaminated land</t>
  </si>
  <si>
    <t>PO000225</t>
  </si>
  <si>
    <t>PO000142</t>
  </si>
  <si>
    <t>PO000223</t>
  </si>
  <si>
    <t>GCN District Level Licencing (DLL)</t>
  </si>
  <si>
    <t>Nature Space</t>
  </si>
  <si>
    <t>PO000229</t>
  </si>
  <si>
    <t>PO000161</t>
  </si>
  <si>
    <t>EMF</t>
  </si>
  <si>
    <t>UXO</t>
  </si>
  <si>
    <t xml:space="preserve">Lucion Group </t>
  </si>
  <si>
    <t>Consultation/PR/Comms</t>
  </si>
  <si>
    <t>Costs not agreed</t>
  </si>
  <si>
    <t>Copper Consultancy</t>
  </si>
  <si>
    <t>CHECKING COPPERS INVOICES</t>
  </si>
  <si>
    <t xml:space="preserve">Comms Expenses/design </t>
  </si>
  <si>
    <t>Electrical Engineering</t>
  </si>
  <si>
    <t xml:space="preserve">Omnia </t>
  </si>
  <si>
    <t xml:space="preserve">Battery Safety Consultancy </t>
  </si>
  <si>
    <t>PO000411</t>
  </si>
  <si>
    <t xml:space="preserve">BST&amp;T Consultancy </t>
  </si>
  <si>
    <t>Civils (cable route engineering design)</t>
  </si>
  <si>
    <t>Examination</t>
  </si>
  <si>
    <t>Examination Phase Costs</t>
  </si>
  <si>
    <t>Land Referencing &amp; Agency</t>
  </si>
  <si>
    <t>PO000231</t>
  </si>
  <si>
    <t>Branxton Budget Cost</t>
  </si>
  <si>
    <t>Variance (remainind spend)</t>
  </si>
  <si>
    <t xml:space="preserve">David Bell Planning </t>
  </si>
  <si>
    <t xml:space="preserve">Pre-app Fee </t>
  </si>
  <si>
    <t>Planning Feasibility Study (PO000747)</t>
  </si>
  <si>
    <t>Project Management and EIA</t>
  </si>
  <si>
    <t xml:space="preserve">Project management </t>
  </si>
  <si>
    <t>ITPE</t>
  </si>
  <si>
    <t xml:space="preserve">EIA Screening inputs </t>
  </si>
  <si>
    <t xml:space="preserve">EIA Scoping </t>
  </si>
  <si>
    <t xml:space="preserve">Gatecheck report </t>
  </si>
  <si>
    <t>EIA report and PM review</t>
  </si>
  <si>
    <t>Ecology</t>
  </si>
  <si>
    <t>Ecology PM and input to EIA screening/scoping</t>
  </si>
  <si>
    <t>Ecology survey and report (Option 1)</t>
  </si>
  <si>
    <t>Ecology survey and report (Option 2)</t>
  </si>
  <si>
    <t>EIA Biodiversity Chapter, HRA Stage 1, OBEMP</t>
  </si>
  <si>
    <t xml:space="preserve">SPP </t>
  </si>
  <si>
    <t>Outline BMP</t>
  </si>
  <si>
    <t>BNG</t>
  </si>
  <si>
    <t>Land Capability for Agriculture (LCA) (Option 1)</t>
  </si>
  <si>
    <t>Land Capability for Agriculture (LCA) (Option 2)</t>
  </si>
  <si>
    <t>Flood Risk and Drainage Assessment and FMP</t>
  </si>
  <si>
    <t xml:space="preserve">Option 1 or Option 2 constraints </t>
  </si>
  <si>
    <t xml:space="preserve">Earthworths </t>
  </si>
  <si>
    <t xml:space="preserve">ES Chapter (if required) </t>
  </si>
  <si>
    <t xml:space="preserve">Transport </t>
  </si>
  <si>
    <t>Transport Statement and CTMP</t>
  </si>
  <si>
    <t xml:space="preserve">Site visit and traffic survey data </t>
  </si>
  <si>
    <t>Abnormal Indivisible Load (AIL) assessment</t>
  </si>
  <si>
    <t>LVIA inc. photomontages</t>
  </si>
  <si>
    <t>Stephenson Halliday</t>
  </si>
  <si>
    <t>Site options review (Options 1 and 2)</t>
  </si>
  <si>
    <t xml:space="preserve">Heritage and Archaeology </t>
  </si>
  <si>
    <t>Heritage and Archaeology DBA</t>
  </si>
  <si>
    <t>Headland</t>
  </si>
  <si>
    <t>Geophysical survey (Option 1)</t>
  </si>
  <si>
    <t>Geophysical survey (Opition 2)</t>
  </si>
  <si>
    <t>Noise survey (72 hr) and report (Options 1 and 2)</t>
  </si>
  <si>
    <t xml:space="preserve">ES Chapter and EIA Scoping (if required) </t>
  </si>
  <si>
    <t xml:space="preserve">Topographical survey </t>
  </si>
  <si>
    <t>Arboricutural Survey, AIA, AMS and TPP</t>
  </si>
  <si>
    <t>Caledon Tree Surveys</t>
  </si>
  <si>
    <t>Survey for Option 2 land</t>
  </si>
  <si>
    <t>ARC / Paul Gregory</t>
  </si>
  <si>
    <t>Contamination</t>
  </si>
  <si>
    <t xml:space="preserve">Input to EIA Screening and Scoping </t>
  </si>
  <si>
    <t>MKA c/o ITPE</t>
  </si>
  <si>
    <t>Cable Routes</t>
  </si>
  <si>
    <t>???</t>
  </si>
  <si>
    <t xml:space="preserve">Utilities </t>
  </si>
  <si>
    <t xml:space="preserve">Utilites Survey </t>
  </si>
  <si>
    <t>Post-submission</t>
  </si>
  <si>
    <t>Other reports</t>
  </si>
  <si>
    <t>Various</t>
  </si>
  <si>
    <r>
      <rPr>
        <b/>
        <sz val="11"/>
        <color rgb="FFFF0000"/>
        <rFont val="Calibri"/>
        <family val="2"/>
      </rPr>
      <t xml:space="preserve">Lullington Resubmission </t>
    </r>
    <r>
      <rPr>
        <b/>
        <sz val="11"/>
        <color rgb="FF000000"/>
        <rFont val="Calibri"/>
        <family val="2"/>
      </rPr>
      <t>Budget Cost</t>
    </r>
  </si>
  <si>
    <t>Whitehouse Budget Cost</t>
  </si>
  <si>
    <t xml:space="preserve">Planning Feasibility Study </t>
  </si>
  <si>
    <t>Malcolm Hughs Land Surveyor</t>
  </si>
  <si>
    <t>Further Initial Flood Work</t>
  </si>
  <si>
    <t>Highways Consultation Work</t>
  </si>
  <si>
    <t xml:space="preserve">Archaeological Walkover </t>
  </si>
  <si>
    <t xml:space="preserve">Ecology </t>
  </si>
  <si>
    <t>ITPEnergised</t>
  </si>
  <si>
    <t>First Otter &amp; Vole Survey</t>
  </si>
  <si>
    <t>Further initial Noise modelling work</t>
  </si>
  <si>
    <t>Utilities Survey</t>
  </si>
  <si>
    <t>New Deer Budget Cost</t>
  </si>
  <si>
    <t>PO number</t>
  </si>
  <si>
    <t>ECU</t>
  </si>
  <si>
    <t xml:space="preserve">Pre-app fee </t>
  </si>
  <si>
    <t>Pre-app fee to ECU and LPA</t>
  </si>
  <si>
    <t>LPA</t>
  </si>
  <si>
    <t>Planning Feasibility</t>
  </si>
  <si>
    <t xml:space="preserve">Desktop Planning Assessment </t>
  </si>
  <si>
    <t xml:space="preserve">Project Management </t>
  </si>
  <si>
    <t>Project Management</t>
  </si>
  <si>
    <t>PO000936</t>
  </si>
  <si>
    <t xml:space="preserve">Ecology surveys and PM </t>
  </si>
  <si>
    <t>PO000774</t>
  </si>
  <si>
    <t xml:space="preserve">Ecology Report and data </t>
  </si>
  <si>
    <t>PO000781</t>
  </si>
  <si>
    <t>PO000937</t>
  </si>
  <si>
    <t>PO000939</t>
  </si>
  <si>
    <t>PO000940</t>
  </si>
  <si>
    <t>Cable route walkover and updates to reports</t>
  </si>
  <si>
    <t>ALC</t>
  </si>
  <si>
    <t>PO000942</t>
  </si>
  <si>
    <t>PO000943</t>
  </si>
  <si>
    <t>PO000945</t>
  </si>
  <si>
    <t>PO000946</t>
  </si>
  <si>
    <t>PO000955</t>
  </si>
  <si>
    <t>Noise survey (72 hr) plus meetings</t>
  </si>
  <si>
    <t>PO000941</t>
  </si>
  <si>
    <t>PO000944</t>
  </si>
  <si>
    <t xml:space="preserve">Cain Tech </t>
  </si>
  <si>
    <t xml:space="preserve">Cable route survey </t>
  </si>
  <si>
    <t>PO000956</t>
  </si>
  <si>
    <t>ARC</t>
  </si>
  <si>
    <t>PO000948</t>
  </si>
  <si>
    <t>PO000947</t>
  </si>
  <si>
    <t>PO000949</t>
  </si>
  <si>
    <t>Land  Referencing</t>
  </si>
  <si>
    <t>Dalcour McLaren</t>
  </si>
  <si>
    <t>PO000911</t>
  </si>
  <si>
    <t xml:space="preserve">Other reports </t>
  </si>
  <si>
    <t> </t>
  </si>
  <si>
    <t>Discharge of pre-commencement planning conditions</t>
  </si>
  <si>
    <t>Additional item 
Unlikely to be required</t>
  </si>
  <si>
    <t>Comment</t>
  </si>
  <si>
    <t xml:space="preserve">Archaeology </t>
  </si>
  <si>
    <t>Geophysical Survey (£9,130)</t>
  </si>
  <si>
    <t>Heritage consultants advised not required.</t>
  </si>
  <si>
    <t>Cotswold / Headland</t>
  </si>
  <si>
    <t>Trial trenching likely required post-determination</t>
  </si>
  <si>
    <t>Assuming not EIA but confirmed by EIA SO.</t>
  </si>
  <si>
    <t>ITPE?</t>
  </si>
  <si>
    <t>Long Stratton Budget Cost</t>
  </si>
  <si>
    <t xml:space="preserve">  </t>
  </si>
  <si>
    <t xml:space="preserve">Consultant </t>
  </si>
  <si>
    <t>Updated Quote (July 24)</t>
  </si>
  <si>
    <t xml:space="preserve">Planning Consultant and EIA </t>
  </si>
  <si>
    <t>Stage 1</t>
  </si>
  <si>
    <t>Stage 2</t>
  </si>
  <si>
    <t>Stage 3</t>
  </si>
  <si>
    <t>Stage 4</t>
  </si>
  <si>
    <t>GHC</t>
  </si>
  <si>
    <t xml:space="preserve">Areial Photoograhy </t>
  </si>
  <si>
    <t xml:space="preserve">Tony </t>
  </si>
  <si>
    <t>Magnitude</t>
  </si>
  <si>
    <t>Geophysical Survey (CR)</t>
  </si>
  <si>
    <t>Bats (Activity)</t>
  </si>
  <si>
    <t>Invertebrate scoping survey</t>
  </si>
  <si>
    <t>Ecology (cable route)</t>
  </si>
  <si>
    <t xml:space="preserve">Stantec </t>
  </si>
  <si>
    <t>Socio -economic and land use</t>
  </si>
  <si>
    <t xml:space="preserve">Outline Decomm Mgt Plan </t>
  </si>
  <si>
    <t xml:space="preserve">Outline Soils Mgt Plan </t>
  </si>
  <si>
    <t>Outline OEMP</t>
  </si>
  <si>
    <t xml:space="preserve">Other  - Protracted red line adjustments
</t>
  </si>
  <si>
    <t>DAS Services</t>
  </si>
  <si>
    <t>Input from Battery Safety Expert (OBSMP and Examination)</t>
  </si>
  <si>
    <t xml:space="preserve">Land referencing </t>
  </si>
  <si>
    <t xml:space="preserve">Land Agency </t>
  </si>
  <si>
    <t xml:space="preserve">Third Party Wayleave </t>
  </si>
  <si>
    <t>Deal Sheet budget</t>
  </si>
  <si>
    <t>planning costs</t>
  </si>
  <si>
    <t>The Droves (Kings Lynn) Budget Cost</t>
  </si>
  <si>
    <t xml:space="preserve">DWD/LDA - Planning and EIA Consultancy </t>
  </si>
  <si>
    <t>Updated budget (£) July 24</t>
  </si>
  <si>
    <t>Planning Performance Agreements</t>
  </si>
  <si>
    <t>Planning Consultancy and EIA input</t>
  </si>
  <si>
    <t>DWD</t>
  </si>
  <si>
    <t>Stage 1; DCO Coordination and Management</t>
  </si>
  <si>
    <t>Stage 2; Inception and Pre-Application</t>
  </si>
  <si>
    <t>Stage 3; Scoping and Non-Stat and Stat Consultation</t>
  </si>
  <si>
    <t xml:space="preserve">Stage 4; Preparation of application and submission </t>
  </si>
  <si>
    <t>Stage 5; Examination and Decision</t>
  </si>
  <si>
    <t xml:space="preserve">All EIA, ES and PIER related inputs including scoping and consultation </t>
  </si>
  <si>
    <t>DWD Project Management</t>
  </si>
  <si>
    <t xml:space="preserve">Planning Studies up to Submission </t>
  </si>
  <si>
    <t>Cultural Heritage</t>
  </si>
  <si>
    <t xml:space="preserve">ALC Survey (detailed) </t>
  </si>
  <si>
    <t xml:space="preserve">Kernon </t>
  </si>
  <si>
    <t xml:space="preserve">Agricultural circumstances/Farm Assessment
and input into scoping, PIER and ES </t>
  </si>
  <si>
    <t xml:space="preserve">Velocity </t>
  </si>
  <si>
    <t xml:space="preserve">Headland </t>
  </si>
  <si>
    <t>Hoare Lee</t>
  </si>
  <si>
    <t xml:space="preserve">Tyler Grange </t>
  </si>
  <si>
    <t>Covered under TA and CTMP</t>
  </si>
  <si>
    <t xml:space="preserve">
</t>
  </si>
  <si>
    <t xml:space="preserve">Ecology Surveys and Assessment </t>
  </si>
  <si>
    <t>eDNA</t>
  </si>
  <si>
    <t xml:space="preserve">DTA </t>
  </si>
  <si>
    <t xml:space="preserve">LDA </t>
  </si>
  <si>
    <t xml:space="preserve">Masterplanning </t>
  </si>
  <si>
    <t>Landscape and Visual Assessments</t>
  </si>
  <si>
    <t>Transport Assessment inlcuding CTMP</t>
  </si>
  <si>
    <t xml:space="preserve">Amenity and Recreation Assessment </t>
  </si>
  <si>
    <t>Residential Visual Amenity Asssessment</t>
  </si>
  <si>
    <t xml:space="preserve">Volterra </t>
  </si>
  <si>
    <t xml:space="preserve">Social Economic/Health </t>
  </si>
  <si>
    <t xml:space="preserve">Outline CEMP </t>
  </si>
  <si>
    <t xml:space="preserve">Outline OEMP </t>
  </si>
  <si>
    <t>Outline DEMP</t>
  </si>
  <si>
    <t xml:space="preserve">Pinsent Mason </t>
  </si>
  <si>
    <t>Copper Consulting</t>
  </si>
  <si>
    <t xml:space="preserve">Si Gillet </t>
  </si>
  <si>
    <t xml:space="preserve">Bueno Vista </t>
  </si>
  <si>
    <t xml:space="preserve">Viking </t>
  </si>
  <si>
    <t xml:space="preserve">Pual Gregory </t>
  </si>
  <si>
    <t xml:space="preserve">Other - input from Battery Safety Expert (OBSMP and Examination)
</t>
  </si>
  <si>
    <t>Land referencing (WSP)</t>
  </si>
  <si>
    <t>Deal Sheet budget 19/03/24</t>
  </si>
  <si>
    <t>Excluding Grid</t>
  </si>
  <si>
    <t>STALLINGBOROUGH</t>
  </si>
  <si>
    <t>Land Option</t>
  </si>
  <si>
    <t>Screening Opinion</t>
  </si>
  <si>
    <t>Screening Opinion Request</t>
  </si>
  <si>
    <t>Landscape Assessment</t>
  </si>
  <si>
    <t>AWScape Ltd</t>
  </si>
  <si>
    <t>Ecological Assessment</t>
  </si>
  <si>
    <t>Riverdale Ecology</t>
  </si>
  <si>
    <t>Pre-Application Consultation</t>
  </si>
  <si>
    <t>Media relations, community consultation</t>
  </si>
  <si>
    <t>Community Consultation Phase 2</t>
  </si>
  <si>
    <t xml:space="preserve">Planning Application </t>
  </si>
  <si>
    <t>Fee</t>
  </si>
  <si>
    <t>Planning performance agreement</t>
  </si>
  <si>
    <t>Planning Application Technical Reports and Studies</t>
  </si>
  <si>
    <t>Technical Design -H&amp;S and Environment Compliance</t>
  </si>
  <si>
    <t>DNV</t>
  </si>
  <si>
    <t>ABOVE Surveying</t>
  </si>
  <si>
    <t>LVIA, LEMP, Photomontages</t>
  </si>
  <si>
    <t>Rappor</t>
  </si>
  <si>
    <t>Archaeology Desk Based Assessment</t>
  </si>
  <si>
    <t>Heritage Assessment</t>
  </si>
  <si>
    <t>Cotswold Archaeology</t>
  </si>
  <si>
    <t>Heritage Assessment Report Update</t>
  </si>
  <si>
    <t>ALC Survey</t>
  </si>
  <si>
    <t>AMET Property</t>
  </si>
  <si>
    <t>ALC Report</t>
  </si>
  <si>
    <t>Kernon Countryside Consultants</t>
  </si>
  <si>
    <t>Agricultural Viability Assessment</t>
  </si>
  <si>
    <t>Outline Soil Management Plan</t>
  </si>
  <si>
    <t>Glint and Glare</t>
  </si>
  <si>
    <t>Wardell Armstrong</t>
  </si>
  <si>
    <t>JBA Associates</t>
  </si>
  <si>
    <t>SUDS</t>
  </si>
  <si>
    <t>Ecology and surveys</t>
  </si>
  <si>
    <t>Total Budget (Excl contingency &amp; Grid)</t>
  </si>
  <si>
    <t>Start pre-exam</t>
  </si>
  <si>
    <t>start exam</t>
  </si>
  <si>
    <t>Monk Fryston Budget Cost</t>
  </si>
  <si>
    <t>Total Forecast (Excl contingency &amp; Grid)</t>
  </si>
  <si>
    <t>Total Grid</t>
  </si>
  <si>
    <t>Phase / Sub-category</t>
  </si>
  <si>
    <t>Description</t>
  </si>
  <si>
    <t>Consultant / Supplier</t>
  </si>
  <si>
    <t>Status</t>
  </si>
  <si>
    <t>Purchase Order No</t>
  </si>
  <si>
    <t>PO Value / Paid</t>
  </si>
  <si>
    <t>Revised budget</t>
  </si>
  <si>
    <t>Invoiced to end last year</t>
  </si>
  <si>
    <t>Invoiced / paid this year (end June)</t>
  </si>
  <si>
    <t>Forecast / remaining</t>
  </si>
  <si>
    <t>Total Forecast / Invoiced</t>
  </si>
  <si>
    <t>Check</t>
  </si>
  <si>
    <t>2021 Total</t>
  </si>
  <si>
    <t>2022 Total</t>
  </si>
  <si>
    <t>2023 Total</t>
  </si>
  <si>
    <t>Forecast 2024</t>
  </si>
  <si>
    <t>Forecast 2025</t>
  </si>
  <si>
    <t>Forecast 2026</t>
  </si>
  <si>
    <t>Forecast 2027</t>
  </si>
  <si>
    <t>Forecast 2028</t>
  </si>
  <si>
    <t>2024 Total</t>
  </si>
  <si>
    <t>2025 Total</t>
  </si>
  <si>
    <t>2026 Total</t>
  </si>
  <si>
    <t>2027 Total</t>
  </si>
  <si>
    <t>Land Assembly</t>
  </si>
  <si>
    <t>IGP Agent's fees</t>
  </si>
  <si>
    <t>?</t>
  </si>
  <si>
    <t>Landowner - Escrick Agent's fees</t>
  </si>
  <si>
    <t>?? For escrick</t>
  </si>
  <si>
    <t>Landowner - Escrick Legal fees</t>
  </si>
  <si>
    <t>Greys for Escrick</t>
  </si>
  <si>
    <t>Escrick Searches</t>
  </si>
  <si>
    <t>Landowner - Hartleys Agent's fees</t>
  </si>
  <si>
    <t>?  Agent used?</t>
  </si>
  <si>
    <t>Landowner - Hartleys Legal fees</t>
  </si>
  <si>
    <t>IGP Legal fees - Hartleys</t>
  </si>
  <si>
    <t>Hartley Searches</t>
  </si>
  <si>
    <t>CoT work</t>
  </si>
  <si>
    <t>Option Fee</t>
  </si>
  <si>
    <t>Option Fees - Initial Fee.  Payable year 4</t>
  </si>
  <si>
    <t>Option Fees - Extension</t>
  </si>
  <si>
    <t>Option Date variations.  Legal fees</t>
  </si>
  <si>
    <t>Pre-emptive landscaping</t>
  </si>
  <si>
    <t>Property Total</t>
  </si>
  <si>
    <t>Planning &amp; DCO Management</t>
  </si>
  <si>
    <t>Stage 1; Mobilisation, Surveys Scoping Optioneering, Non Statutory Consutation input</t>
  </si>
  <si>
    <t>Arup</t>
  </si>
  <si>
    <t>Stage 2; Statutory Consultation, design freeze for submission of DCO and PIER</t>
  </si>
  <si>
    <t>Committed</t>
  </si>
  <si>
    <t xml:space="preserve">Stage 3; ES inputs and application Drafting and Submission </t>
  </si>
  <si>
    <t>Environemtlat Studies to Submission</t>
  </si>
  <si>
    <t>General EIA Management</t>
  </si>
  <si>
    <t>EIA - Coordination &amp; management</t>
  </si>
  <si>
    <t>EAI - design &amp; integration</t>
  </si>
  <si>
    <t>EIA -webgis</t>
  </si>
  <si>
    <t>in 575 above</t>
  </si>
  <si>
    <t>Scoping</t>
  </si>
  <si>
    <t>Pre-scoping consultee engagement</t>
  </si>
  <si>
    <t>Baseline</t>
  </si>
  <si>
    <t>Baseline studies - arboriculture</t>
  </si>
  <si>
    <t>Baseline studies - cultural heritage</t>
  </si>
  <si>
    <t xml:space="preserve">Landscape and Visual Assessments </t>
  </si>
  <si>
    <t>Baseline - flood risk</t>
  </si>
  <si>
    <t>Baseline - traffic</t>
  </si>
  <si>
    <t>Baseline - noise</t>
  </si>
  <si>
    <t>Natural England DAS - Ecology Input</t>
  </si>
  <si>
    <t>TG</t>
  </si>
  <si>
    <t>OOM estimate</t>
  </si>
  <si>
    <t>Ecology scoping input</t>
  </si>
  <si>
    <t>HRA screening</t>
  </si>
  <si>
    <t>Surveys</t>
  </si>
  <si>
    <t>Ecology Surveys - first instruction</t>
  </si>
  <si>
    <t>Tyler Grange</t>
  </si>
  <si>
    <t>Ecology Survey - second quotation</t>
  </si>
  <si>
    <t>ecol phase 1 reporting</t>
  </si>
  <si>
    <t>Other activities - surveys, NE liaison, Habs Regs, reporting now largely set out elsewhere</t>
  </si>
  <si>
    <t>Wintering birds (1 year)</t>
  </si>
  <si>
    <t xml:space="preserve">Geophysical Survey including WSI </t>
  </si>
  <si>
    <t>SUMO</t>
  </si>
  <si>
    <t xml:space="preserve">ALC Survey </t>
  </si>
  <si>
    <t>PEIR</t>
  </si>
  <si>
    <t>not tech summ</t>
  </si>
  <si>
    <t>in 576 above</t>
  </si>
  <si>
    <t>intro + end chapters</t>
  </si>
  <si>
    <t>ag</t>
  </si>
  <si>
    <t xml:space="preserve">Climate Change </t>
  </si>
  <si>
    <t>L&amp;V</t>
  </si>
  <si>
    <t>Operational noise</t>
  </si>
  <si>
    <t>Transport Assessment</t>
  </si>
  <si>
    <t>WR&amp;FR</t>
  </si>
  <si>
    <t>figures excl montages</t>
  </si>
  <si>
    <t xml:space="preserve"> Environmental Masterplan</t>
  </si>
  <si>
    <t xml:space="preserve">Biodiversity Net Gain Assessment </t>
  </si>
  <si>
    <t>Excluded Env topics</t>
  </si>
  <si>
    <t>ecology</t>
  </si>
  <si>
    <t>ES Prep</t>
  </si>
  <si>
    <t xml:space="preserve">Biodiversity </t>
  </si>
  <si>
    <t>TBC - budget from Arup proposal</t>
  </si>
  <si>
    <t xml:space="preserve">Stage 3; ES inputs &amp; app Drafting &amp; Submission </t>
  </si>
  <si>
    <t>in 589 above</t>
  </si>
  <si>
    <t>cumm</t>
  </si>
  <si>
    <t>CC</t>
  </si>
  <si>
    <t>CH</t>
  </si>
  <si>
    <t>noise</t>
  </si>
  <si>
    <t>socio ec</t>
  </si>
  <si>
    <t xml:space="preserve">transport </t>
  </si>
  <si>
    <t>env commitments register</t>
  </si>
  <si>
    <t>env masterplan</t>
  </si>
  <si>
    <t>photomontages</t>
  </si>
  <si>
    <t>Extra reports</t>
  </si>
  <si>
    <t>Arup - Extra Reports</t>
  </si>
  <si>
    <t xml:space="preserve">Arboricultural Impact Assessment </t>
  </si>
  <si>
    <t>will be included above</t>
  </si>
  <si>
    <t>Constr Dust</t>
  </si>
  <si>
    <t>FR</t>
  </si>
  <si>
    <t>Major accidents &amp; diasters - battery fire risk &amp; strike</t>
  </si>
  <si>
    <t>Battery Safety Management Plan (outline)</t>
  </si>
  <si>
    <t>Outline CTMP</t>
  </si>
  <si>
    <t xml:space="preserve">Outline DEMP </t>
  </si>
  <si>
    <t>Outline LEMP</t>
  </si>
  <si>
    <t xml:space="preserve">Outline Materials Management Plan </t>
  </si>
  <si>
    <t xml:space="preserve">Outline Pollution and Spillage Response Plan </t>
  </si>
  <si>
    <t xml:space="preserve">PRoW Management Plan </t>
  </si>
  <si>
    <t xml:space="preserve">Outline Soil Resource Management Plan </t>
  </si>
  <si>
    <t xml:space="preserve">Outline Site Waste Management Plan </t>
  </si>
  <si>
    <t xml:space="preserve">Phase 1 Geotechnical and Geoenvironmental 
Desk Study </t>
  </si>
  <si>
    <t>BNG A</t>
  </si>
  <si>
    <t>Arup extra work / required post scoping</t>
  </si>
  <si>
    <t>Main Planning &amp; Environmetnal Work to submission Total</t>
  </si>
  <si>
    <t>Other Planning Applictino work</t>
  </si>
  <si>
    <t>Not commissioned yet</t>
  </si>
  <si>
    <t>Statement of Need if needed.  See proposal for cost</t>
  </si>
  <si>
    <t>Generation Licence</t>
  </si>
  <si>
    <t>Other studies in origial budget</t>
  </si>
  <si>
    <t>Electrical concept design</t>
  </si>
  <si>
    <t>Fichtner</t>
  </si>
  <si>
    <t>Blank line</t>
  </si>
  <si>
    <t>Batteries - Paul Gregory quote pre-submission</t>
  </si>
  <si>
    <t>Other  - Protracted red line adjustments</t>
  </si>
  <si>
    <t>Data</t>
  </si>
  <si>
    <t>Data Purchase</t>
  </si>
  <si>
    <t>Centre Map</t>
  </si>
  <si>
    <t>Other Pre-Planning Costs</t>
  </si>
  <si>
    <t>Comms &amp; Engagement</t>
  </si>
  <si>
    <t>Quotation</t>
  </si>
  <si>
    <t>Pre-launch</t>
  </si>
  <si>
    <t>Pre-consultation phase</t>
  </si>
  <si>
    <t>Non-Stat consultation</t>
  </si>
  <si>
    <t>SOCC</t>
  </si>
  <si>
    <t>Stat Con</t>
  </si>
  <si>
    <t>Consultation Report</t>
  </si>
  <si>
    <t>Postage, other printing costs etc</t>
  </si>
  <si>
    <t>Contingency - programme delay</t>
  </si>
  <si>
    <t>Comms &amp; Engagement Total</t>
  </si>
  <si>
    <t>Planning Legal</t>
  </si>
  <si>
    <t>initial £40k value for PO 0001014</t>
  </si>
  <si>
    <t>PM - Fee agreement not seen</t>
  </si>
  <si>
    <t>Pinsent Mason</t>
  </si>
  <si>
    <t>Planning Legal Total</t>
  </si>
  <si>
    <t>Statutory Consutlee costs</t>
  </si>
  <si>
    <t>PPA - NYC</t>
  </si>
  <si>
    <t>PPA - EA</t>
  </si>
  <si>
    <t>DAS - NE costs</t>
  </si>
  <si>
    <t>DAS - HE costs</t>
  </si>
  <si>
    <t>Planning Inspectorate - Pre-app advice - basic</t>
  </si>
  <si>
    <t>Application Fee &amp; Stat Con Costs</t>
  </si>
  <si>
    <t>Post submission fees</t>
  </si>
  <si>
    <t>Examination phase costs - putting to CC as not specified</t>
  </si>
  <si>
    <t>Arup examination support</t>
  </si>
  <si>
    <t>AV &amp; venue</t>
  </si>
  <si>
    <t>Other specialists at examination (assume DM in land below) PG / Si Gillett +</t>
  </si>
  <si>
    <t>Post Submission Costs</t>
  </si>
  <si>
    <t>Land Referencing &amp; Cable Route Priperty</t>
  </si>
  <si>
    <t>No feel for</t>
  </si>
  <si>
    <t>Land Agency - DM fee proposal</t>
  </si>
  <si>
    <t>Land agency / referencing expenses</t>
  </si>
  <si>
    <t>Budget not allocated</t>
  </si>
  <si>
    <t>Cable route legals (developer costs)</t>
  </si>
  <si>
    <t>Land Refencing &amp; Cable Route Property Total</t>
  </si>
  <si>
    <t>Total - land assembly and planning</t>
  </si>
  <si>
    <t>Cummulative</t>
  </si>
  <si>
    <t>Total budget pre-consent excluding grid</t>
  </si>
  <si>
    <t>Costs excluding Grid</t>
  </si>
  <si>
    <t>from fies / bank statement</t>
  </si>
  <si>
    <t>NGET Mod App</t>
  </si>
  <si>
    <t>NGESO</t>
  </si>
  <si>
    <t>spent to date? Forward planning?</t>
  </si>
  <si>
    <t>Purchase of Escrick grid connections</t>
  </si>
  <si>
    <t>Grid Total</t>
  </si>
  <si>
    <t xml:space="preserve">Total costs excluding grid </t>
  </si>
  <si>
    <t xml:space="preserve">Contingency (10%) included in above </t>
  </si>
  <si>
    <t>Business plan budget</t>
  </si>
  <si>
    <t>Headroom</t>
  </si>
  <si>
    <t>Exeter Budget Sheet</t>
  </si>
  <si>
    <t>Purchase Order Number</t>
  </si>
  <si>
    <t>Consultant/Organisation</t>
  </si>
  <si>
    <t>National Grid ESO</t>
  </si>
  <si>
    <t>Trower and Hamlins LLP</t>
  </si>
  <si>
    <t>Planning Application</t>
  </si>
  <si>
    <t>Pre-application advice</t>
  </si>
  <si>
    <t>East Devon District Council</t>
  </si>
  <si>
    <t>Application fee</t>
  </si>
  <si>
    <t>General PM/coordination</t>
  </si>
  <si>
    <t>Planning Statement</t>
  </si>
  <si>
    <t>Design &amp; Access Statement</t>
  </si>
  <si>
    <t>Desktop Planning Assessment</t>
  </si>
  <si>
    <t>PO001001</t>
  </si>
  <si>
    <t>Ecological Survey - PEA</t>
  </si>
  <si>
    <t>Ecological Survey - further surveys</t>
  </si>
  <si>
    <t>Ecological Impact Assessment</t>
  </si>
  <si>
    <t>BNG Condition Assessment</t>
  </si>
  <si>
    <t>BNG Report</t>
  </si>
  <si>
    <t>Transport Statement/Assessment</t>
  </si>
  <si>
    <t>AIL Study</t>
  </si>
  <si>
    <t>Site Waste Management Plan</t>
  </si>
  <si>
    <t>Outline BSMP</t>
  </si>
  <si>
    <t>Noise Assessment</t>
  </si>
  <si>
    <t>Air Quality Statement</t>
  </si>
  <si>
    <t>Green Infrastructure Plan</t>
  </si>
  <si>
    <t>Health Impact Assessment</t>
  </si>
  <si>
    <t>Lighting Report</t>
  </si>
  <si>
    <t>Land</t>
  </si>
  <si>
    <t>National Trust Easement</t>
  </si>
  <si>
    <t>Phase 2 Budget Cost</t>
  </si>
  <si>
    <t>Project</t>
  </si>
  <si>
    <t>Spittal</t>
  </si>
  <si>
    <t>Bidwells agent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</si>
</sst>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Red]\-&quot;£&quot;#,##0"/>
    <numFmt numFmtId="8" formatCode="&quot;£&quot;#,##0.00;[Red]\-&quot;£&quot;#,##0.00"/>
    <numFmt numFmtId="44" formatCode="_-&quot;£&quot;* #,##0.00_-;\-&quot;£&quot;* #,##0.00_-;_-&quot;£&quot;* &quot;-&quot;??_-;_-@_-"/>
    <numFmt numFmtId="43" formatCode="_-* #,##0.00_-;\-* #,##0.00_-;_-* &quot;-&quot;??_-;_-@_-"/>
    <numFmt numFmtId="164" formatCode="_(* #,##0.00_);_(* \(#,##0.00\);_(* &quot;-&quot;??_);_(@_)"/>
    <numFmt numFmtId="165" formatCode="_-* #,##0_-;\-* #,##0_-;_-* &quot;-&quot;??_-;_-@_-"/>
    <numFmt numFmtId="166" formatCode="_(&quot;£&quot;* #,##0_);_(&quot;£&quot;* \(#,##0\);_(&quot;£&quot;* &quot;-&quot;??_);_(@_)"/>
    <numFmt numFmtId="167" formatCode="_-&quot;£&quot;* #,##0_-;\-&quot;£&quot;* #,##0_-;_-&quot;£&quot;* &quot;-&quot;??_-;_-@_-"/>
    <numFmt numFmtId="168" formatCode="_(* #,##0_);_(* \(#,##0\);_(* &quot;-&quot;??_);_(@_)"/>
    <numFmt numFmtId="169" formatCode="#,##0_ ;[Red]\-#,##0\ "/>
    <numFmt numFmtId="170" formatCode="#,##0.00_ ;[Red]\-#,##0.00\ "/>
    <numFmt numFmtId="171" formatCode="&quot;£&quot;#,##0.00"/>
    <numFmt numFmtId="172" formatCode="&quot;£&quot;#,##0"/>
    <numFmt numFmtId="173" formatCode="0000###"/>
    <numFmt numFmtId="174" formatCode="yyyy"/>
  </numFmts>
  <fonts count="4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1"/>
      <color theme="0" tint="-0.1499984740745262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sz val="11"/>
      <color theme="0" tint="-0.34998626667073579"/>
      <name val="Calibri"/>
      <family val="2"/>
      <scheme val="minor"/>
    </font>
    <font>
      <sz val="11"/>
      <color theme="0" tint="-0.499984740745262"/>
      <name val="Calibri"/>
      <family val="2"/>
      <scheme val="minor"/>
    </font>
    <font>
      <b/>
      <sz val="11"/>
      <name val="Calibri"/>
      <family val="2"/>
      <scheme val="minor"/>
    </font>
    <font>
      <sz val="10"/>
      <name val="Calibri"/>
      <family val="2"/>
      <scheme val="minor"/>
    </font>
    <font>
      <sz val="11"/>
      <name val="Calibri"/>
      <family val="2"/>
      <scheme val="minor"/>
    </font>
    <font>
      <sz val="11"/>
      <color rgb="FF006100"/>
      <name val="Calibri"/>
      <family val="2"/>
      <scheme val="minor"/>
    </font>
    <font>
      <sz val="11"/>
      <color rgb="FF9C5700"/>
      <name val="Calibri"/>
      <family val="2"/>
      <scheme val="minor"/>
    </font>
    <font>
      <sz val="11"/>
      <color rgb="FF000000"/>
      <name val="Calibri"/>
      <family val="2"/>
      <scheme val="minor"/>
    </font>
    <font>
      <sz val="11"/>
      <color rgb="FF000000"/>
      <name val="Calibri"/>
      <family val="2"/>
    </font>
    <font>
      <sz val="12"/>
      <color theme="1"/>
      <name val="Arial"/>
      <family val="2"/>
    </font>
    <font>
      <sz val="11"/>
      <color rgb="FF9C0006"/>
      <name val="Calibri"/>
      <family val="2"/>
      <scheme val="minor"/>
    </font>
    <font>
      <b/>
      <sz val="11"/>
      <color rgb="FFFF0000"/>
      <name val="Calibri"/>
      <family val="2"/>
    </font>
    <font>
      <b/>
      <sz val="11"/>
      <color rgb="FF000000"/>
      <name val="Calibri"/>
      <family val="2"/>
    </font>
    <font>
      <b/>
      <sz val="11"/>
      <color theme="1"/>
      <name val="Calibri"/>
      <family val="2"/>
    </font>
    <font>
      <sz val="11"/>
      <name val="Calibri"/>
      <family val="2"/>
    </font>
    <font>
      <sz val="11"/>
      <color theme="1"/>
      <name val="Aptos"/>
      <family val="2"/>
    </font>
    <font>
      <sz val="11"/>
      <color rgb="FF242424"/>
      <name val="Consolas"/>
      <family val="3"/>
    </font>
    <font>
      <b/>
      <sz val="11"/>
      <color rgb="FF000000"/>
      <name val="Calibri"/>
      <family val="2"/>
      <scheme val="minor"/>
    </font>
    <font>
      <sz val="11"/>
      <color rgb="FF006100"/>
      <name val="Calibri"/>
      <family val="2"/>
    </font>
    <font>
      <sz val="11"/>
      <color theme="3"/>
      <name val="Calibri"/>
      <family val="2"/>
      <scheme val="minor"/>
    </font>
    <font>
      <b/>
      <sz val="11"/>
      <color theme="1"/>
      <name val="Aptos"/>
      <family val="2"/>
    </font>
    <font>
      <sz val="11"/>
      <color rgb="FF006100"/>
      <name val="Aptos"/>
      <family val="2"/>
    </font>
    <font>
      <sz val="11"/>
      <color rgb="FF9C5700"/>
      <name val="Aptos"/>
      <family val="2"/>
    </font>
    <font>
      <sz val="11"/>
      <color rgb="FF9C0006"/>
      <name val="Aptos"/>
      <family val="2"/>
    </font>
    <font>
      <sz val="11"/>
      <name val="Aptos"/>
      <family val="2"/>
    </font>
    <font>
      <b/>
      <sz val="16"/>
      <color theme="1"/>
      <name val="Aptos"/>
      <family val="2"/>
    </font>
    <font>
      <sz val="11"/>
      <color rgb="FFFF0000"/>
      <name val="Aptos"/>
      <family val="2"/>
    </font>
    <font>
      <sz val="11"/>
      <color theme="5"/>
      <name val="Calibri"/>
      <family val="2"/>
      <scheme val="minor"/>
    </font>
    <font>
      <u/>
      <sz val="11"/>
      <color theme="10"/>
      <name val="Calibri"/>
      <family val="2"/>
      <scheme val="minor"/>
    </font>
    <font>
      <sz val="11"/>
      <color rgb="FF00B050"/>
      <name val="Calibri"/>
      <family val="2"/>
      <scheme val="minor"/>
    </font>
    <font>
      <sz val="10"/>
      <color theme="1"/>
      <name val="Calibri"/>
      <family val="2"/>
      <scheme val="minor"/>
    </font>
    <font>
      <i/>
      <sz val="11"/>
      <color theme="1"/>
      <name val="Calibri"/>
      <family val="2"/>
      <scheme val="minor"/>
    </font>
    <font>
      <u/>
      <sz val="11"/>
      <color theme="1"/>
      <name val="Calibri"/>
      <family val="2"/>
      <scheme val="minor"/>
    </font>
    <font>
      <sz val="9"/>
      <color indexed="81"/>
      <name val="Tahoma"/>
      <charset val="1"/>
    </font>
    <font>
      <b/>
      <sz val="9"/>
      <color indexed="81"/>
      <name val="Tahoma"/>
      <charset val="1"/>
    </font>
  </fonts>
  <fills count="2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E2EFDA"/>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00B0F0"/>
        <bgColor indexed="64"/>
      </patternFill>
    </fill>
    <fill>
      <patternFill patternType="solid">
        <fgColor rgb="FFC6EFCE"/>
        <bgColor rgb="FF000000"/>
      </patternFill>
    </fill>
    <fill>
      <patternFill patternType="solid">
        <fgColor theme="0" tint="-0.14999847407452621"/>
        <bgColor indexed="64"/>
      </patternFill>
    </fill>
    <fill>
      <patternFill patternType="solid">
        <fgColor rgb="FFFFFF00"/>
        <bgColor rgb="FF000000"/>
      </patternFill>
    </fill>
    <fill>
      <patternFill patternType="solid">
        <fgColor theme="5" tint="0.79998168889431442"/>
        <bgColor rgb="FF000000"/>
      </patternFill>
    </fill>
    <fill>
      <patternFill patternType="solid">
        <fgColor theme="3" tint="0.89999084444715716"/>
        <bgColor indexed="64"/>
      </patternFill>
    </fill>
    <fill>
      <patternFill patternType="solid">
        <fgColor rgb="FFFF0000"/>
        <bgColor indexed="64"/>
      </patternFill>
    </fill>
    <fill>
      <patternFill patternType="solid">
        <fgColor rgb="FFE7E7FF"/>
        <bgColor indexed="64"/>
      </patternFill>
    </fill>
    <fill>
      <patternFill patternType="solid">
        <fgColor theme="3" tint="0.749992370372631"/>
        <bgColor indexed="64"/>
      </patternFill>
    </fill>
  </fills>
  <borders count="120">
    <border>
      <left/>
      <right/>
      <top/>
      <bottom/>
      <diagonal/>
    </border>
    <border>
      <left/>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bottom style="thin">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style="medium">
        <color indexed="64"/>
      </bottom>
      <diagonal/>
    </border>
    <border>
      <left style="medium">
        <color rgb="FF000000"/>
      </left>
      <right/>
      <top style="medium">
        <color indexed="64"/>
      </top>
      <bottom/>
      <diagonal/>
    </border>
    <border>
      <left style="medium">
        <color indexed="64"/>
      </left>
      <right style="medium">
        <color rgb="FF000000"/>
      </right>
      <top style="medium">
        <color indexed="64"/>
      </top>
      <bottom/>
      <diagonal/>
    </border>
    <border>
      <left/>
      <right style="medium">
        <color rgb="FF000000"/>
      </right>
      <top style="medium">
        <color indexed="64"/>
      </top>
      <bottom/>
      <diagonal/>
    </border>
    <border>
      <left style="medium">
        <color rgb="FF000000"/>
      </left>
      <right/>
      <top/>
      <bottom/>
      <diagonal/>
    </border>
    <border>
      <left/>
      <right style="medium">
        <color rgb="FF000000"/>
      </right>
      <top/>
      <bottom/>
      <diagonal/>
    </border>
    <border>
      <left style="medium">
        <color rgb="FF000000"/>
      </left>
      <right/>
      <top style="thin">
        <color indexed="64"/>
      </top>
      <bottom style="thin">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style="medium">
        <color rgb="FF000000"/>
      </left>
      <right/>
      <top style="thin">
        <color rgb="FF000000"/>
      </top>
      <bottom style="thin">
        <color rgb="FF000000"/>
      </bottom>
      <diagonal/>
    </border>
    <border>
      <left style="medium">
        <color rgb="FF000000"/>
      </left>
      <right/>
      <top/>
      <bottom style="thin">
        <color indexed="64"/>
      </bottom>
      <diagonal/>
    </border>
    <border>
      <left style="medium">
        <color indexed="64"/>
      </left>
      <right/>
      <top style="thin">
        <color rgb="FF000000"/>
      </top>
      <bottom/>
      <diagonal/>
    </border>
    <border>
      <left style="medium">
        <color indexed="64"/>
      </left>
      <right style="medium">
        <color indexed="64"/>
      </right>
      <top style="thin">
        <color rgb="FF000000"/>
      </top>
      <bottom/>
      <diagonal/>
    </border>
    <border>
      <left style="medium">
        <color rgb="FF000000"/>
      </left>
      <right style="medium">
        <color rgb="FF000000"/>
      </right>
      <top style="thin">
        <color rgb="FF000000"/>
      </top>
      <bottom/>
      <diagonal/>
    </border>
    <border>
      <left style="medium">
        <color indexed="64"/>
      </left>
      <right style="thin">
        <color indexed="64"/>
      </right>
      <top style="thin">
        <color rgb="FF000000"/>
      </top>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right/>
      <top style="thin">
        <color indexed="64"/>
      </top>
      <bottom style="double">
        <color indexed="64"/>
      </bottom>
      <diagonal/>
    </border>
    <border>
      <left/>
      <right/>
      <top style="double">
        <color indexed="64"/>
      </top>
      <bottom/>
      <diagonal/>
    </border>
    <border>
      <left style="medium">
        <color indexed="64"/>
      </left>
      <right style="medium">
        <color indexed="64"/>
      </right>
      <top style="double">
        <color indexed="64"/>
      </top>
      <bottom style="thin">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style="medium">
        <color indexed="64"/>
      </right>
      <top style="double">
        <color indexed="64"/>
      </top>
      <bottom/>
      <diagonal/>
    </border>
    <border>
      <left style="medium">
        <color indexed="64"/>
      </left>
      <right/>
      <top style="medium">
        <color indexed="64"/>
      </top>
      <bottom style="thin">
        <color indexed="64"/>
      </bottom>
      <diagonal/>
    </border>
    <border>
      <left style="medium">
        <color rgb="FF000000"/>
      </left>
      <right/>
      <top/>
      <bottom style="medium">
        <color indexed="64"/>
      </bottom>
      <diagonal/>
    </border>
    <border>
      <left style="medium">
        <color rgb="FF000000"/>
      </left>
      <right/>
      <top style="thin">
        <color rgb="FF000000"/>
      </top>
      <bottom/>
      <diagonal/>
    </border>
    <border>
      <left style="medium">
        <color rgb="FF000000"/>
      </left>
      <right/>
      <top style="thin">
        <color indexed="64"/>
      </top>
      <bottom/>
      <diagonal/>
    </border>
    <border>
      <left style="thin">
        <color indexed="64"/>
      </left>
      <right style="medium">
        <color indexed="64"/>
      </right>
      <top style="thin">
        <color indexed="64"/>
      </top>
      <bottom/>
      <diagonal/>
    </border>
    <border>
      <left style="medium">
        <color rgb="FF000000"/>
      </left>
      <right style="medium">
        <color rgb="FF000000"/>
      </right>
      <top style="medium">
        <color indexed="64"/>
      </top>
      <bottom/>
      <diagonal/>
    </border>
    <border>
      <left/>
      <right/>
      <top style="medium">
        <color rgb="FF000000"/>
      </top>
      <bottom style="medium">
        <color indexed="64"/>
      </bottom>
      <diagonal/>
    </border>
    <border>
      <left style="medium">
        <color rgb="FF000000"/>
      </left>
      <right style="thin">
        <color rgb="FF000000"/>
      </right>
      <top style="thin">
        <color rgb="FF000000"/>
      </top>
      <bottom style="thin">
        <color rgb="FF000000"/>
      </bottom>
      <diagonal/>
    </border>
  </borders>
  <cellStyleXfs count="11">
    <xf numFmtId="0" fontId="0" fillId="0" borderId="0"/>
    <xf numFmtId="43"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15" fillId="14" borderId="0" applyNumberFormat="0" applyBorder="0" applyAlignment="0" applyProtection="0"/>
    <xf numFmtId="0" fontId="16" fillId="15" borderId="0" applyNumberFormat="0" applyBorder="0" applyAlignment="0" applyProtection="0"/>
    <xf numFmtId="0" fontId="20" fillId="16" borderId="0" applyNumberFormat="0" applyBorder="0" applyAlignment="0" applyProtection="0"/>
    <xf numFmtId="0" fontId="3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962">
    <xf numFmtId="0" fontId="0" fillId="0" borderId="0" xfId="0"/>
    <xf numFmtId="0" fontId="2" fillId="0" borderId="0" xfId="0" applyFont="1"/>
    <xf numFmtId="3" fontId="0" fillId="0" borderId="0" xfId="0" applyNumberFormat="1"/>
    <xf numFmtId="0" fontId="0" fillId="0" borderId="2" xfId="0" applyBorder="1"/>
    <xf numFmtId="0" fontId="0" fillId="0" borderId="3" xfId="0" applyBorder="1"/>
    <xf numFmtId="3" fontId="0" fillId="0" borderId="4" xfId="0" applyNumberFormat="1"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2" fillId="0" borderId="11" xfId="0" applyFont="1" applyBorder="1"/>
    <xf numFmtId="0" fontId="2" fillId="0" borderId="1" xfId="0" applyFont="1" applyBorder="1"/>
    <xf numFmtId="0" fontId="0" fillId="0" borderId="13" xfId="0" applyBorder="1"/>
    <xf numFmtId="0" fontId="0" fillId="0" borderId="14" xfId="0" applyBorder="1"/>
    <xf numFmtId="0" fontId="0" fillId="0" borderId="16" xfId="0" applyBorder="1"/>
    <xf numFmtId="0" fontId="0" fillId="0" borderId="8" xfId="0" applyBorder="1" applyAlignment="1">
      <alignment horizontal="left" vertical="center"/>
    </xf>
    <xf numFmtId="0" fontId="0" fillId="0" borderId="13" xfId="0" applyBorder="1" applyAlignment="1">
      <alignment horizontal="left" vertical="center"/>
    </xf>
    <xf numFmtId="0" fontId="2" fillId="0" borderId="7" xfId="0" applyFont="1" applyBorder="1"/>
    <xf numFmtId="3" fontId="0" fillId="0" borderId="17" xfId="0" applyNumberFormat="1" applyBorder="1"/>
    <xf numFmtId="3" fontId="0" fillId="0" borderId="12" xfId="0" applyNumberFormat="1" applyBorder="1"/>
    <xf numFmtId="3" fontId="0" fillId="0" borderId="15" xfId="0" applyNumberFormat="1" applyBorder="1"/>
    <xf numFmtId="3" fontId="0" fillId="0" borderId="7" xfId="0" applyNumberFormat="1" applyBorder="1"/>
    <xf numFmtId="165" fontId="0" fillId="0" borderId="18" xfId="0" applyNumberFormat="1" applyBorder="1"/>
    <xf numFmtId="0" fontId="0" fillId="0" borderId="20" xfId="0" applyBorder="1"/>
    <xf numFmtId="3" fontId="0" fillId="0" borderId="19" xfId="0" applyNumberFormat="1" applyBorder="1"/>
    <xf numFmtId="0" fontId="0" fillId="2" borderId="0" xfId="0" applyFill="1"/>
    <xf numFmtId="0" fontId="0" fillId="2" borderId="2" xfId="0" applyFill="1" applyBorder="1"/>
    <xf numFmtId="3" fontId="0" fillId="2" borderId="0" xfId="0" applyNumberFormat="1" applyFill="1"/>
    <xf numFmtId="0" fontId="0" fillId="2" borderId="5" xfId="0" applyFill="1" applyBorder="1"/>
    <xf numFmtId="0" fontId="0" fillId="3" borderId="0" xfId="0" applyFill="1"/>
    <xf numFmtId="0" fontId="0" fillId="3" borderId="2" xfId="0" applyFill="1" applyBorder="1"/>
    <xf numFmtId="3" fontId="0" fillId="3" borderId="0" xfId="0" applyNumberFormat="1" applyFill="1"/>
    <xf numFmtId="0" fontId="0" fillId="3" borderId="5" xfId="0" applyFill="1" applyBorder="1"/>
    <xf numFmtId="0" fontId="0" fillId="0" borderId="0" xfId="0" applyAlignment="1">
      <alignment horizontal="right"/>
    </xf>
    <xf numFmtId="0" fontId="2" fillId="0" borderId="9" xfId="0" applyFont="1" applyBorder="1"/>
    <xf numFmtId="3" fontId="0" fillId="0" borderId="18" xfId="0" applyNumberFormat="1" applyBorder="1"/>
    <xf numFmtId="0" fontId="0" fillId="0" borderId="10" xfId="0" applyBorder="1" applyAlignment="1">
      <alignment horizontal="left"/>
    </xf>
    <xf numFmtId="0" fontId="0" fillId="0" borderId="10" xfId="0" applyBorder="1" applyAlignment="1">
      <alignment horizontal="left" vertical="top"/>
    </xf>
    <xf numFmtId="0" fontId="2" fillId="0" borderId="11" xfId="0" applyFont="1" applyBorder="1" applyAlignment="1">
      <alignment vertical="top"/>
    </xf>
    <xf numFmtId="0" fontId="2" fillId="0" borderId="1" xfId="0" applyFont="1" applyBorder="1" applyAlignment="1">
      <alignment vertical="top"/>
    </xf>
    <xf numFmtId="0" fontId="2" fillId="0" borderId="7" xfId="0" applyFont="1" applyBorder="1" applyAlignment="1">
      <alignment vertical="top" wrapText="1"/>
    </xf>
    <xf numFmtId="3" fontId="0" fillId="4" borderId="17" xfId="0" applyNumberFormat="1" applyFill="1" applyBorder="1"/>
    <xf numFmtId="0" fontId="2" fillId="0" borderId="21" xfId="0" applyFont="1" applyBorder="1"/>
    <xf numFmtId="0" fontId="0" fillId="0" borderId="22" xfId="0" applyBorder="1"/>
    <xf numFmtId="0" fontId="0" fillId="0" borderId="23" xfId="0" applyBorder="1"/>
    <xf numFmtId="0" fontId="0" fillId="0" borderId="24" xfId="0" applyBorder="1"/>
    <xf numFmtId="0" fontId="2" fillId="0" borderId="25" xfId="0" applyFont="1" applyBorder="1"/>
    <xf numFmtId="0" fontId="0" fillId="0" borderId="26" xfId="0" applyBorder="1"/>
    <xf numFmtId="0" fontId="0" fillId="0" borderId="27" xfId="0" applyBorder="1"/>
    <xf numFmtId="0" fontId="0" fillId="0" borderId="28" xfId="0" applyBorder="1"/>
    <xf numFmtId="0" fontId="2" fillId="0" borderId="29" xfId="0" applyFont="1" applyBorder="1"/>
    <xf numFmtId="0" fontId="0" fillId="0" borderId="30" xfId="0" applyBorder="1"/>
    <xf numFmtId="0" fontId="0" fillId="0" borderId="31" xfId="0" applyBorder="1"/>
    <xf numFmtId="0" fontId="0" fillId="0" borderId="32" xfId="0" applyBorder="1"/>
    <xf numFmtId="0" fontId="0" fillId="0" borderId="34" xfId="0" applyBorder="1" applyAlignment="1">
      <alignment horizontal="left" vertical="top"/>
    </xf>
    <xf numFmtId="0" fontId="0" fillId="0" borderId="34" xfId="0" applyBorder="1"/>
    <xf numFmtId="0" fontId="0" fillId="4" borderId="0" xfId="0" applyFill="1"/>
    <xf numFmtId="3" fontId="2" fillId="0" borderId="7" xfId="0" applyNumberFormat="1" applyFont="1" applyBorder="1"/>
    <xf numFmtId="0" fontId="0" fillId="0" borderId="18" xfId="0" applyBorder="1" applyAlignment="1">
      <alignment horizontal="left" vertical="top"/>
    </xf>
    <xf numFmtId="3" fontId="0" fillId="5" borderId="17" xfId="0" applyNumberFormat="1" applyFill="1" applyBorder="1"/>
    <xf numFmtId="3" fontId="0" fillId="6" borderId="15" xfId="0" applyNumberFormat="1" applyFill="1" applyBorder="1"/>
    <xf numFmtId="3" fontId="0" fillId="6" borderId="17" xfId="0" applyNumberFormat="1" applyFill="1" applyBorder="1"/>
    <xf numFmtId="0" fontId="0" fillId="6" borderId="0" xfId="0" applyFill="1"/>
    <xf numFmtId="0" fontId="0" fillId="5" borderId="0" xfId="0" applyFill="1"/>
    <xf numFmtId="3" fontId="0" fillId="2" borderId="17" xfId="0" applyNumberFormat="1" applyFill="1" applyBorder="1"/>
    <xf numFmtId="0" fontId="0" fillId="0" borderId="26" xfId="0" applyBorder="1" applyAlignment="1">
      <alignment wrapText="1"/>
    </xf>
    <xf numFmtId="0" fontId="0" fillId="0" borderId="17" xfId="0" applyBorder="1"/>
    <xf numFmtId="0" fontId="0" fillId="0" borderId="12" xfId="0" applyBorder="1"/>
    <xf numFmtId="165" fontId="0" fillId="0" borderId="0" xfId="0" applyNumberFormat="1"/>
    <xf numFmtId="17" fontId="0" fillId="3" borderId="0" xfId="0" applyNumberFormat="1" applyFill="1"/>
    <xf numFmtId="17" fontId="0" fillId="0" borderId="0" xfId="0" applyNumberFormat="1"/>
    <xf numFmtId="0" fontId="6" fillId="0" borderId="0" xfId="0" applyFont="1"/>
    <xf numFmtId="3" fontId="6" fillId="0" borderId="12" xfId="0" applyNumberFormat="1" applyFont="1" applyBorder="1"/>
    <xf numFmtId="3" fontId="6" fillId="0" borderId="0" xfId="0" applyNumberFormat="1" applyFont="1"/>
    <xf numFmtId="3" fontId="6" fillId="2" borderId="0" xfId="0" applyNumberFormat="1" applyFont="1" applyFill="1"/>
    <xf numFmtId="3" fontId="0" fillId="0" borderId="36" xfId="0" applyNumberFormat="1" applyBorder="1"/>
    <xf numFmtId="0" fontId="0" fillId="0" borderId="4" xfId="0" applyBorder="1"/>
    <xf numFmtId="3" fontId="0" fillId="0" borderId="8" xfId="0" applyNumberFormat="1" applyBorder="1"/>
    <xf numFmtId="3" fontId="0" fillId="0" borderId="13" xfId="0" applyNumberFormat="1" applyBorder="1"/>
    <xf numFmtId="3" fontId="0" fillId="0" borderId="14" xfId="0" applyNumberFormat="1" applyBorder="1"/>
    <xf numFmtId="3" fontId="0" fillId="0" borderId="11" xfId="0" applyNumberFormat="1" applyBorder="1"/>
    <xf numFmtId="3" fontId="0" fillId="0" borderId="9" xfId="0" applyNumberFormat="1" applyBorder="1"/>
    <xf numFmtId="165" fontId="0" fillId="0" borderId="9" xfId="0" applyNumberFormat="1" applyBorder="1"/>
    <xf numFmtId="3" fontId="0" fillId="0" borderId="32" xfId="0" applyNumberFormat="1" applyBorder="1"/>
    <xf numFmtId="0" fontId="0" fillId="0" borderId="0" xfId="0" applyAlignment="1">
      <alignment wrapText="1"/>
    </xf>
    <xf numFmtId="0" fontId="0" fillId="9" borderId="0" xfId="0" applyFill="1"/>
    <xf numFmtId="14" fontId="0" fillId="9" borderId="0" xfId="0" applyNumberFormat="1" applyFill="1"/>
    <xf numFmtId="3" fontId="0" fillId="9" borderId="0" xfId="0" applyNumberFormat="1" applyFill="1"/>
    <xf numFmtId="3" fontId="6" fillId="9" borderId="0" xfId="0" applyNumberFormat="1" applyFont="1" applyFill="1"/>
    <xf numFmtId="0" fontId="0" fillId="9" borderId="5" xfId="0" applyFill="1" applyBorder="1"/>
    <xf numFmtId="0" fontId="2" fillId="0" borderId="11" xfId="0" applyFont="1" applyBorder="1" applyAlignment="1">
      <alignment wrapText="1"/>
    </xf>
    <xf numFmtId="0" fontId="2" fillId="0" borderId="1" xfId="0" applyFont="1" applyBorder="1" applyAlignment="1">
      <alignment wrapText="1"/>
    </xf>
    <xf numFmtId="0" fontId="2" fillId="0" borderId="7" xfId="0" applyFont="1" applyBorder="1" applyAlignment="1">
      <alignment wrapText="1"/>
    </xf>
    <xf numFmtId="3" fontId="2" fillId="0" borderId="35" xfId="0" applyNumberFormat="1" applyFont="1" applyBorder="1" applyAlignment="1">
      <alignment wrapText="1"/>
    </xf>
    <xf numFmtId="3" fontId="2" fillId="0" borderId="2" xfId="0" applyNumberFormat="1" applyFont="1" applyBorder="1" applyAlignment="1">
      <alignment wrapText="1"/>
    </xf>
    <xf numFmtId="0" fontId="0" fillId="9" borderId="2" xfId="0" applyFill="1" applyBorder="1" applyAlignment="1">
      <alignment wrapText="1"/>
    </xf>
    <xf numFmtId="0" fontId="0" fillId="0" borderId="2" xfId="0" applyBorder="1" applyAlignment="1">
      <alignment wrapText="1"/>
    </xf>
    <xf numFmtId="0" fontId="0" fillId="2" borderId="2" xfId="0" applyFill="1" applyBorder="1" applyAlignment="1">
      <alignment wrapText="1"/>
    </xf>
    <xf numFmtId="0" fontId="0" fillId="0" borderId="3" xfId="0" applyBorder="1" applyAlignment="1">
      <alignment wrapText="1"/>
    </xf>
    <xf numFmtId="0" fontId="0" fillId="0" borderId="38" xfId="0" applyBorder="1"/>
    <xf numFmtId="0" fontId="0" fillId="0" borderId="15" xfId="0" applyBorder="1"/>
    <xf numFmtId="0" fontId="0" fillId="10" borderId="0" xfId="0" applyFill="1"/>
    <xf numFmtId="0" fontId="0" fillId="10" borderId="17" xfId="0" applyFill="1" applyBorder="1"/>
    <xf numFmtId="3" fontId="0" fillId="10" borderId="17" xfId="0" applyNumberFormat="1" applyFill="1" applyBorder="1"/>
    <xf numFmtId="0" fontId="0" fillId="10" borderId="30" xfId="0" applyFill="1" applyBorder="1"/>
    <xf numFmtId="0" fontId="0" fillId="11" borderId="0" xfId="0" applyFill="1"/>
    <xf numFmtId="3" fontId="0" fillId="11" borderId="17" xfId="0" applyNumberFormat="1" applyFill="1" applyBorder="1"/>
    <xf numFmtId="0" fontId="0" fillId="11" borderId="30" xfId="0" applyFill="1" applyBorder="1"/>
    <xf numFmtId="0" fontId="0" fillId="10" borderId="14" xfId="0" applyFill="1" applyBorder="1"/>
    <xf numFmtId="0" fontId="0" fillId="10" borderId="16" xfId="0" applyFill="1" applyBorder="1"/>
    <xf numFmtId="0" fontId="0" fillId="10" borderId="32" xfId="0" applyFill="1" applyBorder="1"/>
    <xf numFmtId="3" fontId="0" fillId="10" borderId="15" xfId="0" applyNumberFormat="1" applyFill="1" applyBorder="1"/>
    <xf numFmtId="3" fontId="0" fillId="4" borderId="0" xfId="0" applyNumberFormat="1" applyFill="1"/>
    <xf numFmtId="0" fontId="0" fillId="11" borderId="2" xfId="0" applyFill="1" applyBorder="1"/>
    <xf numFmtId="3" fontId="0" fillId="11" borderId="19" xfId="0" applyNumberFormat="1" applyFill="1" applyBorder="1"/>
    <xf numFmtId="0" fontId="0" fillId="11" borderId="33" xfId="0" applyFill="1" applyBorder="1"/>
    <xf numFmtId="0" fontId="2" fillId="0" borderId="0" xfId="0" applyFont="1" applyAlignment="1">
      <alignment wrapText="1"/>
    </xf>
    <xf numFmtId="0" fontId="0" fillId="0" borderId="43" xfId="0" applyBorder="1"/>
    <xf numFmtId="0" fontId="0" fillId="0" borderId="18" xfId="0" applyBorder="1" applyAlignment="1">
      <alignment horizontal="left"/>
    </xf>
    <xf numFmtId="0" fontId="2" fillId="0" borderId="7" xfId="0" applyFont="1" applyBorder="1" applyAlignment="1">
      <alignment vertical="center"/>
    </xf>
    <xf numFmtId="0" fontId="2" fillId="0" borderId="11" xfId="0" applyFont="1" applyBorder="1" applyAlignment="1">
      <alignment vertical="top" wrapText="1"/>
    </xf>
    <xf numFmtId="0" fontId="2" fillId="0" borderId="10" xfId="0" applyFont="1" applyBorder="1" applyAlignment="1">
      <alignment horizontal="left"/>
    </xf>
    <xf numFmtId="0" fontId="2" fillId="0" borderId="16" xfId="0" applyFont="1" applyBorder="1"/>
    <xf numFmtId="3" fontId="0" fillId="0" borderId="0" xfId="0" applyNumberFormat="1" applyAlignment="1">
      <alignment wrapText="1"/>
    </xf>
    <xf numFmtId="1" fontId="0" fillId="0" borderId="17" xfId="0" applyNumberFormat="1" applyBorder="1"/>
    <xf numFmtId="14" fontId="2" fillId="0" borderId="0" xfId="0" applyNumberFormat="1" applyFont="1" applyAlignment="1">
      <alignment wrapText="1"/>
    </xf>
    <xf numFmtId="1" fontId="0" fillId="0" borderId="12" xfId="0" applyNumberFormat="1" applyBorder="1"/>
    <xf numFmtId="1" fontId="0" fillId="0" borderId="15" xfId="0" applyNumberFormat="1" applyBorder="1"/>
    <xf numFmtId="1" fontId="0" fillId="0" borderId="18" xfId="0" applyNumberFormat="1" applyBorder="1" applyAlignment="1">
      <alignment horizontal="left"/>
    </xf>
    <xf numFmtId="3" fontId="0" fillId="2" borderId="8" xfId="0" applyNumberFormat="1" applyFill="1" applyBorder="1"/>
    <xf numFmtId="0" fontId="0" fillId="0" borderId="36" xfId="0" applyBorder="1"/>
    <xf numFmtId="0" fontId="0" fillId="0" borderId="47" xfId="0" applyBorder="1"/>
    <xf numFmtId="44" fontId="2" fillId="0" borderId="7" xfId="2" applyFont="1" applyBorder="1"/>
    <xf numFmtId="0" fontId="2" fillId="2" borderId="7" xfId="0" applyFont="1" applyFill="1" applyBorder="1" applyAlignment="1">
      <alignment vertical="top" wrapText="1"/>
    </xf>
    <xf numFmtId="44" fontId="0" fillId="0" borderId="18" xfId="2" applyFont="1" applyBorder="1"/>
    <xf numFmtId="3" fontId="0" fillId="0" borderId="16" xfId="0" applyNumberFormat="1" applyBorder="1"/>
    <xf numFmtId="44" fontId="0" fillId="0" borderId="17" xfId="2" applyFont="1" applyBorder="1"/>
    <xf numFmtId="14" fontId="0" fillId="0" borderId="0" xfId="0" applyNumberFormat="1"/>
    <xf numFmtId="0" fontId="0" fillId="0" borderId="24" xfId="0" applyBorder="1" applyAlignment="1">
      <alignment horizontal="left" vertical="center"/>
    </xf>
    <xf numFmtId="3" fontId="0" fillId="0" borderId="46" xfId="0" applyNumberFormat="1" applyBorder="1"/>
    <xf numFmtId="44" fontId="0" fillId="0" borderId="9" xfId="2" applyFont="1" applyBorder="1" applyAlignment="1">
      <alignment horizontal="center"/>
    </xf>
    <xf numFmtId="17" fontId="0" fillId="7" borderId="11" xfId="0" applyNumberFormat="1" applyFill="1" applyBorder="1"/>
    <xf numFmtId="17" fontId="0" fillId="7" borderId="1" xfId="0" applyNumberFormat="1" applyFill="1" applyBorder="1"/>
    <xf numFmtId="17" fontId="0" fillId="8" borderId="1" xfId="0" applyNumberFormat="1" applyFill="1" applyBorder="1"/>
    <xf numFmtId="17" fontId="0" fillId="8" borderId="39" xfId="0" applyNumberFormat="1" applyFill="1" applyBorder="1"/>
    <xf numFmtId="0" fontId="0" fillId="7" borderId="43" xfId="0" applyFill="1" applyBorder="1"/>
    <xf numFmtId="0" fontId="0" fillId="7" borderId="42" xfId="0" applyFill="1" applyBorder="1"/>
    <xf numFmtId="0" fontId="0" fillId="8" borderId="43" xfId="0" applyFill="1" applyBorder="1"/>
    <xf numFmtId="0" fontId="0" fillId="8" borderId="45" xfId="0" applyFill="1" applyBorder="1"/>
    <xf numFmtId="17" fontId="2" fillId="7" borderId="43" xfId="0" applyNumberFormat="1" applyFont="1" applyFill="1" applyBorder="1" applyAlignment="1">
      <alignment wrapText="1"/>
    </xf>
    <xf numFmtId="0" fontId="2" fillId="8" borderId="43" xfId="0" applyFont="1" applyFill="1" applyBorder="1" applyAlignment="1">
      <alignment wrapText="1"/>
    </xf>
    <xf numFmtId="44" fontId="0" fillId="0" borderId="7" xfId="2" applyFont="1" applyBorder="1"/>
    <xf numFmtId="0" fontId="0" fillId="2" borderId="8" xfId="0" applyFill="1" applyBorder="1"/>
    <xf numFmtId="17" fontId="0" fillId="7" borderId="39" xfId="0" applyNumberFormat="1" applyFill="1" applyBorder="1"/>
    <xf numFmtId="3" fontId="0" fillId="0" borderId="1" xfId="0" applyNumberFormat="1" applyBorder="1"/>
    <xf numFmtId="3" fontId="0" fillId="0" borderId="39" xfId="0" applyNumberFormat="1" applyBorder="1"/>
    <xf numFmtId="3" fontId="0" fillId="0" borderId="15" xfId="0" applyNumberFormat="1" applyBorder="1" applyAlignment="1">
      <alignment horizontal="right"/>
    </xf>
    <xf numFmtId="0" fontId="2" fillId="0" borderId="0" xfId="0" applyFont="1" applyAlignment="1">
      <alignment horizontal="center" wrapText="1"/>
    </xf>
    <xf numFmtId="17" fontId="0" fillId="8" borderId="11" xfId="0" applyNumberFormat="1" applyFill="1" applyBorder="1"/>
    <xf numFmtId="0" fontId="2" fillId="0" borderId="14" xfId="0" applyFont="1" applyBorder="1"/>
    <xf numFmtId="0" fontId="2" fillId="0" borderId="7" xfId="0" applyFont="1" applyBorder="1" applyAlignment="1">
      <alignment vertical="center" wrapText="1"/>
    </xf>
    <xf numFmtId="3" fontId="0" fillId="0" borderId="10" xfId="0" applyNumberFormat="1" applyBorder="1"/>
    <xf numFmtId="165" fontId="0" fillId="0" borderId="10" xfId="0" applyNumberFormat="1" applyBorder="1"/>
    <xf numFmtId="1" fontId="0" fillId="0" borderId="15" xfId="0" applyNumberFormat="1" applyBorder="1" applyAlignment="1">
      <alignment horizontal="right"/>
    </xf>
    <xf numFmtId="44" fontId="2" fillId="0" borderId="7" xfId="0" applyNumberFormat="1" applyFont="1" applyBorder="1"/>
    <xf numFmtId="44" fontId="2" fillId="0" borderId="18" xfId="2" applyFont="1" applyBorder="1" applyAlignment="1">
      <alignment horizontal="center"/>
    </xf>
    <xf numFmtId="3" fontId="10" fillId="0" borderId="17" xfId="0" applyNumberFormat="1" applyFont="1" applyBorder="1"/>
    <xf numFmtId="0" fontId="11" fillId="0" borderId="8" xfId="0" applyFont="1" applyBorder="1"/>
    <xf numFmtId="0" fontId="11" fillId="0" borderId="0" xfId="0" applyFont="1"/>
    <xf numFmtId="17" fontId="0" fillId="8" borderId="43" xfId="0" applyNumberFormat="1" applyFill="1" applyBorder="1"/>
    <xf numFmtId="17" fontId="0" fillId="7" borderId="42" xfId="0" applyNumberFormat="1" applyFill="1" applyBorder="1"/>
    <xf numFmtId="17" fontId="0" fillId="7" borderId="43" xfId="0" applyNumberFormat="1" applyFill="1" applyBorder="1"/>
    <xf numFmtId="3" fontId="0" fillId="0" borderId="42" xfId="0" applyNumberFormat="1" applyBorder="1"/>
    <xf numFmtId="3" fontId="0" fillId="0" borderId="43" xfId="0" applyNumberFormat="1" applyBorder="1"/>
    <xf numFmtId="0" fontId="0" fillId="0" borderId="45" xfId="0" applyBorder="1"/>
    <xf numFmtId="3" fontId="0" fillId="0" borderId="12" xfId="0" applyNumberFormat="1" applyBorder="1" applyAlignment="1">
      <alignment horizontal="right"/>
    </xf>
    <xf numFmtId="3" fontId="0" fillId="12" borderId="8" xfId="0" applyNumberFormat="1" applyFill="1" applyBorder="1"/>
    <xf numFmtId="3" fontId="0" fillId="12" borderId="0" xfId="0" applyNumberFormat="1" applyFill="1"/>
    <xf numFmtId="0" fontId="2" fillId="0" borderId="32" xfId="0" applyFont="1" applyBorder="1" applyAlignment="1">
      <alignment wrapText="1"/>
    </xf>
    <xf numFmtId="0" fontId="0" fillId="0" borderId="32" xfId="0" applyBorder="1" applyAlignment="1">
      <alignment wrapText="1"/>
    </xf>
    <xf numFmtId="8" fontId="0" fillId="0" borderId="32" xfId="0" applyNumberFormat="1" applyBorder="1" applyAlignment="1">
      <alignment wrapText="1"/>
    </xf>
    <xf numFmtId="3" fontId="9" fillId="2" borderId="0" xfId="0" applyNumberFormat="1" applyFont="1" applyFill="1"/>
    <xf numFmtId="0" fontId="9" fillId="0" borderId="10" xfId="0" applyFont="1" applyBorder="1" applyAlignment="1">
      <alignment horizontal="left"/>
    </xf>
    <xf numFmtId="0" fontId="2" fillId="7" borderId="43" xfId="0" applyFont="1" applyFill="1" applyBorder="1" applyAlignment="1">
      <alignment wrapText="1"/>
    </xf>
    <xf numFmtId="0" fontId="0" fillId="12" borderId="0" xfId="0" applyFill="1"/>
    <xf numFmtId="0" fontId="2" fillId="12" borderId="0" xfId="0" applyFont="1" applyFill="1"/>
    <xf numFmtId="0" fontId="2" fillId="12" borderId="11" xfId="0" applyFont="1" applyFill="1" applyBorder="1" applyAlignment="1">
      <alignment vertical="top"/>
    </xf>
    <xf numFmtId="0" fontId="2" fillId="12" borderId="1" xfId="0" applyFont="1" applyFill="1" applyBorder="1" applyAlignment="1">
      <alignment vertical="top"/>
    </xf>
    <xf numFmtId="0" fontId="2" fillId="12" borderId="7" xfId="0" applyFont="1" applyFill="1" applyBorder="1" applyAlignment="1">
      <alignment vertical="center"/>
    </xf>
    <xf numFmtId="0" fontId="2" fillId="12" borderId="11" xfId="0" applyFont="1" applyFill="1" applyBorder="1" applyAlignment="1">
      <alignment vertical="top" wrapText="1"/>
    </xf>
    <xf numFmtId="0" fontId="2" fillId="12" borderId="7" xfId="0" applyFont="1" applyFill="1" applyBorder="1" applyAlignment="1">
      <alignment vertical="top" wrapText="1"/>
    </xf>
    <xf numFmtId="0" fontId="0" fillId="12" borderId="8" xfId="0" applyFill="1" applyBorder="1"/>
    <xf numFmtId="3" fontId="0" fillId="12" borderId="17" xfId="0" applyNumberFormat="1" applyFill="1" applyBorder="1"/>
    <xf numFmtId="3" fontId="0" fillId="12" borderId="43" xfId="0" applyNumberFormat="1" applyFill="1" applyBorder="1"/>
    <xf numFmtId="0" fontId="0" fillId="12" borderId="43" xfId="0" applyFill="1" applyBorder="1"/>
    <xf numFmtId="0" fontId="0" fillId="12" borderId="13" xfId="0" applyFill="1" applyBorder="1"/>
    <xf numFmtId="0" fontId="0" fillId="12" borderId="5" xfId="0" applyFill="1" applyBorder="1"/>
    <xf numFmtId="3" fontId="0" fillId="12" borderId="12" xfId="0" applyNumberFormat="1" applyFill="1" applyBorder="1"/>
    <xf numFmtId="0" fontId="0" fillId="12" borderId="14" xfId="0" applyFill="1" applyBorder="1"/>
    <xf numFmtId="0" fontId="0" fillId="12" borderId="16" xfId="0" applyFill="1" applyBorder="1"/>
    <xf numFmtId="3" fontId="0" fillId="12" borderId="15" xfId="0" applyNumberFormat="1" applyFill="1" applyBorder="1"/>
    <xf numFmtId="3" fontId="14" fillId="12" borderId="16" xfId="0" applyNumberFormat="1" applyFont="1" applyFill="1" applyBorder="1"/>
    <xf numFmtId="3" fontId="0" fillId="12" borderId="16" xfId="0" applyNumberFormat="1" applyFill="1" applyBorder="1"/>
    <xf numFmtId="0" fontId="0" fillId="12" borderId="8" xfId="0" applyFill="1" applyBorder="1" applyAlignment="1">
      <alignment horizontal="left" vertical="center"/>
    </xf>
    <xf numFmtId="0" fontId="0" fillId="12" borderId="13" xfId="0" applyFill="1" applyBorder="1" applyAlignment="1">
      <alignment horizontal="left" vertical="center"/>
    </xf>
    <xf numFmtId="3" fontId="0" fillId="12" borderId="14" xfId="0" applyNumberFormat="1" applyFill="1" applyBorder="1"/>
    <xf numFmtId="3" fontId="0" fillId="12" borderId="46" xfId="0" applyNumberFormat="1" applyFill="1" applyBorder="1"/>
    <xf numFmtId="0" fontId="2" fillId="12" borderId="11" xfId="0" applyFont="1" applyFill="1" applyBorder="1"/>
    <xf numFmtId="0" fontId="2" fillId="12" borderId="1" xfId="0" applyFont="1" applyFill="1" applyBorder="1"/>
    <xf numFmtId="3" fontId="0" fillId="12" borderId="7" xfId="0" applyNumberFormat="1" applyFill="1" applyBorder="1"/>
    <xf numFmtId="3" fontId="0" fillId="12" borderId="11" xfId="0" applyNumberFormat="1" applyFill="1" applyBorder="1"/>
    <xf numFmtId="3" fontId="0" fillId="12" borderId="1" xfId="0" applyNumberFormat="1" applyFill="1" applyBorder="1"/>
    <xf numFmtId="3" fontId="0" fillId="12" borderId="39" xfId="0" applyNumberFormat="1" applyFill="1" applyBorder="1"/>
    <xf numFmtId="0" fontId="0" fillId="12" borderId="9" xfId="0" applyFill="1" applyBorder="1"/>
    <xf numFmtId="0" fontId="9" fillId="12" borderId="10" xfId="0" applyFont="1" applyFill="1" applyBorder="1" applyAlignment="1">
      <alignment horizontal="left"/>
    </xf>
    <xf numFmtId="3" fontId="0" fillId="12" borderId="18" xfId="0" applyNumberFormat="1" applyFill="1" applyBorder="1"/>
    <xf numFmtId="0" fontId="2" fillId="12" borderId="9" xfId="0" applyFont="1" applyFill="1" applyBorder="1"/>
    <xf numFmtId="0" fontId="0" fillId="12" borderId="10" xfId="0" applyFill="1" applyBorder="1"/>
    <xf numFmtId="165" fontId="0" fillId="12" borderId="18" xfId="0" applyNumberFormat="1" applyFill="1" applyBorder="1"/>
    <xf numFmtId="0" fontId="0" fillId="12" borderId="47" xfId="0" applyFill="1" applyBorder="1"/>
    <xf numFmtId="0" fontId="2" fillId="8" borderId="43" xfId="0" applyFont="1" applyFill="1" applyBorder="1"/>
    <xf numFmtId="3" fontId="14" fillId="12" borderId="0" xfId="0" applyNumberFormat="1" applyFont="1" applyFill="1"/>
    <xf numFmtId="166" fontId="13" fillId="12" borderId="8" xfId="0" applyNumberFormat="1" applyFont="1" applyFill="1" applyBorder="1"/>
    <xf numFmtId="3" fontId="14" fillId="12" borderId="14" xfId="0" applyNumberFormat="1" applyFont="1" applyFill="1" applyBorder="1"/>
    <xf numFmtId="3" fontId="14" fillId="12" borderId="8" xfId="0" applyNumberFormat="1" applyFont="1" applyFill="1" applyBorder="1"/>
    <xf numFmtId="3" fontId="0" fillId="12" borderId="36" xfId="0" applyNumberFormat="1" applyFill="1" applyBorder="1"/>
    <xf numFmtId="3" fontId="0" fillId="2" borderId="16" xfId="0" applyNumberFormat="1" applyFill="1" applyBorder="1"/>
    <xf numFmtId="0" fontId="2" fillId="8" borderId="43" xfId="0" applyFont="1" applyFill="1" applyBorder="1" applyAlignment="1">
      <alignment vertical="center" wrapText="1"/>
    </xf>
    <xf numFmtId="0" fontId="2" fillId="0" borderId="0" xfId="0" applyFont="1" applyAlignment="1">
      <alignment horizontal="left" vertical="top" wrapText="1"/>
    </xf>
    <xf numFmtId="0" fontId="0" fillId="7" borderId="45" xfId="0" applyFill="1" applyBorder="1"/>
    <xf numFmtId="0" fontId="0" fillId="12" borderId="36" xfId="0" applyFill="1" applyBorder="1"/>
    <xf numFmtId="0" fontId="2" fillId="7" borderId="43" xfId="0" applyFont="1" applyFill="1" applyBorder="1"/>
    <xf numFmtId="0" fontId="0" fillId="12" borderId="20" xfId="0" applyFill="1" applyBorder="1"/>
    <xf numFmtId="0" fontId="0" fillId="12" borderId="46" xfId="0" applyFill="1" applyBorder="1"/>
    <xf numFmtId="3" fontId="0" fillId="12" borderId="45" xfId="0" applyNumberFormat="1" applyFill="1" applyBorder="1"/>
    <xf numFmtId="3" fontId="14" fillId="12" borderId="46" xfId="0" applyNumberFormat="1" applyFont="1" applyFill="1" applyBorder="1"/>
    <xf numFmtId="3" fontId="14" fillId="12" borderId="36" xfId="0" applyNumberFormat="1" applyFont="1" applyFill="1" applyBorder="1"/>
    <xf numFmtId="1" fontId="0" fillId="2" borderId="8" xfId="0" applyNumberFormat="1" applyFill="1" applyBorder="1"/>
    <xf numFmtId="0" fontId="0" fillId="0" borderId="18" xfId="0" applyBorder="1"/>
    <xf numFmtId="1" fontId="0" fillId="2" borderId="0" xfId="0" applyNumberFormat="1" applyFill="1"/>
    <xf numFmtId="3" fontId="0" fillId="0" borderId="0" xfId="0" applyNumberFormat="1" applyAlignment="1">
      <alignment horizontal="right"/>
    </xf>
    <xf numFmtId="17" fontId="0" fillId="7" borderId="45" xfId="0" applyNumberFormat="1" applyFill="1" applyBorder="1"/>
    <xf numFmtId="0" fontId="14" fillId="2" borderId="0" xfId="0" applyFont="1" applyFill="1"/>
    <xf numFmtId="0" fontId="0" fillId="7" borderId="11" xfId="0" applyFill="1" applyBorder="1"/>
    <xf numFmtId="0" fontId="0" fillId="7" borderId="1" xfId="0" applyFill="1" applyBorder="1"/>
    <xf numFmtId="17" fontId="2" fillId="7" borderId="1" xfId="0" applyNumberFormat="1" applyFont="1" applyFill="1" applyBorder="1" applyAlignment="1">
      <alignment wrapText="1"/>
    </xf>
    <xf numFmtId="0" fontId="0" fillId="8" borderId="1" xfId="0" applyFill="1" applyBorder="1"/>
    <xf numFmtId="0" fontId="2" fillId="8" borderId="1" xfId="0" applyFont="1" applyFill="1" applyBorder="1" applyAlignment="1">
      <alignment wrapText="1"/>
    </xf>
    <xf numFmtId="0" fontId="0" fillId="7" borderId="39" xfId="0" applyFill="1" applyBorder="1"/>
    <xf numFmtId="0" fontId="0" fillId="0" borderId="46" xfId="0" applyBorder="1"/>
    <xf numFmtId="0" fontId="0" fillId="0" borderId="11" xfId="0" applyBorder="1"/>
    <xf numFmtId="0" fontId="0" fillId="0" borderId="1" xfId="0" applyBorder="1"/>
    <xf numFmtId="0" fontId="0" fillId="0" borderId="39" xfId="0" applyBorder="1"/>
    <xf numFmtId="3" fontId="0" fillId="12" borderId="15" xfId="0" applyNumberFormat="1" applyFill="1" applyBorder="1" applyAlignment="1">
      <alignment horizontal="right"/>
    </xf>
    <xf numFmtId="3" fontId="0" fillId="10" borderId="0" xfId="0" applyNumberFormat="1" applyFill="1"/>
    <xf numFmtId="3" fontId="0" fillId="11" borderId="0" xfId="0" applyNumberFormat="1" applyFill="1"/>
    <xf numFmtId="0" fontId="0" fillId="0" borderId="20" xfId="0" applyBorder="1" applyAlignment="1">
      <alignment horizontal="left" vertical="center"/>
    </xf>
    <xf numFmtId="0" fontId="0" fillId="10" borderId="2" xfId="0" applyFill="1" applyBorder="1"/>
    <xf numFmtId="3" fontId="0" fillId="10" borderId="19" xfId="0" applyNumberFormat="1" applyFill="1" applyBorder="1"/>
    <xf numFmtId="0" fontId="0" fillId="2" borderId="14" xfId="0" applyFill="1" applyBorder="1"/>
    <xf numFmtId="0" fontId="0" fillId="10" borderId="33" xfId="0" applyFill="1" applyBorder="1"/>
    <xf numFmtId="0" fontId="0" fillId="2" borderId="16" xfId="0" applyFill="1" applyBorder="1"/>
    <xf numFmtId="3" fontId="0" fillId="0" borderId="44" xfId="0" applyNumberFormat="1" applyBorder="1"/>
    <xf numFmtId="0" fontId="0" fillId="0" borderId="37" xfId="0" applyBorder="1"/>
    <xf numFmtId="0" fontId="0" fillId="0" borderId="40" xfId="0" applyBorder="1"/>
    <xf numFmtId="3" fontId="0" fillId="0" borderId="38" xfId="0" applyNumberFormat="1" applyBorder="1"/>
    <xf numFmtId="0" fontId="2" fillId="7" borderId="1" xfId="0" applyFont="1" applyFill="1" applyBorder="1"/>
    <xf numFmtId="0" fontId="2" fillId="7" borderId="1" xfId="0" applyFont="1" applyFill="1" applyBorder="1" applyAlignment="1">
      <alignment wrapText="1"/>
    </xf>
    <xf numFmtId="3" fontId="0" fillId="0" borderId="45" xfId="0" applyNumberFormat="1" applyBorder="1"/>
    <xf numFmtId="17" fontId="0" fillId="7" borderId="7" xfId="0" applyNumberFormat="1" applyFill="1" applyBorder="1"/>
    <xf numFmtId="17" fontId="0" fillId="7" borderId="38" xfId="0" applyNumberFormat="1" applyFill="1" applyBorder="1"/>
    <xf numFmtId="0" fontId="0" fillId="13" borderId="0" xfId="0" applyFill="1"/>
    <xf numFmtId="3" fontId="0" fillId="0" borderId="49" xfId="0" applyNumberFormat="1" applyBorder="1"/>
    <xf numFmtId="3" fontId="0" fillId="0" borderId="41" xfId="0" applyNumberFormat="1" applyBorder="1"/>
    <xf numFmtId="3" fontId="0" fillId="0" borderId="6" xfId="0" applyNumberFormat="1" applyBorder="1"/>
    <xf numFmtId="17" fontId="0" fillId="8" borderId="48" xfId="0" applyNumberFormat="1" applyFill="1" applyBorder="1"/>
    <xf numFmtId="0" fontId="14" fillId="0" borderId="10" xfId="0" applyFont="1" applyBorder="1" applyAlignment="1">
      <alignment horizontal="left"/>
    </xf>
    <xf numFmtId="3" fontId="0" fillId="13" borderId="0" xfId="0" applyNumberFormat="1" applyFill="1"/>
    <xf numFmtId="0" fontId="2" fillId="7" borderId="39" xfId="0" applyFont="1" applyFill="1" applyBorder="1"/>
    <xf numFmtId="0" fontId="2" fillId="0" borderId="1" xfId="0" applyFont="1" applyBorder="1" applyAlignment="1">
      <alignment horizontal="center" wrapText="1"/>
    </xf>
    <xf numFmtId="0" fontId="12" fillId="0" borderId="0" xfId="0" applyFont="1"/>
    <xf numFmtId="3" fontId="15" fillId="14" borderId="0" xfId="4" applyNumberFormat="1" applyBorder="1"/>
    <xf numFmtId="0" fontId="16" fillId="15" borderId="0" xfId="5"/>
    <xf numFmtId="167" fontId="2" fillId="0" borderId="18" xfId="2" applyNumberFormat="1" applyFont="1" applyBorder="1"/>
    <xf numFmtId="0" fontId="0" fillId="0" borderId="14" xfId="0" applyBorder="1" applyAlignment="1">
      <alignment horizontal="left" vertical="center"/>
    </xf>
    <xf numFmtId="0" fontId="0" fillId="0" borderId="50" xfId="0" applyBorder="1"/>
    <xf numFmtId="0" fontId="0" fillId="0" borderId="51" xfId="0" applyBorder="1"/>
    <xf numFmtId="3" fontId="15" fillId="14" borderId="0" xfId="4" applyNumberFormat="1"/>
    <xf numFmtId="1" fontId="16" fillId="0" borderId="0" xfId="5" applyNumberFormat="1" applyFill="1"/>
    <xf numFmtId="43" fontId="14" fillId="0" borderId="8" xfId="1" applyFont="1" applyBorder="1"/>
    <xf numFmtId="43" fontId="14" fillId="0" borderId="0" xfId="1" applyFont="1"/>
    <xf numFmtId="43" fontId="14" fillId="0" borderId="36" xfId="1" applyFont="1" applyBorder="1"/>
    <xf numFmtId="43" fontId="14" fillId="0" borderId="0" xfId="1" applyFont="1" applyFill="1"/>
    <xf numFmtId="43" fontId="14" fillId="0" borderId="36" xfId="1" applyFont="1" applyFill="1" applyBorder="1"/>
    <xf numFmtId="3" fontId="15" fillId="14" borderId="43" xfId="4" applyNumberFormat="1" applyBorder="1"/>
    <xf numFmtId="0" fontId="15" fillId="14" borderId="16" xfId="4" applyBorder="1"/>
    <xf numFmtId="0" fontId="15" fillId="14" borderId="0" xfId="4"/>
    <xf numFmtId="43" fontId="14" fillId="0" borderId="0" xfId="1" applyFont="1" applyBorder="1"/>
    <xf numFmtId="0" fontId="2" fillId="0" borderId="42" xfId="0" applyFont="1" applyBorder="1" applyAlignment="1">
      <alignment vertical="top" wrapText="1"/>
    </xf>
    <xf numFmtId="3" fontId="0" fillId="0" borderId="52" xfId="0" applyNumberFormat="1" applyBorder="1"/>
    <xf numFmtId="3" fontId="0" fillId="0" borderId="53" xfId="0" applyNumberFormat="1" applyBorder="1"/>
    <xf numFmtId="3" fontId="0" fillId="0" borderId="54" xfId="0" applyNumberFormat="1" applyBorder="1"/>
    <xf numFmtId="3" fontId="0" fillId="0" borderId="55" xfId="0" applyNumberFormat="1" applyBorder="1"/>
    <xf numFmtId="3" fontId="0" fillId="0" borderId="56" xfId="0" applyNumberFormat="1" applyBorder="1"/>
    <xf numFmtId="3" fontId="0" fillId="0" borderId="57" xfId="0" applyNumberFormat="1" applyBorder="1"/>
    <xf numFmtId="165" fontId="0" fillId="0" borderId="57" xfId="0" applyNumberFormat="1" applyBorder="1"/>
    <xf numFmtId="3" fontId="0" fillId="0" borderId="3" xfId="0" applyNumberFormat="1" applyBorder="1"/>
    <xf numFmtId="0" fontId="0" fillId="7" borderId="1" xfId="0" applyFill="1" applyBorder="1" applyAlignment="1">
      <alignment wrapText="1"/>
    </xf>
    <xf numFmtId="1" fontId="0" fillId="0" borderId="0" xfId="0" applyNumberFormat="1"/>
    <xf numFmtId="1" fontId="15" fillId="14" borderId="0" xfId="4" applyNumberFormat="1"/>
    <xf numFmtId="3" fontId="17" fillId="2" borderId="0" xfId="0" applyNumberFormat="1" applyFont="1" applyFill="1"/>
    <xf numFmtId="3" fontId="15" fillId="2" borderId="0" xfId="4" applyNumberFormat="1" applyFill="1"/>
    <xf numFmtId="0" fontId="18" fillId="0" borderId="14" xfId="0" applyFont="1" applyBorder="1"/>
    <xf numFmtId="0" fontId="2" fillId="2" borderId="1" xfId="0" applyFont="1" applyFill="1" applyBorder="1" applyAlignment="1">
      <alignment vertical="top"/>
    </xf>
    <xf numFmtId="0" fontId="2" fillId="2" borderId="1" xfId="0" applyFont="1" applyFill="1" applyBorder="1"/>
    <xf numFmtId="0" fontId="0" fillId="2" borderId="10" xfId="0" applyFill="1" applyBorder="1" applyAlignment="1">
      <alignment horizontal="left"/>
    </xf>
    <xf numFmtId="0" fontId="0" fillId="2" borderId="10" xfId="0" applyFill="1" applyBorder="1"/>
    <xf numFmtId="3" fontId="0" fillId="12" borderId="53" xfId="0" applyNumberFormat="1" applyFill="1" applyBorder="1"/>
    <xf numFmtId="1" fontId="15" fillId="14" borderId="0" xfId="4" applyNumberFormat="1" applyAlignment="1">
      <alignment horizontal="left" indent="3"/>
    </xf>
    <xf numFmtId="3" fontId="0" fillId="0" borderId="5" xfId="0" applyNumberFormat="1" applyBorder="1"/>
    <xf numFmtId="3" fontId="0" fillId="0" borderId="2" xfId="0" applyNumberFormat="1" applyBorder="1"/>
    <xf numFmtId="0" fontId="19" fillId="0" borderId="0" xfId="0" applyFont="1" applyAlignment="1">
      <alignment vertical="center"/>
    </xf>
    <xf numFmtId="168" fontId="0" fillId="2" borderId="0" xfId="0" applyNumberFormat="1" applyFill="1"/>
    <xf numFmtId="3" fontId="0" fillId="0" borderId="20" xfId="0" applyNumberFormat="1" applyBorder="1"/>
    <xf numFmtId="3" fontId="15" fillId="14" borderId="16" xfId="4" applyNumberFormat="1" applyBorder="1"/>
    <xf numFmtId="1" fontId="18" fillId="0" borderId="0" xfId="0" applyNumberFormat="1" applyFont="1" applyAlignment="1">
      <alignment horizontal="right" vertical="center" wrapText="1"/>
    </xf>
    <xf numFmtId="3" fontId="0" fillId="4" borderId="12" xfId="0" applyNumberFormat="1" applyFill="1" applyBorder="1"/>
    <xf numFmtId="1" fontId="15" fillId="14" borderId="0" xfId="4" applyNumberFormat="1" applyAlignment="1">
      <alignment horizontal="right" vertical="center" wrapText="1"/>
    </xf>
    <xf numFmtId="3" fontId="16" fillId="15" borderId="0" xfId="5" applyNumberFormat="1"/>
    <xf numFmtId="164" fontId="0" fillId="0" borderId="0" xfId="0" applyNumberFormat="1"/>
    <xf numFmtId="164" fontId="2" fillId="0" borderId="7" xfId="0" applyNumberFormat="1" applyFont="1" applyBorder="1" applyAlignment="1">
      <alignment wrapText="1"/>
    </xf>
    <xf numFmtId="164" fontId="0" fillId="0" borderId="38" xfId="0" applyNumberFormat="1" applyBorder="1"/>
    <xf numFmtId="164" fontId="0" fillId="10" borderId="17" xfId="0" applyNumberFormat="1" applyFill="1" applyBorder="1"/>
    <xf numFmtId="164" fontId="0" fillId="0" borderId="17" xfId="0" applyNumberFormat="1" applyBorder="1"/>
    <xf numFmtId="164" fontId="0" fillId="0" borderId="12" xfId="0" applyNumberFormat="1" applyBorder="1"/>
    <xf numFmtId="164" fontId="0" fillId="0" borderId="15" xfId="0" applyNumberFormat="1" applyBorder="1"/>
    <xf numFmtId="164" fontId="0" fillId="0" borderId="19" xfId="0" applyNumberFormat="1" applyBorder="1"/>
    <xf numFmtId="164" fontId="0" fillId="11" borderId="19" xfId="0" applyNumberFormat="1" applyFill="1" applyBorder="1"/>
    <xf numFmtId="164" fontId="0" fillId="10" borderId="15" xfId="0" applyNumberFormat="1" applyFill="1" applyBorder="1"/>
    <xf numFmtId="164" fontId="0" fillId="11" borderId="17" xfId="0" applyNumberFormat="1" applyFill="1" applyBorder="1"/>
    <xf numFmtId="164" fontId="0" fillId="10" borderId="19" xfId="0" applyNumberFormat="1" applyFill="1" applyBorder="1"/>
    <xf numFmtId="164" fontId="0" fillId="6" borderId="0" xfId="0" applyNumberFormat="1" applyFill="1"/>
    <xf numFmtId="164" fontId="11" fillId="0" borderId="17" xfId="0" applyNumberFormat="1" applyFont="1" applyBorder="1"/>
    <xf numFmtId="164" fontId="0" fillId="6" borderId="7" xfId="0" applyNumberFormat="1" applyFill="1" applyBorder="1"/>
    <xf numFmtId="164" fontId="0" fillId="0" borderId="18" xfId="0" applyNumberFormat="1" applyBorder="1"/>
    <xf numFmtId="164" fontId="2" fillId="0" borderId="7" xfId="0" applyNumberFormat="1" applyFont="1" applyBorder="1"/>
    <xf numFmtId="164" fontId="0" fillId="4" borderId="17" xfId="0" applyNumberFormat="1" applyFill="1" applyBorder="1"/>
    <xf numFmtId="164" fontId="0" fillId="4" borderId="19" xfId="0" applyNumberFormat="1" applyFill="1" applyBorder="1"/>
    <xf numFmtId="164" fontId="0" fillId="4" borderId="12" xfId="0" applyNumberFormat="1" applyFill="1" applyBorder="1"/>
    <xf numFmtId="164" fontId="0" fillId="4" borderId="15" xfId="0" applyNumberFormat="1" applyFill="1" applyBorder="1"/>
    <xf numFmtId="164" fontId="11" fillId="4" borderId="17" xfId="0" applyNumberFormat="1" applyFont="1" applyFill="1" applyBorder="1"/>
    <xf numFmtId="3" fontId="0" fillId="4" borderId="15" xfId="0" applyNumberFormat="1" applyFill="1" applyBorder="1"/>
    <xf numFmtId="0" fontId="0" fillId="2" borderId="36" xfId="0" applyFill="1" applyBorder="1"/>
    <xf numFmtId="3" fontId="15" fillId="14" borderId="36" xfId="4" applyNumberFormat="1" applyBorder="1"/>
    <xf numFmtId="0" fontId="2" fillId="2" borderId="11" xfId="0" applyFont="1" applyFill="1" applyBorder="1" applyAlignment="1">
      <alignment vertical="top" wrapText="1"/>
    </xf>
    <xf numFmtId="0" fontId="0" fillId="10" borderId="8" xfId="0" applyFill="1" applyBorder="1"/>
    <xf numFmtId="3" fontId="0" fillId="2" borderId="36" xfId="0" applyNumberFormat="1" applyFill="1" applyBorder="1"/>
    <xf numFmtId="0" fontId="15" fillId="14" borderId="36" xfId="4" applyBorder="1"/>
    <xf numFmtId="0" fontId="0" fillId="7" borderId="49" xfId="0" applyFill="1" applyBorder="1"/>
    <xf numFmtId="0" fontId="0" fillId="12" borderId="4" xfId="0" applyFill="1" applyBorder="1"/>
    <xf numFmtId="0" fontId="0" fillId="12" borderId="41" xfId="0" applyFill="1" applyBorder="1"/>
    <xf numFmtId="0" fontId="0" fillId="0" borderId="41" xfId="0" applyBorder="1"/>
    <xf numFmtId="3" fontId="15" fillId="0" borderId="0" xfId="4" applyNumberFormat="1" applyFill="1"/>
    <xf numFmtId="3" fontId="0" fillId="4" borderId="4" xfId="0" applyNumberFormat="1" applyFill="1" applyBorder="1"/>
    <xf numFmtId="3" fontId="15" fillId="14" borderId="8" xfId="4" applyNumberFormat="1" applyBorder="1"/>
    <xf numFmtId="3" fontId="15" fillId="14" borderId="17" xfId="4" applyNumberFormat="1" applyBorder="1"/>
    <xf numFmtId="3" fontId="0" fillId="2" borderId="4" xfId="0" applyNumberFormat="1" applyFill="1" applyBorder="1"/>
    <xf numFmtId="3" fontId="20" fillId="16" borderId="17" xfId="6" applyNumberFormat="1" applyBorder="1"/>
    <xf numFmtId="3" fontId="16" fillId="15" borderId="36" xfId="5" applyNumberFormat="1" applyBorder="1"/>
    <xf numFmtId="0" fontId="0" fillId="0" borderId="0" xfId="0" applyAlignment="1">
      <alignment horizontal="left" vertical="center"/>
    </xf>
    <xf numFmtId="0" fontId="0" fillId="0" borderId="2" xfId="0" applyBorder="1" applyAlignment="1">
      <alignment horizontal="left" vertical="center"/>
    </xf>
    <xf numFmtId="0" fontId="2" fillId="0" borderId="10" xfId="0" applyFont="1" applyBorder="1"/>
    <xf numFmtId="0" fontId="0" fillId="0" borderId="0" xfId="0" applyAlignment="1">
      <alignment horizontal="left" vertical="center" wrapText="1"/>
    </xf>
    <xf numFmtId="3" fontId="0" fillId="0" borderId="37" xfId="0" applyNumberFormat="1" applyBorder="1"/>
    <xf numFmtId="3" fontId="15" fillId="14" borderId="19" xfId="4" applyNumberFormat="1" applyBorder="1"/>
    <xf numFmtId="3" fontId="0" fillId="0" borderId="40" xfId="0" applyNumberFormat="1" applyBorder="1"/>
    <xf numFmtId="0" fontId="23" fillId="0" borderId="0" xfId="0" applyFont="1"/>
    <xf numFmtId="0" fontId="15" fillId="14" borderId="4" xfId="4" applyBorder="1"/>
    <xf numFmtId="0" fontId="15" fillId="14" borderId="14" xfId="4" applyBorder="1"/>
    <xf numFmtId="3" fontId="0" fillId="0" borderId="22" xfId="0" applyNumberFormat="1" applyBorder="1"/>
    <xf numFmtId="0" fontId="8" fillId="0" borderId="0" xfId="0" applyFont="1"/>
    <xf numFmtId="164" fontId="0" fillId="0" borderId="7" xfId="0" applyNumberFormat="1" applyBorder="1"/>
    <xf numFmtId="165" fontId="0" fillId="0" borderId="0" xfId="1" applyNumberFormat="1" applyFont="1" applyFill="1"/>
    <xf numFmtId="3" fontId="2" fillId="0" borderId="50" xfId="0" applyNumberFormat="1" applyFont="1" applyBorder="1" applyAlignment="1">
      <alignment wrapText="1"/>
    </xf>
    <xf numFmtId="0" fontId="24" fillId="0" borderId="58" xfId="0" applyFont="1" applyBorder="1"/>
    <xf numFmtId="164" fontId="0" fillId="0" borderId="58" xfId="0" applyNumberFormat="1" applyBorder="1"/>
    <xf numFmtId="0" fontId="0" fillId="0" borderId="58" xfId="0" applyBorder="1"/>
    <xf numFmtId="0" fontId="24" fillId="0" borderId="59" xfId="0" applyFont="1" applyBorder="1" applyAlignment="1">
      <alignment horizontal="left" vertical="top" wrapText="1"/>
    </xf>
    <xf numFmtId="0" fontId="24" fillId="0" borderId="49" xfId="0" applyFont="1" applyBorder="1" applyAlignment="1">
      <alignment horizontal="left" vertical="top" wrapText="1"/>
    </xf>
    <xf numFmtId="0" fontId="0" fillId="0" borderId="58" xfId="0" applyBorder="1" applyAlignment="1">
      <alignment horizontal="center" vertical="center"/>
    </xf>
    <xf numFmtId="0" fontId="2" fillId="0" borderId="38" xfId="0" applyFont="1" applyBorder="1" applyAlignment="1">
      <alignment wrapText="1"/>
    </xf>
    <xf numFmtId="0" fontId="2" fillId="0" borderId="42" xfId="0" applyFont="1" applyBorder="1" applyAlignment="1">
      <alignment wrapText="1"/>
    </xf>
    <xf numFmtId="3" fontId="2" fillId="0" borderId="61" xfId="0" applyNumberFormat="1" applyFont="1" applyBorder="1" applyAlignment="1">
      <alignment wrapText="1"/>
    </xf>
    <xf numFmtId="3" fontId="0" fillId="0" borderId="58" xfId="0" applyNumberFormat="1" applyBorder="1"/>
    <xf numFmtId="3" fontId="0" fillId="0" borderId="59" xfId="0" applyNumberFormat="1" applyBorder="1"/>
    <xf numFmtId="164" fontId="0" fillId="0" borderId="61" xfId="0" applyNumberFormat="1" applyBorder="1"/>
    <xf numFmtId="0" fontId="0" fillId="0" borderId="0" xfId="0" applyAlignment="1">
      <alignment horizontal="center" vertical="center"/>
    </xf>
    <xf numFmtId="164" fontId="0" fillId="0" borderId="58" xfId="0" applyNumberFormat="1" applyBorder="1" applyAlignment="1">
      <alignment wrapText="1"/>
    </xf>
    <xf numFmtId="3" fontId="0" fillId="0" borderId="61" xfId="0" applyNumberFormat="1" applyBorder="1"/>
    <xf numFmtId="164" fontId="0" fillId="0" borderId="59" xfId="0" applyNumberFormat="1" applyBorder="1"/>
    <xf numFmtId="0" fontId="0" fillId="0" borderId="58" xfId="0" applyBorder="1" applyAlignment="1">
      <alignment horizontal="left" vertical="center"/>
    </xf>
    <xf numFmtId="0" fontId="24" fillId="0" borderId="59" xfId="0" applyFont="1" applyBorder="1"/>
    <xf numFmtId="0" fontId="0" fillId="0" borderId="58" xfId="0" applyBorder="1" applyAlignment="1">
      <alignment wrapText="1"/>
    </xf>
    <xf numFmtId="0" fontId="24" fillId="0" borderId="60" xfId="0" applyFont="1" applyBorder="1" applyAlignment="1">
      <alignment horizontal="left" vertical="top" wrapText="1"/>
    </xf>
    <xf numFmtId="164" fontId="0" fillId="0" borderId="58" xfId="0" applyNumberFormat="1" applyBorder="1" applyAlignment="1">
      <alignment horizontal="left"/>
    </xf>
    <xf numFmtId="0" fontId="0" fillId="0" borderId="5" xfId="0" applyBorder="1" applyAlignment="1">
      <alignment horizontal="left" vertical="center"/>
    </xf>
    <xf numFmtId="0" fontId="0" fillId="0" borderId="60" xfId="0" applyBorder="1"/>
    <xf numFmtId="0" fontId="0" fillId="0" borderId="59" xfId="0" applyBorder="1"/>
    <xf numFmtId="0" fontId="2" fillId="0" borderId="43" xfId="0" applyFont="1" applyBorder="1" applyAlignment="1">
      <alignment wrapText="1"/>
    </xf>
    <xf numFmtId="0" fontId="0" fillId="0" borderId="58" xfId="0" applyBorder="1" applyAlignment="1">
      <alignment horizontal="center" vertical="center" wrapText="1"/>
    </xf>
    <xf numFmtId="3" fontId="15" fillId="14" borderId="8" xfId="4" applyNumberFormat="1" applyBorder="1" applyAlignment="1">
      <alignment wrapText="1"/>
    </xf>
    <xf numFmtId="3" fontId="0" fillId="4" borderId="36" xfId="0" applyNumberFormat="1" applyFill="1" applyBorder="1"/>
    <xf numFmtId="164" fontId="0" fillId="17" borderId="38" xfId="0" applyNumberFormat="1" applyFill="1" applyBorder="1"/>
    <xf numFmtId="164" fontId="0" fillId="17" borderId="17" xfId="0" applyNumberFormat="1" applyFill="1" applyBorder="1"/>
    <xf numFmtId="164" fontId="0" fillId="17" borderId="12" xfId="0" applyNumberFormat="1" applyFill="1" applyBorder="1"/>
    <xf numFmtId="164" fontId="0" fillId="17" borderId="15" xfId="0" applyNumberFormat="1" applyFill="1" applyBorder="1"/>
    <xf numFmtId="164" fontId="0" fillId="17" borderId="19" xfId="0" applyNumberFormat="1" applyFill="1" applyBorder="1"/>
    <xf numFmtId="164" fontId="0" fillId="17" borderId="61" xfId="0" applyNumberFormat="1" applyFill="1" applyBorder="1"/>
    <xf numFmtId="164" fontId="0" fillId="17" borderId="59" xfId="0" applyNumberFormat="1" applyFill="1" applyBorder="1"/>
    <xf numFmtId="3" fontId="0" fillId="0" borderId="17" xfId="0" applyNumberFormat="1" applyBorder="1" applyAlignment="1">
      <alignment wrapText="1"/>
    </xf>
    <xf numFmtId="164" fontId="0" fillId="4" borderId="0" xfId="0" applyNumberFormat="1" applyFill="1"/>
    <xf numFmtId="0" fontId="0" fillId="0" borderId="59" xfId="0" applyBorder="1" applyAlignment="1">
      <alignment horizontal="left" vertical="center"/>
    </xf>
    <xf numFmtId="2" fontId="15" fillId="14" borderId="0" xfId="4" applyNumberFormat="1"/>
    <xf numFmtId="2" fontId="0" fillId="0" borderId="0" xfId="0" applyNumberFormat="1"/>
    <xf numFmtId="3" fontId="25" fillId="0" borderId="32" xfId="0" applyNumberFormat="1" applyFont="1" applyBorder="1"/>
    <xf numFmtId="4" fontId="0" fillId="0" borderId="0" xfId="0" applyNumberFormat="1"/>
    <xf numFmtId="164" fontId="0" fillId="18" borderId="0" xfId="0" applyNumberFormat="1" applyFill="1"/>
    <xf numFmtId="0" fontId="2" fillId="0" borderId="5" xfId="0" applyFont="1" applyBorder="1"/>
    <xf numFmtId="168" fontId="0" fillId="0" borderId="0" xfId="0" applyNumberFormat="1"/>
    <xf numFmtId="3" fontId="16" fillId="2" borderId="8" xfId="5" applyNumberFormat="1" applyFill="1" applyBorder="1"/>
    <xf numFmtId="0" fontId="0" fillId="4" borderId="4" xfId="0" applyFill="1" applyBorder="1"/>
    <xf numFmtId="3" fontId="20" fillId="16" borderId="0" xfId="6" applyNumberFormat="1"/>
    <xf numFmtId="6" fontId="0" fillId="0" borderId="0" xfId="0" applyNumberFormat="1"/>
    <xf numFmtId="6" fontId="0" fillId="4" borderId="0" xfId="0" applyNumberFormat="1" applyFill="1"/>
    <xf numFmtId="169" fontId="0" fillId="0" borderId="17" xfId="0" applyNumberFormat="1" applyBorder="1"/>
    <xf numFmtId="169" fontId="0" fillId="0" borderId="12" xfId="0" applyNumberFormat="1" applyBorder="1"/>
    <xf numFmtId="0" fontId="15" fillId="14" borderId="41" xfId="4" applyBorder="1"/>
    <xf numFmtId="0" fontId="15" fillId="14" borderId="5" xfId="4" applyBorder="1"/>
    <xf numFmtId="0" fontId="0" fillId="4" borderId="5" xfId="0" applyFill="1" applyBorder="1"/>
    <xf numFmtId="0" fontId="1" fillId="0" borderId="0" xfId="0" applyFont="1"/>
    <xf numFmtId="0" fontId="2" fillId="0" borderId="65" xfId="0" applyFont="1" applyBorder="1" applyAlignment="1">
      <alignment vertical="top" wrapText="1"/>
    </xf>
    <xf numFmtId="3" fontId="0" fillId="0" borderId="66" xfId="0" applyNumberFormat="1" applyBorder="1"/>
    <xf numFmtId="3" fontId="0" fillId="0" borderId="67" xfId="0" applyNumberFormat="1" applyBorder="1"/>
    <xf numFmtId="3" fontId="0" fillId="0" borderId="68" xfId="0" applyNumberFormat="1" applyBorder="1"/>
    <xf numFmtId="3" fontId="0" fillId="0" borderId="69" xfId="0" applyNumberFormat="1" applyBorder="1"/>
    <xf numFmtId="3" fontId="0" fillId="0" borderId="70" xfId="0" applyNumberFormat="1" applyBorder="1"/>
    <xf numFmtId="3" fontId="0" fillId="0" borderId="71" xfId="0" applyNumberFormat="1" applyBorder="1"/>
    <xf numFmtId="165" fontId="0" fillId="0" borderId="72" xfId="0" applyNumberFormat="1" applyBorder="1"/>
    <xf numFmtId="0" fontId="2" fillId="2" borderId="39" xfId="0" applyFont="1" applyFill="1" applyBorder="1" applyAlignment="1">
      <alignment vertical="top" wrapText="1"/>
    </xf>
    <xf numFmtId="3" fontId="0" fillId="0" borderId="5" xfId="0" applyNumberFormat="1" applyBorder="1" applyAlignment="1">
      <alignment horizontal="right"/>
    </xf>
    <xf numFmtId="165" fontId="1" fillId="0" borderId="0" xfId="1" applyNumberFormat="1" applyFont="1"/>
    <xf numFmtId="44" fontId="1" fillId="0" borderId="7" xfId="2" applyFont="1" applyBorder="1"/>
    <xf numFmtId="167" fontId="1" fillId="0" borderId="15" xfId="2" applyNumberFormat="1" applyFont="1" applyBorder="1"/>
    <xf numFmtId="44" fontId="1" fillId="0" borderId="15" xfId="2" applyFont="1" applyBorder="1"/>
    <xf numFmtId="0" fontId="15" fillId="0" borderId="0" xfId="4" applyFill="1"/>
    <xf numFmtId="3" fontId="16" fillId="0" borderId="0" xfId="5" applyNumberFormat="1" applyFill="1"/>
    <xf numFmtId="3" fontId="15" fillId="0" borderId="36" xfId="4" applyNumberFormat="1" applyFill="1" applyBorder="1"/>
    <xf numFmtId="1" fontId="15" fillId="0" borderId="0" xfId="4" applyNumberFormat="1" applyFill="1"/>
    <xf numFmtId="0" fontId="26" fillId="2" borderId="0" xfId="0" applyFont="1" applyFill="1"/>
    <xf numFmtId="3" fontId="0" fillId="0" borderId="73" xfId="0" applyNumberFormat="1" applyBorder="1"/>
    <xf numFmtId="3" fontId="0" fillId="0" borderId="62" xfId="0" applyNumberFormat="1" applyBorder="1"/>
    <xf numFmtId="3" fontId="6" fillId="0" borderId="58" xfId="0" applyNumberFormat="1" applyFont="1" applyBorder="1"/>
    <xf numFmtId="165" fontId="0" fillId="0" borderId="58" xfId="0" applyNumberFormat="1" applyBorder="1"/>
    <xf numFmtId="164" fontId="2" fillId="0" borderId="7"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42" xfId="0" applyFont="1" applyBorder="1" applyAlignment="1">
      <alignment horizontal="center" vertical="center" wrapText="1"/>
    </xf>
    <xf numFmtId="3" fontId="2" fillId="0" borderId="61" xfId="0" applyNumberFormat="1" applyFont="1" applyBorder="1" applyAlignment="1">
      <alignment horizontal="center" vertical="center" wrapText="1"/>
    </xf>
    <xf numFmtId="3" fontId="2" fillId="0" borderId="50" xfId="0" applyNumberFormat="1" applyFont="1" applyBorder="1" applyAlignment="1">
      <alignment horizontal="center" vertical="center" wrapText="1"/>
    </xf>
    <xf numFmtId="3" fontId="2" fillId="0" borderId="35"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27" fillId="0" borderId="10" xfId="0" applyFont="1" applyBorder="1" applyAlignment="1">
      <alignment horizontal="center"/>
    </xf>
    <xf numFmtId="0" fontId="0" fillId="4" borderId="14" xfId="0" applyFill="1" applyBorder="1"/>
    <xf numFmtId="0" fontId="0" fillId="4" borderId="16" xfId="0" applyFill="1" applyBorder="1"/>
    <xf numFmtId="0" fontId="0" fillId="4" borderId="8" xfId="0" applyFill="1" applyBorder="1"/>
    <xf numFmtId="0" fontId="15" fillId="0" borderId="4" xfId="4" applyFill="1" applyBorder="1"/>
    <xf numFmtId="3" fontId="17" fillId="0" borderId="17" xfId="0" applyNumberFormat="1" applyFont="1" applyBorder="1"/>
    <xf numFmtId="0" fontId="0" fillId="12" borderId="32" xfId="0" applyFill="1" applyBorder="1"/>
    <xf numFmtId="0" fontId="15" fillId="0" borderId="16" xfId="4" applyFill="1" applyBorder="1"/>
    <xf numFmtId="0" fontId="0" fillId="12" borderId="3" xfId="0" applyFill="1" applyBorder="1"/>
    <xf numFmtId="0" fontId="15" fillId="0" borderId="36" xfId="4" applyFill="1" applyBorder="1"/>
    <xf numFmtId="0" fontId="15" fillId="0" borderId="0" xfId="4" applyFill="1" applyBorder="1"/>
    <xf numFmtId="0" fontId="12" fillId="0" borderId="11" xfId="0" applyFont="1" applyBorder="1"/>
    <xf numFmtId="0" fontId="28" fillId="19" borderId="17" xfId="0" applyFont="1" applyFill="1" applyBorder="1"/>
    <xf numFmtId="3" fontId="0" fillId="20" borderId="0" xfId="0" applyNumberFormat="1" applyFill="1"/>
    <xf numFmtId="3" fontId="0" fillId="20" borderId="17" xfId="0" applyNumberFormat="1" applyFill="1" applyBorder="1"/>
    <xf numFmtId="0" fontId="0" fillId="7" borderId="74" xfId="0" applyFill="1" applyBorder="1"/>
    <xf numFmtId="0" fontId="0" fillId="7" borderId="75" xfId="0" applyFill="1" applyBorder="1"/>
    <xf numFmtId="0" fontId="2" fillId="7" borderId="75" xfId="0" applyFont="1" applyFill="1" applyBorder="1" applyAlignment="1">
      <alignment wrapText="1"/>
    </xf>
    <xf numFmtId="17" fontId="2" fillId="7" borderId="75" xfId="0" applyNumberFormat="1" applyFont="1" applyFill="1" applyBorder="1" applyAlignment="1">
      <alignment wrapText="1"/>
    </xf>
    <xf numFmtId="0" fontId="2" fillId="7" borderId="75" xfId="0" applyFont="1" applyFill="1" applyBorder="1"/>
    <xf numFmtId="0" fontId="0" fillId="7" borderId="76" xfId="0" applyFill="1" applyBorder="1"/>
    <xf numFmtId="17" fontId="0" fillId="7" borderId="77" xfId="0" applyNumberFormat="1" applyFill="1" applyBorder="1"/>
    <xf numFmtId="17" fontId="0" fillId="7" borderId="78" xfId="0" applyNumberFormat="1" applyFill="1" applyBorder="1"/>
    <xf numFmtId="3" fontId="0" fillId="0" borderId="77" xfId="0" applyNumberFormat="1" applyBorder="1"/>
    <xf numFmtId="0" fontId="0" fillId="0" borderId="79" xfId="0" applyBorder="1"/>
    <xf numFmtId="3" fontId="0" fillId="0" borderId="80" xfId="0" applyNumberFormat="1" applyBorder="1"/>
    <xf numFmtId="0" fontId="0" fillId="0" borderId="81" xfId="0" applyBorder="1"/>
    <xf numFmtId="3" fontId="0" fillId="0" borderId="82" xfId="0" applyNumberFormat="1" applyBorder="1"/>
    <xf numFmtId="3" fontId="0" fillId="0" borderId="83" xfId="0" applyNumberFormat="1" applyBorder="1"/>
    <xf numFmtId="3" fontId="0" fillId="0" borderId="84" xfId="0" applyNumberFormat="1" applyBorder="1"/>
    <xf numFmtId="3" fontId="0" fillId="0" borderId="85" xfId="0" applyNumberFormat="1" applyBorder="1"/>
    <xf numFmtId="3" fontId="0" fillId="0" borderId="86" xfId="0" applyNumberFormat="1" applyBorder="1"/>
    <xf numFmtId="0" fontId="0" fillId="0" borderId="86" xfId="0" applyBorder="1"/>
    <xf numFmtId="0" fontId="0" fillId="0" borderId="87" xfId="0" applyBorder="1"/>
    <xf numFmtId="0" fontId="18" fillId="0" borderId="19" xfId="0" applyFont="1" applyBorder="1"/>
    <xf numFmtId="0" fontId="18" fillId="0" borderId="15" xfId="0" applyFont="1" applyBorder="1"/>
    <xf numFmtId="0" fontId="18" fillId="0" borderId="17" xfId="0" applyFont="1" applyBorder="1"/>
    <xf numFmtId="0" fontId="0" fillId="0" borderId="75" xfId="0" applyBorder="1"/>
    <xf numFmtId="0" fontId="0" fillId="0" borderId="80" xfId="0" applyBorder="1"/>
    <xf numFmtId="0" fontId="9" fillId="0" borderId="58" xfId="0" applyFont="1" applyBorder="1"/>
    <xf numFmtId="3" fontId="9" fillId="0" borderId="58" xfId="0" applyNumberFormat="1" applyFont="1" applyBorder="1"/>
    <xf numFmtId="0" fontId="29" fillId="0" borderId="58" xfId="0" applyFont="1" applyBorder="1" applyAlignment="1">
      <alignment horizontal="left" vertical="center"/>
    </xf>
    <xf numFmtId="0" fontId="2" fillId="0" borderId="43" xfId="0" applyFont="1" applyBorder="1" applyAlignment="1">
      <alignment vertical="top"/>
    </xf>
    <xf numFmtId="0" fontId="2" fillId="0" borderId="38" xfId="0" applyFont="1" applyBorder="1" applyAlignment="1">
      <alignment vertical="center"/>
    </xf>
    <xf numFmtId="0" fontId="2" fillId="0" borderId="38" xfId="0" applyFont="1" applyBorder="1" applyAlignment="1">
      <alignment vertical="top" wrapText="1"/>
    </xf>
    <xf numFmtId="0" fontId="29" fillId="0" borderId="58" xfId="0" applyFont="1" applyBorder="1"/>
    <xf numFmtId="3" fontId="29" fillId="0" borderId="58" xfId="0" applyNumberFormat="1" applyFont="1" applyBorder="1"/>
    <xf numFmtId="0" fontId="2" fillId="0" borderId="18" xfId="0" applyFont="1" applyBorder="1" applyAlignment="1">
      <alignment vertical="center"/>
    </xf>
    <xf numFmtId="0" fontId="2" fillId="0" borderId="9" xfId="0" applyFont="1" applyBorder="1" applyAlignment="1">
      <alignment vertical="top" wrapText="1"/>
    </xf>
    <xf numFmtId="0" fontId="2" fillId="0" borderId="18" xfId="0" applyFont="1" applyBorder="1" applyAlignment="1">
      <alignment vertical="top" wrapText="1"/>
    </xf>
    <xf numFmtId="17" fontId="0" fillId="7" borderId="9" xfId="0" applyNumberFormat="1" applyFill="1" applyBorder="1"/>
    <xf numFmtId="0" fontId="2" fillId="0" borderId="92" xfId="0" applyFont="1" applyBorder="1"/>
    <xf numFmtId="14" fontId="0" fillId="0" borderId="93" xfId="0" applyNumberFormat="1" applyBorder="1"/>
    <xf numFmtId="0" fontId="0" fillId="0" borderId="93" xfId="0" applyBorder="1"/>
    <xf numFmtId="0" fontId="0" fillId="0" borderId="93" xfId="0" applyBorder="1" applyAlignment="1">
      <alignment wrapText="1"/>
    </xf>
    <xf numFmtId="0" fontId="2" fillId="0" borderId="93" xfId="0" applyFont="1" applyBorder="1" applyAlignment="1">
      <alignment wrapText="1"/>
    </xf>
    <xf numFmtId="0" fontId="2" fillId="0" borderId="94" xfId="0" applyFont="1" applyBorder="1" applyAlignment="1">
      <alignment wrapText="1"/>
    </xf>
    <xf numFmtId="44" fontId="0" fillId="0" borderId="8" xfId="2" applyFont="1" applyBorder="1"/>
    <xf numFmtId="44" fontId="2" fillId="0" borderId="9" xfId="2" applyFont="1" applyBorder="1" applyAlignment="1">
      <alignment horizontal="center"/>
    </xf>
    <xf numFmtId="0" fontId="0" fillId="0" borderId="66" xfId="0" applyBorder="1"/>
    <xf numFmtId="3" fontId="0" fillId="0" borderId="95" xfId="0" applyNumberFormat="1" applyBorder="1"/>
    <xf numFmtId="0" fontId="2" fillId="0" borderId="70" xfId="0" applyFont="1" applyBorder="1"/>
    <xf numFmtId="0" fontId="0" fillId="0" borderId="95" xfId="0" applyBorder="1"/>
    <xf numFmtId="0" fontId="0" fillId="0" borderId="68" xfId="0" applyBorder="1"/>
    <xf numFmtId="0" fontId="0" fillId="0" borderId="69" xfId="0" applyBorder="1"/>
    <xf numFmtId="44" fontId="0" fillId="0" borderId="72" xfId="2" applyFont="1" applyBorder="1" applyAlignment="1">
      <alignment horizontal="center"/>
    </xf>
    <xf numFmtId="0" fontId="2" fillId="2" borderId="96" xfId="0" applyFont="1" applyFill="1" applyBorder="1" applyAlignment="1">
      <alignment vertical="top" wrapText="1"/>
    </xf>
    <xf numFmtId="3" fontId="0" fillId="0" borderId="97" xfId="0" applyNumberFormat="1" applyBorder="1"/>
    <xf numFmtId="3" fontId="0" fillId="0" borderId="98" xfId="0" applyNumberFormat="1" applyBorder="1"/>
    <xf numFmtId="44" fontId="0" fillId="0" borderId="80" xfId="2" applyFont="1" applyBorder="1"/>
    <xf numFmtId="0" fontId="2" fillId="0" borderId="83" xfId="0" applyFont="1" applyBorder="1"/>
    <xf numFmtId="44" fontId="2" fillId="0" borderId="85" xfId="2" applyFont="1" applyBorder="1" applyAlignment="1">
      <alignment horizontal="center"/>
    </xf>
    <xf numFmtId="0" fontId="2" fillId="0" borderId="8" xfId="0" applyFont="1" applyBorder="1" applyAlignment="1">
      <alignment horizontal="left" vertical="center"/>
    </xf>
    <xf numFmtId="0" fontId="0" fillId="0" borderId="99" xfId="0" applyBorder="1"/>
    <xf numFmtId="0" fontId="0" fillId="0" borderId="63" xfId="0" applyBorder="1"/>
    <xf numFmtId="3" fontId="0" fillId="0" borderId="101" xfId="0" applyNumberFormat="1" applyBorder="1"/>
    <xf numFmtId="3" fontId="0" fillId="0" borderId="63" xfId="0" applyNumberFormat="1" applyBorder="1"/>
    <xf numFmtId="3" fontId="0" fillId="0" borderId="102" xfId="0" applyNumberFormat="1" applyBorder="1"/>
    <xf numFmtId="0" fontId="14" fillId="0" borderId="0" xfId="0" applyFont="1"/>
    <xf numFmtId="3" fontId="0" fillId="6" borderId="97" xfId="0" applyNumberFormat="1" applyFill="1" applyBorder="1"/>
    <xf numFmtId="0" fontId="0" fillId="6" borderId="95" xfId="0" applyFill="1" applyBorder="1"/>
    <xf numFmtId="0" fontId="25" fillId="0" borderId="0" xfId="0" applyFont="1"/>
    <xf numFmtId="3" fontId="25" fillId="0" borderId="0" xfId="0" applyNumberFormat="1" applyFont="1"/>
    <xf numFmtId="0" fontId="30" fillId="0" borderId="0" xfId="0" applyFont="1"/>
    <xf numFmtId="0" fontId="25" fillId="7" borderId="42" xfId="0" applyFont="1" applyFill="1" applyBorder="1"/>
    <xf numFmtId="17" fontId="30" fillId="7" borderId="43" xfId="0" applyNumberFormat="1" applyFont="1" applyFill="1" applyBorder="1" applyAlignment="1">
      <alignment wrapText="1"/>
    </xf>
    <xf numFmtId="0" fontId="25" fillId="7" borderId="43" xfId="0" applyFont="1" applyFill="1" applyBorder="1"/>
    <xf numFmtId="0" fontId="30" fillId="7" borderId="43" xfId="0" applyFont="1" applyFill="1" applyBorder="1"/>
    <xf numFmtId="0" fontId="25" fillId="7" borderId="45" xfId="0" applyFont="1" applyFill="1" applyBorder="1"/>
    <xf numFmtId="0" fontId="30" fillId="7" borderId="39" xfId="0" applyFont="1" applyFill="1" applyBorder="1"/>
    <xf numFmtId="0" fontId="30" fillId="0" borderId="11" xfId="0" applyFont="1" applyBorder="1" applyAlignment="1">
      <alignment vertical="top"/>
    </xf>
    <xf numFmtId="0" fontId="30" fillId="0" borderId="1" xfId="0" applyFont="1" applyBorder="1" applyAlignment="1">
      <alignment vertical="top"/>
    </xf>
    <xf numFmtId="0" fontId="30" fillId="0" borderId="7" xfId="0" applyFont="1" applyBorder="1" applyAlignment="1">
      <alignment vertical="center"/>
    </xf>
    <xf numFmtId="0" fontId="30" fillId="0" borderId="11" xfId="0" applyFont="1" applyBorder="1" applyAlignment="1">
      <alignment vertical="top" wrapText="1"/>
    </xf>
    <xf numFmtId="0" fontId="30" fillId="0" borderId="7" xfId="0" applyFont="1" applyBorder="1" applyAlignment="1">
      <alignment vertical="top" wrapText="1"/>
    </xf>
    <xf numFmtId="0" fontId="30" fillId="2" borderId="7" xfId="0" applyFont="1" applyFill="1" applyBorder="1" applyAlignment="1">
      <alignment vertical="top" wrapText="1"/>
    </xf>
    <xf numFmtId="0" fontId="30" fillId="2" borderId="11" xfId="0" applyFont="1" applyFill="1" applyBorder="1" applyAlignment="1">
      <alignment vertical="top" wrapText="1"/>
    </xf>
    <xf numFmtId="0" fontId="30" fillId="0" borderId="42" xfId="0" applyFont="1" applyBorder="1" applyAlignment="1">
      <alignment vertical="top" wrapText="1"/>
    </xf>
    <xf numFmtId="17" fontId="25" fillId="7" borderId="7" xfId="0" applyNumberFormat="1" applyFont="1" applyFill="1" applyBorder="1"/>
    <xf numFmtId="17" fontId="25" fillId="7" borderId="43" xfId="0" applyNumberFormat="1" applyFont="1" applyFill="1" applyBorder="1"/>
    <xf numFmtId="17" fontId="25" fillId="7" borderId="42" xfId="0" applyNumberFormat="1" applyFont="1" applyFill="1" applyBorder="1"/>
    <xf numFmtId="17" fontId="25" fillId="7" borderId="11" xfId="0" applyNumberFormat="1" applyFont="1" applyFill="1" applyBorder="1"/>
    <xf numFmtId="0" fontId="25" fillId="0" borderId="8" xfId="0" applyFont="1" applyBorder="1"/>
    <xf numFmtId="3" fontId="25" fillId="0" borderId="17" xfId="0" applyNumberFormat="1" applyFont="1" applyBorder="1"/>
    <xf numFmtId="3" fontId="25" fillId="0" borderId="8" xfId="0" applyNumberFormat="1" applyFont="1" applyBorder="1"/>
    <xf numFmtId="3" fontId="31" fillId="14" borderId="17" xfId="4" applyNumberFormat="1" applyFont="1" applyBorder="1"/>
    <xf numFmtId="3" fontId="25" fillId="0" borderId="38" xfId="0" applyNumberFormat="1" applyFont="1" applyBorder="1"/>
    <xf numFmtId="3" fontId="31" fillId="14" borderId="0" xfId="4" applyNumberFormat="1" applyFont="1"/>
    <xf numFmtId="3" fontId="25" fillId="0" borderId="36" xfId="0" applyNumberFormat="1" applyFont="1" applyBorder="1"/>
    <xf numFmtId="3" fontId="25" fillId="0" borderId="42" xfId="0" applyNumberFormat="1" applyFont="1" applyBorder="1"/>
    <xf numFmtId="3" fontId="25" fillId="0" borderId="43" xfId="0" applyNumberFormat="1" applyFont="1" applyBorder="1"/>
    <xf numFmtId="3" fontId="25" fillId="0" borderId="45" xfId="0" applyNumberFormat="1" applyFont="1" applyBorder="1"/>
    <xf numFmtId="0" fontId="25" fillId="0" borderId="45" xfId="0" applyFont="1" applyBorder="1"/>
    <xf numFmtId="0" fontId="25" fillId="0" borderId="43" xfId="0" applyFont="1" applyBorder="1"/>
    <xf numFmtId="0" fontId="25" fillId="0" borderId="36" xfId="0" applyFont="1" applyBorder="1"/>
    <xf numFmtId="3" fontId="32" fillId="15" borderId="0" xfId="5" applyNumberFormat="1" applyFont="1"/>
    <xf numFmtId="1" fontId="32" fillId="15" borderId="0" xfId="5" applyNumberFormat="1" applyFont="1"/>
    <xf numFmtId="0" fontId="32" fillId="15" borderId="0" xfId="5" applyFont="1"/>
    <xf numFmtId="0" fontId="25" fillId="0" borderId="5" xfId="0" applyFont="1" applyBorder="1"/>
    <xf numFmtId="0" fontId="25" fillId="0" borderId="14" xfId="0" applyFont="1" applyBorder="1"/>
    <xf numFmtId="0" fontId="25" fillId="0" borderId="16" xfId="0" applyFont="1" applyBorder="1"/>
    <xf numFmtId="3" fontId="25" fillId="0" borderId="15" xfId="0" applyNumberFormat="1" applyFont="1" applyBorder="1"/>
    <xf numFmtId="3" fontId="25" fillId="0" borderId="14" xfId="0" applyNumberFormat="1" applyFont="1" applyBorder="1"/>
    <xf numFmtId="3" fontId="25" fillId="0" borderId="19" xfId="0" applyNumberFormat="1" applyFont="1" applyBorder="1"/>
    <xf numFmtId="1" fontId="31" fillId="14" borderId="0" xfId="4" applyNumberFormat="1" applyFont="1" applyAlignment="1">
      <alignment vertical="center"/>
    </xf>
    <xf numFmtId="3" fontId="31" fillId="0" borderId="0" xfId="4" applyNumberFormat="1" applyFont="1" applyFill="1"/>
    <xf numFmtId="0" fontId="25" fillId="0" borderId="20" xfId="0" applyFont="1" applyBorder="1"/>
    <xf numFmtId="0" fontId="25" fillId="0" borderId="40" xfId="0" applyFont="1" applyBorder="1"/>
    <xf numFmtId="3" fontId="33" fillId="16" borderId="17" xfId="6" applyNumberFormat="1" applyFont="1" applyBorder="1"/>
    <xf numFmtId="3" fontId="31" fillId="14" borderId="36" xfId="4" applyNumberFormat="1" applyFont="1" applyBorder="1"/>
    <xf numFmtId="3" fontId="31" fillId="14" borderId="8" xfId="4" applyNumberFormat="1" applyFont="1" applyBorder="1"/>
    <xf numFmtId="0" fontId="31" fillId="14" borderId="0" xfId="4" applyFont="1"/>
    <xf numFmtId="3" fontId="25" fillId="0" borderId="12" xfId="0" applyNumberFormat="1" applyFont="1" applyBorder="1"/>
    <xf numFmtId="3" fontId="32" fillId="15" borderId="19" xfId="5" applyNumberFormat="1" applyFont="1" applyBorder="1"/>
    <xf numFmtId="0" fontId="25" fillId="0" borderId="13" xfId="0" applyFont="1" applyBorder="1"/>
    <xf numFmtId="0" fontId="25" fillId="0" borderId="37" xfId="0" applyFont="1" applyBorder="1"/>
    <xf numFmtId="3" fontId="25" fillId="0" borderId="13" xfId="0" applyNumberFormat="1" applyFont="1" applyBorder="1"/>
    <xf numFmtId="0" fontId="25" fillId="0" borderId="12" xfId="0" applyFont="1" applyBorder="1"/>
    <xf numFmtId="0" fontId="25" fillId="0" borderId="13" xfId="0" applyFont="1" applyBorder="1" applyAlignment="1">
      <alignment horizontal="left" vertical="center"/>
    </xf>
    <xf numFmtId="3" fontId="32" fillId="15" borderId="17" xfId="5" applyNumberFormat="1" applyFont="1" applyBorder="1"/>
    <xf numFmtId="1" fontId="31" fillId="14" borderId="0" xfId="4" applyNumberFormat="1" applyFont="1"/>
    <xf numFmtId="3" fontId="34" fillId="0" borderId="17" xfId="5" applyNumberFormat="1" applyFont="1" applyFill="1" applyBorder="1"/>
    <xf numFmtId="3" fontId="32" fillId="15" borderId="15" xfId="5" applyNumberFormat="1" applyFont="1" applyBorder="1"/>
    <xf numFmtId="0" fontId="25" fillId="0" borderId="8" xfId="0" applyFont="1" applyBorder="1" applyAlignment="1">
      <alignment horizontal="left" vertical="center"/>
    </xf>
    <xf numFmtId="3" fontId="25" fillId="0" borderId="10" xfId="0" applyNumberFormat="1" applyFont="1" applyBorder="1"/>
    <xf numFmtId="3" fontId="25" fillId="0" borderId="13" xfId="0" applyNumberFormat="1" applyFont="1" applyBorder="1" applyAlignment="1">
      <alignment horizontal="right"/>
    </xf>
    <xf numFmtId="3" fontId="25" fillId="0" borderId="1" xfId="0" applyNumberFormat="1" applyFont="1" applyBorder="1"/>
    <xf numFmtId="3" fontId="25" fillId="0" borderId="39" xfId="0" applyNumberFormat="1" applyFont="1" applyBorder="1"/>
    <xf numFmtId="3" fontId="25" fillId="0" borderId="11" xfId="0" applyNumberFormat="1" applyFont="1" applyBorder="1"/>
    <xf numFmtId="0" fontId="25" fillId="0" borderId="1" xfId="0" applyFont="1" applyBorder="1"/>
    <xf numFmtId="0" fontId="25" fillId="0" borderId="39" xfId="0" applyFont="1" applyBorder="1"/>
    <xf numFmtId="0" fontId="25" fillId="0" borderId="51" xfId="0" applyFont="1" applyBorder="1"/>
    <xf numFmtId="0" fontId="25" fillId="0" borderId="50" xfId="0" applyFont="1" applyBorder="1"/>
    <xf numFmtId="3" fontId="25" fillId="0" borderId="50" xfId="0" applyNumberFormat="1" applyFont="1" applyBorder="1"/>
    <xf numFmtId="0" fontId="30" fillId="0" borderId="11" xfId="0" applyFont="1" applyBorder="1"/>
    <xf numFmtId="0" fontId="30" fillId="0" borderId="1" xfId="0" applyFont="1" applyBorder="1"/>
    <xf numFmtId="3" fontId="35" fillId="0" borderId="7" xfId="0" applyNumberFormat="1" applyFont="1" applyBorder="1"/>
    <xf numFmtId="3" fontId="25" fillId="0" borderId="7" xfId="0" applyNumberFormat="1" applyFont="1" applyBorder="1"/>
    <xf numFmtId="0" fontId="25" fillId="0" borderId="9" xfId="0" applyFont="1" applyBorder="1"/>
    <xf numFmtId="0" fontId="36" fillId="0" borderId="10" xfId="0" applyFont="1" applyBorder="1" applyAlignment="1">
      <alignment horizontal="left"/>
    </xf>
    <xf numFmtId="3" fontId="25" fillId="0" borderId="18" xfId="0" applyNumberFormat="1" applyFont="1" applyBorder="1"/>
    <xf numFmtId="3" fontId="25" fillId="0" borderId="9" xfId="0" applyNumberFormat="1" applyFont="1" applyBorder="1"/>
    <xf numFmtId="0" fontId="30" fillId="0" borderId="9" xfId="0" applyFont="1" applyBorder="1"/>
    <xf numFmtId="0" fontId="25" fillId="0" borderId="10" xfId="0" applyFont="1" applyBorder="1"/>
    <xf numFmtId="165" fontId="25" fillId="0" borderId="18" xfId="0" applyNumberFormat="1" applyFont="1" applyBorder="1"/>
    <xf numFmtId="165" fontId="25" fillId="0" borderId="9" xfId="0" applyNumberFormat="1" applyFont="1" applyBorder="1"/>
    <xf numFmtId="0" fontId="25" fillId="0" borderId="47" xfId="0" applyFont="1" applyBorder="1"/>
    <xf numFmtId="0" fontId="2" fillId="6" borderId="8" xfId="0" applyFont="1" applyFill="1" applyBorder="1" applyAlignment="1">
      <alignment horizontal="left" vertical="center"/>
    </xf>
    <xf numFmtId="0" fontId="17" fillId="0" borderId="95" xfId="0" applyFont="1" applyBorder="1"/>
    <xf numFmtId="165" fontId="0" fillId="0" borderId="17" xfId="1" applyNumberFormat="1" applyFont="1" applyBorder="1" applyAlignment="1">
      <alignment horizontal="right"/>
    </xf>
    <xf numFmtId="3" fontId="0" fillId="0" borderId="58" xfId="0" applyNumberFormat="1" applyBorder="1" applyAlignment="1">
      <alignment horizontal="right"/>
    </xf>
    <xf numFmtId="3" fontId="37" fillId="0" borderId="17" xfId="0" applyNumberFormat="1" applyFont="1" applyBorder="1"/>
    <xf numFmtId="0" fontId="2" fillId="0" borderId="104" xfId="0" applyFont="1" applyBorder="1"/>
    <xf numFmtId="0" fontId="0" fillId="0" borderId="105" xfId="0" applyBorder="1"/>
    <xf numFmtId="3" fontId="2" fillId="0" borderId="103" xfId="0" applyNumberFormat="1" applyFont="1" applyBorder="1"/>
    <xf numFmtId="3" fontId="2" fillId="0" borderId="104" xfId="0" applyNumberFormat="1" applyFont="1" applyBorder="1"/>
    <xf numFmtId="3" fontId="2" fillId="0" borderId="106" xfId="0" applyNumberFormat="1" applyFont="1" applyBorder="1"/>
    <xf numFmtId="3" fontId="0" fillId="0" borderId="107" xfId="0" applyNumberFormat="1" applyBorder="1"/>
    <xf numFmtId="3" fontId="2" fillId="0" borderId="105" xfId="0" applyNumberFormat="1" applyFont="1" applyBorder="1"/>
    <xf numFmtId="3" fontId="15" fillId="14" borderId="0" xfId="4" applyNumberFormat="1" applyAlignment="1">
      <alignment horizontal="left" indent="4"/>
    </xf>
    <xf numFmtId="3" fontId="15" fillId="14" borderId="0" xfId="4" applyNumberFormat="1" applyAlignment="1">
      <alignment horizontal="right" vertical="center" wrapText="1"/>
    </xf>
    <xf numFmtId="2" fontId="15" fillId="14" borderId="0" xfId="4" applyNumberFormat="1" applyAlignment="1">
      <alignment horizontal="right"/>
    </xf>
    <xf numFmtId="2" fontId="15" fillId="14" borderId="0" xfId="4" applyNumberFormat="1" applyAlignment="1">
      <alignment horizontal="right" vertical="center" wrapText="1"/>
    </xf>
    <xf numFmtId="3" fontId="2" fillId="0" borderId="17" xfId="0" applyNumberFormat="1" applyFont="1" applyBorder="1"/>
    <xf numFmtId="3" fontId="2" fillId="0" borderId="0" xfId="0" applyNumberFormat="1" applyFont="1"/>
    <xf numFmtId="3" fontId="2" fillId="0" borderId="36" xfId="0" applyNumberFormat="1" applyFont="1" applyBorder="1"/>
    <xf numFmtId="0" fontId="2" fillId="0" borderId="106" xfId="0" applyFont="1" applyBorder="1"/>
    <xf numFmtId="0" fontId="0" fillId="0" borderId="7" xfId="0" applyBorder="1"/>
    <xf numFmtId="165" fontId="0" fillId="0" borderId="7" xfId="0" applyNumberFormat="1" applyBorder="1"/>
    <xf numFmtId="0" fontId="2" fillId="0" borderId="8" xfId="0" applyFont="1" applyBorder="1"/>
    <xf numFmtId="0" fontId="9" fillId="0" borderId="18" xfId="0" applyFont="1" applyBorder="1" applyAlignment="1">
      <alignment horizontal="left"/>
    </xf>
    <xf numFmtId="0" fontId="0" fillId="0" borderId="108" xfId="0" applyBorder="1"/>
    <xf numFmtId="3" fontId="0" fillId="0" borderId="108" xfId="0" applyNumberFormat="1" applyBorder="1"/>
    <xf numFmtId="3" fontId="0" fillId="4" borderId="108" xfId="0" applyNumberFormat="1" applyFill="1" applyBorder="1"/>
    <xf numFmtId="0" fontId="2" fillId="0" borderId="105" xfId="0" applyFont="1" applyBorder="1"/>
    <xf numFmtId="165" fontId="2" fillId="0" borderId="7" xfId="0" applyNumberFormat="1" applyFont="1" applyBorder="1"/>
    <xf numFmtId="3" fontId="2" fillId="0" borderId="37" xfId="0" applyNumberFormat="1" applyFont="1" applyBorder="1"/>
    <xf numFmtId="165" fontId="0" fillId="0" borderId="0" xfId="1" applyNumberFormat="1" applyFont="1"/>
    <xf numFmtId="169" fontId="0" fillId="0" borderId="108" xfId="0" applyNumberFormat="1" applyBorder="1"/>
    <xf numFmtId="169" fontId="0" fillId="0" borderId="15" xfId="0" applyNumberFormat="1" applyBorder="1"/>
    <xf numFmtId="0" fontId="0" fillId="0" borderId="109" xfId="0" applyBorder="1"/>
    <xf numFmtId="0" fontId="0" fillId="0" borderId="110" xfId="0" applyBorder="1"/>
    <xf numFmtId="3" fontId="0" fillId="0" borderId="111" xfId="0" applyNumberFormat="1" applyBorder="1"/>
    <xf numFmtId="3" fontId="0" fillId="0" borderId="110" xfId="0" applyNumberFormat="1" applyBorder="1"/>
    <xf numFmtId="3" fontId="0" fillId="0" borderId="109" xfId="0" applyNumberFormat="1" applyBorder="1"/>
    <xf numFmtId="169" fontId="0" fillId="0" borderId="111" xfId="0" applyNumberFormat="1" applyBorder="1"/>
    <xf numFmtId="3" fontId="15" fillId="14" borderId="111" xfId="4" applyNumberFormat="1" applyBorder="1"/>
    <xf numFmtId="3" fontId="0" fillId="0" borderId="91" xfId="0" applyNumberFormat="1" applyBorder="1"/>
    <xf numFmtId="0" fontId="0" fillId="4" borderId="13" xfId="0" applyFill="1" applyBorder="1" applyAlignment="1">
      <alignment horizontal="left" vertical="center"/>
    </xf>
    <xf numFmtId="0" fontId="14" fillId="0" borderId="95" xfId="0" applyFont="1" applyBorder="1"/>
    <xf numFmtId="3" fontId="0" fillId="4" borderId="97" xfId="0" applyNumberFormat="1" applyFill="1" applyBorder="1"/>
    <xf numFmtId="0" fontId="0" fillId="4" borderId="95" xfId="0" applyFill="1" applyBorder="1"/>
    <xf numFmtId="0" fontId="14" fillId="6" borderId="95" xfId="0" applyFont="1" applyFill="1" applyBorder="1"/>
    <xf numFmtId="0" fontId="30" fillId="2" borderId="1" xfId="0" applyFont="1" applyFill="1" applyBorder="1" applyAlignment="1">
      <alignment vertical="top" wrapText="1"/>
    </xf>
    <xf numFmtId="3" fontId="25" fillId="0" borderId="46" xfId="0" applyNumberFormat="1" applyFont="1" applyBorder="1"/>
    <xf numFmtId="3" fontId="0" fillId="0" borderId="13" xfId="0" applyNumberFormat="1" applyBorder="1" applyAlignment="1">
      <alignment horizontal="right"/>
    </xf>
    <xf numFmtId="3" fontId="0" fillId="4" borderId="18" xfId="0" applyNumberFormat="1" applyFill="1" applyBorder="1"/>
    <xf numFmtId="3" fontId="25" fillId="6" borderId="36" xfId="0" applyNumberFormat="1" applyFont="1" applyFill="1" applyBorder="1"/>
    <xf numFmtId="3" fontId="25" fillId="4" borderId="36" xfId="0" applyNumberFormat="1" applyFont="1" applyFill="1" applyBorder="1"/>
    <xf numFmtId="3" fontId="14" fillId="0" borderId="17" xfId="0" applyNumberFormat="1" applyFont="1" applyBorder="1"/>
    <xf numFmtId="17" fontId="2" fillId="7" borderId="45" xfId="0" applyNumberFormat="1" applyFont="1" applyFill="1" applyBorder="1" applyAlignment="1">
      <alignment wrapText="1"/>
    </xf>
    <xf numFmtId="4" fontId="0" fillId="0" borderId="36" xfId="0" applyNumberFormat="1" applyBorder="1"/>
    <xf numFmtId="0" fontId="38" fillId="0" borderId="0" xfId="7"/>
    <xf numFmtId="3" fontId="9" fillId="0" borderId="66" xfId="0" applyNumberFormat="1" applyFont="1" applyBorder="1"/>
    <xf numFmtId="3" fontId="39" fillId="0" borderId="66" xfId="0" applyNumberFormat="1" applyFont="1" applyBorder="1"/>
    <xf numFmtId="17" fontId="2" fillId="0" borderId="43" xfId="0" applyNumberFormat="1" applyFont="1" applyBorder="1" applyAlignment="1">
      <alignment wrapText="1"/>
    </xf>
    <xf numFmtId="17" fontId="0" fillId="0" borderId="42" xfId="0" applyNumberFormat="1" applyBorder="1"/>
    <xf numFmtId="17" fontId="0" fillId="0" borderId="8" xfId="0" applyNumberFormat="1" applyBorder="1"/>
    <xf numFmtId="0" fontId="0" fillId="0" borderId="9" xfId="0" applyBorder="1" applyAlignment="1">
      <alignment horizontal="left" vertical="center"/>
    </xf>
    <xf numFmtId="3" fontId="9" fillId="0" borderId="17" xfId="0" applyNumberFormat="1" applyFont="1" applyBorder="1"/>
    <xf numFmtId="0" fontId="0" fillId="0" borderId="112" xfId="0" applyBorder="1"/>
    <xf numFmtId="170" fontId="0" fillId="0" borderId="0" xfId="0" applyNumberFormat="1"/>
    <xf numFmtId="170" fontId="0" fillId="0" borderId="36" xfId="0" applyNumberFormat="1" applyBorder="1"/>
    <xf numFmtId="4" fontId="2" fillId="0" borderId="0" xfId="0" applyNumberFormat="1" applyFont="1"/>
    <xf numFmtId="0" fontId="2" fillId="0" borderId="92" xfId="0" applyFont="1" applyBorder="1" applyAlignment="1">
      <alignment vertical="top" wrapText="1"/>
    </xf>
    <xf numFmtId="38" fontId="0" fillId="0" borderId="0" xfId="0" applyNumberFormat="1"/>
    <xf numFmtId="38" fontId="0" fillId="0" borderId="16" xfId="0" applyNumberFormat="1" applyBorder="1"/>
    <xf numFmtId="165" fontId="0" fillId="0" borderId="17" xfId="1" applyNumberFormat="1" applyFont="1" applyBorder="1"/>
    <xf numFmtId="43" fontId="0" fillId="0" borderId="0" xfId="1" applyFont="1"/>
    <xf numFmtId="165" fontId="0" fillId="0" borderId="17" xfId="1" applyNumberFormat="1" applyFont="1" applyFill="1" applyBorder="1"/>
    <xf numFmtId="0" fontId="0" fillId="0" borderId="92" xfId="0" applyBorder="1"/>
    <xf numFmtId="17" fontId="0" fillId="7" borderId="113" xfId="0" applyNumberFormat="1" applyFill="1" applyBorder="1"/>
    <xf numFmtId="38" fontId="0" fillId="0" borderId="80" xfId="0" applyNumberFormat="1" applyBorder="1"/>
    <xf numFmtId="38" fontId="0" fillId="0" borderId="82" xfId="0" applyNumberFormat="1" applyBorder="1"/>
    <xf numFmtId="3" fontId="0" fillId="0" borderId="113" xfId="0" applyNumberFormat="1" applyBorder="1"/>
    <xf numFmtId="169" fontId="25" fillId="0" borderId="0" xfId="0" applyNumberFormat="1" applyFont="1"/>
    <xf numFmtId="165" fontId="0" fillId="0" borderId="80" xfId="1" applyNumberFormat="1" applyFont="1" applyBorder="1"/>
    <xf numFmtId="0" fontId="20" fillId="16" borderId="0" xfId="6"/>
    <xf numFmtId="169" fontId="0" fillId="0" borderId="0" xfId="0" applyNumberFormat="1"/>
    <xf numFmtId="0" fontId="2" fillId="0" borderId="96" xfId="0" applyFont="1" applyBorder="1" applyAlignment="1">
      <alignment vertical="top" wrapText="1"/>
    </xf>
    <xf numFmtId="3" fontId="0" fillId="0" borderId="114" xfId="0" applyNumberFormat="1" applyBorder="1"/>
    <xf numFmtId="3" fontId="0" fillId="0" borderId="115" xfId="0" applyNumberFormat="1" applyBorder="1"/>
    <xf numFmtId="0" fontId="38" fillId="0" borderId="80" xfId="7" applyBorder="1"/>
    <xf numFmtId="165" fontId="0" fillId="0" borderId="85" xfId="0" applyNumberFormat="1" applyBorder="1"/>
    <xf numFmtId="164" fontId="0" fillId="0" borderId="60" xfId="0" applyNumberFormat="1" applyBorder="1"/>
    <xf numFmtId="3" fontId="0" fillId="17" borderId="59" xfId="0" applyNumberFormat="1" applyFill="1" applyBorder="1"/>
    <xf numFmtId="164" fontId="0" fillId="0" borderId="8" xfId="0" applyNumberFormat="1" applyBorder="1"/>
    <xf numFmtId="164" fontId="0" fillId="0" borderId="14" xfId="0" applyNumberFormat="1" applyBorder="1"/>
    <xf numFmtId="164" fontId="0" fillId="0" borderId="20" xfId="0" applyNumberFormat="1" applyBorder="1"/>
    <xf numFmtId="164" fontId="0" fillId="0" borderId="13" xfId="0" applyNumberFormat="1" applyBorder="1"/>
    <xf numFmtId="164" fontId="0" fillId="4" borderId="58" xfId="0" applyNumberFormat="1" applyFill="1" applyBorder="1"/>
    <xf numFmtId="164" fontId="0" fillId="4" borderId="91" xfId="0" applyNumberFormat="1" applyFill="1" applyBorder="1"/>
    <xf numFmtId="164" fontId="0" fillId="17" borderId="91" xfId="0" applyNumberFormat="1" applyFill="1" applyBorder="1"/>
    <xf numFmtId="164" fontId="0" fillId="0" borderId="91" xfId="0" applyNumberFormat="1" applyBorder="1"/>
    <xf numFmtId="164" fontId="0" fillId="17" borderId="8" xfId="0" applyNumberFormat="1" applyFill="1" applyBorder="1"/>
    <xf numFmtId="164" fontId="0" fillId="0" borderId="9" xfId="0" applyNumberFormat="1" applyBorder="1"/>
    <xf numFmtId="3" fontId="10" fillId="0" borderId="58" xfId="0" applyNumberFormat="1" applyFont="1" applyBorder="1"/>
    <xf numFmtId="170" fontId="2" fillId="0" borderId="0" xfId="0" applyNumberFormat="1" applyFont="1"/>
    <xf numFmtId="0" fontId="21" fillId="22" borderId="17" xfId="0" applyFont="1" applyFill="1" applyBorder="1"/>
    <xf numFmtId="3" fontId="9" fillId="0" borderId="68" xfId="0" applyNumberFormat="1" applyFont="1" applyBorder="1"/>
    <xf numFmtId="0" fontId="24" fillId="0" borderId="0" xfId="0" applyFont="1"/>
    <xf numFmtId="168" fontId="0" fillId="6" borderId="8" xfId="0" applyNumberFormat="1" applyFill="1" applyBorder="1"/>
    <xf numFmtId="168" fontId="2" fillId="0" borderId="7" xfId="0" applyNumberFormat="1" applyFont="1" applyBorder="1" applyAlignment="1">
      <alignment vertical="center"/>
    </xf>
    <xf numFmtId="168" fontId="2" fillId="0" borderId="11" xfId="0" applyNumberFormat="1" applyFont="1" applyBorder="1" applyAlignment="1">
      <alignment vertical="top" wrapText="1"/>
    </xf>
    <xf numFmtId="168" fontId="2" fillId="0" borderId="7" xfId="0" applyNumberFormat="1" applyFont="1" applyBorder="1" applyAlignment="1">
      <alignment vertical="top" wrapText="1"/>
    </xf>
    <xf numFmtId="168" fontId="2" fillId="0" borderId="65" xfId="0" applyNumberFormat="1" applyFont="1" applyBorder="1" applyAlignment="1">
      <alignment vertical="top" wrapText="1"/>
    </xf>
    <xf numFmtId="168" fontId="2" fillId="0" borderId="1" xfId="0" applyNumberFormat="1" applyFont="1" applyBorder="1" applyAlignment="1">
      <alignment vertical="top" wrapText="1"/>
    </xf>
    <xf numFmtId="168" fontId="0" fillId="0" borderId="17" xfId="0" applyNumberFormat="1" applyBorder="1"/>
    <xf numFmtId="168" fontId="0" fillId="0" borderId="8" xfId="0" applyNumberFormat="1" applyBorder="1"/>
    <xf numFmtId="168" fontId="0" fillId="0" borderId="66" xfId="0" applyNumberFormat="1" applyBorder="1"/>
    <xf numFmtId="168" fontId="0" fillId="0" borderId="100" xfId="0" applyNumberFormat="1" applyBorder="1"/>
    <xf numFmtId="168" fontId="0" fillId="0" borderId="99" xfId="0" applyNumberFormat="1" applyBorder="1"/>
    <xf numFmtId="168" fontId="0" fillId="0" borderId="101" xfId="0" applyNumberFormat="1" applyBorder="1"/>
    <xf numFmtId="168" fontId="0" fillId="0" borderId="63" xfId="0" applyNumberFormat="1" applyBorder="1"/>
    <xf numFmtId="168" fontId="0" fillId="0" borderId="15" xfId="0" applyNumberFormat="1" applyBorder="1"/>
    <xf numFmtId="168" fontId="0" fillId="0" borderId="14" xfId="0" applyNumberFormat="1" applyBorder="1"/>
    <xf numFmtId="168" fontId="0" fillId="0" borderId="20" xfId="0" applyNumberFormat="1" applyBorder="1"/>
    <xf numFmtId="168" fontId="0" fillId="0" borderId="67" xfId="0" applyNumberFormat="1" applyBorder="1"/>
    <xf numFmtId="168" fontId="0" fillId="0" borderId="2" xfId="0" applyNumberFormat="1" applyBorder="1"/>
    <xf numFmtId="168" fontId="0" fillId="6" borderId="14" xfId="0" applyNumberFormat="1" applyFill="1" applyBorder="1"/>
    <xf numFmtId="168" fontId="0" fillId="0" borderId="68" xfId="0" applyNumberFormat="1" applyBorder="1"/>
    <xf numFmtId="168" fontId="0" fillId="0" borderId="16" xfId="0" applyNumberFormat="1" applyBorder="1"/>
    <xf numFmtId="168" fontId="0" fillId="0" borderId="19" xfId="0" applyNumberFormat="1" applyBorder="1"/>
    <xf numFmtId="168" fontId="0" fillId="0" borderId="12" xfId="0" applyNumberFormat="1" applyBorder="1"/>
    <xf numFmtId="168" fontId="0" fillId="0" borderId="13" xfId="0" applyNumberFormat="1" applyBorder="1"/>
    <xf numFmtId="168" fontId="0" fillId="0" borderId="69" xfId="0" applyNumberFormat="1" applyBorder="1"/>
    <xf numFmtId="168" fontId="0" fillId="0" borderId="5" xfId="0" applyNumberFormat="1" applyBorder="1"/>
    <xf numFmtId="168" fontId="0" fillId="0" borderId="8" xfId="0" applyNumberFormat="1" applyBorder="1" applyAlignment="1">
      <alignment horizontal="center" vertical="center"/>
    </xf>
    <xf numFmtId="168" fontId="0" fillId="0" borderId="66" xfId="0" applyNumberFormat="1" applyBorder="1" applyAlignment="1">
      <alignment horizontal="center" vertical="center"/>
    </xf>
    <xf numFmtId="168" fontId="0" fillId="0" borderId="0" xfId="0" applyNumberFormat="1" applyAlignment="1">
      <alignment horizontal="center" vertical="center"/>
    </xf>
    <xf numFmtId="168" fontId="0" fillId="0" borderId="36" xfId="0" applyNumberFormat="1" applyBorder="1"/>
    <xf numFmtId="168" fontId="0" fillId="5" borderId="17" xfId="0" applyNumberFormat="1" applyFill="1" applyBorder="1"/>
    <xf numFmtId="168" fontId="0" fillId="0" borderId="35" xfId="0" applyNumberFormat="1" applyBorder="1"/>
    <xf numFmtId="168" fontId="0" fillId="0" borderId="7" xfId="0" applyNumberFormat="1" applyBorder="1"/>
    <xf numFmtId="168" fontId="0" fillId="0" borderId="11" xfId="0" applyNumberFormat="1" applyBorder="1"/>
    <xf numFmtId="168" fontId="0" fillId="0" borderId="70" xfId="0" applyNumberFormat="1" applyBorder="1"/>
    <xf numFmtId="168" fontId="0" fillId="0" borderId="1" xfId="0" applyNumberFormat="1" applyBorder="1"/>
    <xf numFmtId="168" fontId="0" fillId="0" borderId="18" xfId="0" applyNumberFormat="1" applyBorder="1"/>
    <xf numFmtId="168" fontId="0" fillId="0" borderId="9" xfId="0" applyNumberFormat="1" applyBorder="1"/>
    <xf numFmtId="168" fontId="0" fillId="0" borderId="71" xfId="0" applyNumberFormat="1" applyBorder="1"/>
    <xf numFmtId="168" fontId="0" fillId="0" borderId="10" xfId="0" applyNumberFormat="1" applyBorder="1"/>
    <xf numFmtId="168" fontId="0" fillId="0" borderId="72" xfId="0" applyNumberFormat="1" applyBorder="1"/>
    <xf numFmtId="168" fontId="0" fillId="0" borderId="17" xfId="0" applyNumberFormat="1" applyBorder="1" applyAlignment="1">
      <alignment horizontal="right"/>
    </xf>
    <xf numFmtId="3" fontId="0" fillId="0" borderId="12" xfId="0" applyNumberFormat="1" applyBorder="1" applyAlignment="1">
      <alignment horizontal="center" vertical="center"/>
    </xf>
    <xf numFmtId="3" fontId="0" fillId="0" borderId="12" xfId="0" applyNumberFormat="1" applyBorder="1" applyAlignment="1">
      <alignment horizontal="center"/>
    </xf>
    <xf numFmtId="3" fontId="18" fillId="0" borderId="17" xfId="0" applyNumberFormat="1" applyFont="1" applyBorder="1"/>
    <xf numFmtId="3" fontId="18" fillId="21" borderId="17" xfId="0" applyNumberFormat="1" applyFont="1" applyFill="1" applyBorder="1"/>
    <xf numFmtId="0" fontId="18" fillId="0" borderId="0" xfId="0" applyFont="1"/>
    <xf numFmtId="3" fontId="18" fillId="0" borderId="36" xfId="0" applyNumberFormat="1" applyFont="1" applyBorder="1"/>
    <xf numFmtId="0" fontId="18" fillId="0" borderId="36" xfId="0" applyFont="1" applyBorder="1"/>
    <xf numFmtId="3" fontId="18" fillId="21" borderId="36" xfId="0" applyNumberFormat="1" applyFont="1" applyFill="1" applyBorder="1"/>
    <xf numFmtId="0" fontId="25" fillId="0" borderId="58" xfId="0" applyFont="1" applyBorder="1"/>
    <xf numFmtId="171" fontId="0" fillId="0" borderId="0" xfId="0" applyNumberFormat="1"/>
    <xf numFmtId="0" fontId="0" fillId="23" borderId="0" xfId="0" applyFill="1"/>
    <xf numFmtId="0" fontId="0" fillId="23" borderId="5" xfId="0" applyFill="1" applyBorder="1" applyAlignment="1">
      <alignment horizontal="center"/>
    </xf>
    <xf numFmtId="17" fontId="0" fillId="0" borderId="2" xfId="0" applyNumberFormat="1" applyBorder="1" applyAlignment="1">
      <alignment wrapText="1"/>
    </xf>
    <xf numFmtId="17" fontId="0" fillId="23" borderId="2" xfId="0" applyNumberFormat="1" applyFill="1" applyBorder="1" applyAlignment="1">
      <alignment wrapText="1"/>
    </xf>
    <xf numFmtId="0" fontId="0" fillId="20" borderId="32" xfId="0" applyFill="1" applyBorder="1"/>
    <xf numFmtId="171" fontId="0" fillId="0" borderId="17" xfId="0" applyNumberFormat="1" applyBorder="1"/>
    <xf numFmtId="171" fontId="40" fillId="0" borderId="17" xfId="0" applyNumberFormat="1" applyFont="1" applyBorder="1"/>
    <xf numFmtId="171" fontId="0" fillId="24" borderId="8" xfId="0" applyNumberFormat="1" applyFill="1" applyBorder="1"/>
    <xf numFmtId="171" fontId="0" fillId="4" borderId="58" xfId="0" applyNumberFormat="1" applyFill="1" applyBorder="1"/>
    <xf numFmtId="172" fontId="0" fillId="23" borderId="0" xfId="0" applyNumberFormat="1" applyFill="1"/>
    <xf numFmtId="172" fontId="0" fillId="0" borderId="0" xfId="0" applyNumberFormat="1"/>
    <xf numFmtId="164" fontId="0" fillId="0" borderId="32" xfId="0" applyNumberFormat="1" applyBorder="1"/>
    <xf numFmtId="171" fontId="0" fillId="0" borderId="8" xfId="0" applyNumberFormat="1" applyBorder="1"/>
    <xf numFmtId="171" fontId="0" fillId="0" borderId="58" xfId="0" applyNumberFormat="1" applyBorder="1"/>
    <xf numFmtId="173" fontId="0" fillId="25" borderId="32" xfId="0" applyNumberFormat="1" applyFill="1" applyBorder="1"/>
    <xf numFmtId="171" fontId="0" fillId="0" borderId="12" xfId="0" applyNumberFormat="1" applyBorder="1"/>
    <xf numFmtId="171" fontId="0" fillId="23" borderId="0" xfId="0" applyNumberFormat="1" applyFill="1"/>
    <xf numFmtId="171" fontId="2" fillId="23" borderId="0" xfId="0" applyNumberFormat="1" applyFont="1" applyFill="1"/>
    <xf numFmtId="0" fontId="2" fillId="23" borderId="0" xfId="0" applyFont="1" applyFill="1"/>
    <xf numFmtId="172" fontId="2" fillId="23" borderId="0" xfId="0" applyNumberFormat="1" applyFont="1" applyFill="1"/>
    <xf numFmtId="0" fontId="24" fillId="25" borderId="49" xfId="0" applyFont="1" applyFill="1" applyBorder="1" applyAlignment="1">
      <alignment horizontal="left" vertical="top" wrapText="1"/>
    </xf>
    <xf numFmtId="0" fontId="0" fillId="25" borderId="58" xfId="0" applyFill="1" applyBorder="1" applyAlignment="1">
      <alignment horizontal="center" vertical="center"/>
    </xf>
    <xf numFmtId="0" fontId="24" fillId="25" borderId="4" xfId="0" applyFont="1" applyFill="1" applyBorder="1" applyAlignment="1">
      <alignment horizontal="left" vertical="top" wrapText="1"/>
    </xf>
    <xf numFmtId="172" fontId="0" fillId="25" borderId="0" xfId="0" applyNumberFormat="1" applyFill="1"/>
    <xf numFmtId="171" fontId="0" fillId="0" borderId="19" xfId="0" applyNumberFormat="1" applyBorder="1"/>
    <xf numFmtId="0" fontId="24" fillId="25" borderId="58" xfId="0" applyFont="1" applyFill="1" applyBorder="1" applyAlignment="1">
      <alignment horizontal="left" vertical="top" wrapText="1"/>
    </xf>
    <xf numFmtId="0" fontId="0" fillId="25" borderId="0" xfId="0" applyFill="1"/>
    <xf numFmtId="0" fontId="24" fillId="25" borderId="0" xfId="0" applyFont="1" applyFill="1" applyAlignment="1">
      <alignment horizontal="left" vertical="top" wrapText="1"/>
    </xf>
    <xf numFmtId="0" fontId="0" fillId="25" borderId="0" xfId="0" applyFill="1" applyAlignment="1">
      <alignment horizontal="center" vertical="center"/>
    </xf>
    <xf numFmtId="171" fontId="0" fillId="0" borderId="61" xfId="0" applyNumberFormat="1" applyBorder="1"/>
    <xf numFmtId="0" fontId="24" fillId="0" borderId="0" xfId="0" applyFont="1" applyAlignment="1">
      <alignment horizontal="left" vertical="top" wrapText="1"/>
    </xf>
    <xf numFmtId="3" fontId="0" fillId="23" borderId="0" xfId="0" applyNumberFormat="1" applyFill="1"/>
    <xf numFmtId="171" fontId="0" fillId="0" borderId="58" xfId="0" applyNumberFormat="1" applyBorder="1" applyAlignment="1">
      <alignment horizontal="left"/>
    </xf>
    <xf numFmtId="0" fontId="41" fillId="0" borderId="0" xfId="0" applyFont="1" applyAlignment="1">
      <alignment horizontal="left" vertical="center"/>
    </xf>
    <xf numFmtId="0" fontId="0" fillId="25" borderId="0" xfId="0" applyFill="1" applyAlignment="1">
      <alignment horizontal="left" vertical="center"/>
    </xf>
    <xf numFmtId="164" fontId="0" fillId="25" borderId="58" xfId="0" applyNumberFormat="1" applyFill="1" applyBorder="1"/>
    <xf numFmtId="0" fontId="42" fillId="0" borderId="8" xfId="0" applyFont="1" applyBorder="1" applyAlignment="1">
      <alignment horizontal="left" vertical="center"/>
    </xf>
    <xf numFmtId="0" fontId="42" fillId="0" borderId="0" xfId="0" applyFont="1" applyAlignment="1">
      <alignment horizontal="left" vertical="center"/>
    </xf>
    <xf numFmtId="0" fontId="42" fillId="0" borderId="0" xfId="0" applyFont="1"/>
    <xf numFmtId="3" fontId="42" fillId="0" borderId="58" xfId="0" applyNumberFormat="1" applyFont="1" applyBorder="1"/>
    <xf numFmtId="3" fontId="42" fillId="0" borderId="0" xfId="0" applyNumberFormat="1" applyFont="1"/>
    <xf numFmtId="164" fontId="0" fillId="25" borderId="0" xfId="0" applyNumberFormat="1" applyFill="1"/>
    <xf numFmtId="0" fontId="0" fillId="0" borderId="41" xfId="0" applyBorder="1" applyAlignment="1">
      <alignment horizontal="left" vertical="center"/>
    </xf>
    <xf numFmtId="0" fontId="41" fillId="0" borderId="32" xfId="0" applyFont="1" applyBorder="1" applyAlignment="1">
      <alignment horizontal="left" vertical="center"/>
    </xf>
    <xf numFmtId="0" fontId="24" fillId="0" borderId="32" xfId="0" applyFont="1" applyBorder="1" applyAlignment="1">
      <alignment horizontal="left" vertical="top" wrapText="1"/>
    </xf>
    <xf numFmtId="171" fontId="0" fillId="0" borderId="32" xfId="0" applyNumberFormat="1" applyBorder="1"/>
    <xf numFmtId="171" fontId="40" fillId="0" borderId="36" xfId="0" applyNumberFormat="1" applyFont="1" applyBorder="1"/>
    <xf numFmtId="172" fontId="0" fillId="0" borderId="32" xfId="0" applyNumberFormat="1" applyBorder="1"/>
    <xf numFmtId="0" fontId="0" fillId="0" borderId="32" xfId="0" applyBorder="1" applyAlignment="1">
      <alignment horizontal="left" vertical="center"/>
    </xf>
    <xf numFmtId="171" fontId="0" fillId="0" borderId="32" xfId="0" applyNumberFormat="1" applyBorder="1" applyAlignment="1">
      <alignment horizontal="left"/>
    </xf>
    <xf numFmtId="173" fontId="0" fillId="0" borderId="32" xfId="0" applyNumberFormat="1" applyBorder="1"/>
    <xf numFmtId="171" fontId="0" fillId="0" borderId="59" xfId="0" applyNumberFormat="1" applyBorder="1"/>
    <xf numFmtId="171" fontId="0" fillId="0" borderId="17" xfId="0" applyNumberFormat="1" applyBorder="1" applyAlignment="1">
      <alignment wrapText="1"/>
    </xf>
    <xf numFmtId="171" fontId="0" fillId="0" borderId="0" xfId="0" applyNumberFormat="1" applyAlignment="1">
      <alignment wrapText="1"/>
    </xf>
    <xf numFmtId="171" fontId="0" fillId="25" borderId="17" xfId="0" applyNumberFormat="1" applyFill="1" applyBorder="1"/>
    <xf numFmtId="43" fontId="0" fillId="0" borderId="8" xfId="0" applyNumberFormat="1" applyBorder="1" applyAlignment="1">
      <alignment horizontal="left" vertical="center"/>
    </xf>
    <xf numFmtId="171" fontId="40" fillId="0" borderId="19" xfId="0" applyNumberFormat="1" applyFont="1" applyBorder="1"/>
    <xf numFmtId="171" fontId="0" fillId="0" borderId="20" xfId="0" applyNumberFormat="1" applyBorder="1"/>
    <xf numFmtId="3" fontId="2" fillId="23" borderId="0" xfId="0" applyNumberFormat="1" applyFont="1" applyFill="1"/>
    <xf numFmtId="171" fontId="0" fillId="12" borderId="17" xfId="0" applyNumberFormat="1" applyFill="1" applyBorder="1"/>
    <xf numFmtId="171" fontId="40" fillId="12" borderId="17" xfId="0" applyNumberFormat="1" applyFont="1" applyFill="1" applyBorder="1"/>
    <xf numFmtId="171" fontId="0" fillId="12" borderId="8" xfId="0" applyNumberFormat="1" applyFill="1" applyBorder="1"/>
    <xf numFmtId="171" fontId="0" fillId="12" borderId="58" xfId="0" applyNumberFormat="1" applyFill="1" applyBorder="1"/>
    <xf numFmtId="3" fontId="0" fillId="12" borderId="58" xfId="0" applyNumberFormat="1" applyFill="1" applyBorder="1"/>
    <xf numFmtId="0" fontId="0" fillId="26" borderId="13" xfId="0" applyFill="1" applyBorder="1" applyAlignment="1">
      <alignment horizontal="left" vertical="center"/>
    </xf>
    <xf numFmtId="0" fontId="0" fillId="26" borderId="5" xfId="0" applyFill="1" applyBorder="1" applyAlignment="1">
      <alignment horizontal="left" vertical="center"/>
    </xf>
    <xf numFmtId="0" fontId="0" fillId="26" borderId="5" xfId="0" applyFill="1" applyBorder="1"/>
    <xf numFmtId="0" fontId="0" fillId="26" borderId="0" xfId="0" applyFill="1"/>
    <xf numFmtId="171" fontId="2" fillId="26" borderId="0" xfId="0" applyNumberFormat="1" applyFont="1" applyFill="1"/>
    <xf numFmtId="3" fontId="0" fillId="26" borderId="0" xfId="0" applyNumberFormat="1" applyFill="1"/>
    <xf numFmtId="172" fontId="2" fillId="26" borderId="0" xfId="0" applyNumberFormat="1" applyFont="1" applyFill="1"/>
    <xf numFmtId="0" fontId="0" fillId="26" borderId="13" xfId="0" applyFill="1" applyBorder="1"/>
    <xf numFmtId="0" fontId="2" fillId="26" borderId="5" xfId="0" applyFont="1" applyFill="1" applyBorder="1"/>
    <xf numFmtId="0" fontId="2" fillId="26" borderId="0" xfId="0" applyFont="1" applyFill="1"/>
    <xf numFmtId="3" fontId="0" fillId="26" borderId="4" xfId="0" applyNumberFormat="1" applyFill="1" applyBorder="1"/>
    <xf numFmtId="172" fontId="0" fillId="0" borderId="17" xfId="0" applyNumberFormat="1" applyBorder="1"/>
    <xf numFmtId="164" fontId="0" fillId="25" borderId="17" xfId="0" applyNumberFormat="1" applyFill="1" applyBorder="1"/>
    <xf numFmtId="172" fontId="0" fillId="25" borderId="17" xfId="0" applyNumberFormat="1" applyFill="1" applyBorder="1"/>
    <xf numFmtId="4" fontId="0" fillId="23" borderId="0" xfId="0" applyNumberFormat="1" applyFill="1"/>
    <xf numFmtId="172" fontId="0" fillId="0" borderId="15" xfId="0" applyNumberFormat="1" applyBorder="1"/>
    <xf numFmtId="172" fontId="11" fillId="0" borderId="17" xfId="0" applyNumberFormat="1" applyFont="1" applyBorder="1"/>
    <xf numFmtId="3" fontId="6" fillId="23" borderId="0" xfId="0" applyNumberFormat="1" applyFont="1" applyFill="1"/>
    <xf numFmtId="172" fontId="0" fillId="0" borderId="7" xfId="0" applyNumberFormat="1" applyBorder="1"/>
    <xf numFmtId="172" fontId="0" fillId="0" borderId="18" xfId="0" applyNumberFormat="1" applyBorder="1"/>
    <xf numFmtId="0" fontId="0" fillId="23" borderId="5" xfId="0" applyFill="1" applyBorder="1"/>
    <xf numFmtId="165" fontId="0" fillId="0" borderId="0" xfId="8" applyNumberFormat="1" applyFont="1" applyFill="1"/>
    <xf numFmtId="3" fontId="30" fillId="0" borderId="0" xfId="0" applyNumberFormat="1" applyFont="1"/>
    <xf numFmtId="3" fontId="25" fillId="0" borderId="40" xfId="0" applyNumberFormat="1" applyFont="1" applyBorder="1"/>
    <xf numFmtId="3" fontId="25" fillId="0" borderId="54" xfId="0" applyNumberFormat="1" applyFont="1" applyBorder="1"/>
    <xf numFmtId="3" fontId="25" fillId="0" borderId="37" xfId="0" applyNumberFormat="1" applyFont="1" applyBorder="1"/>
    <xf numFmtId="3" fontId="25" fillId="0" borderId="55" xfId="0" applyNumberFormat="1" applyFont="1" applyBorder="1"/>
    <xf numFmtId="3" fontId="31" fillId="14" borderId="40" xfId="4" applyNumberFormat="1" applyFont="1" applyBorder="1"/>
    <xf numFmtId="3" fontId="31" fillId="14" borderId="37" xfId="4" applyNumberFormat="1" applyFont="1" applyBorder="1"/>
    <xf numFmtId="0" fontId="25" fillId="0" borderId="116" xfId="0" applyFont="1" applyBorder="1"/>
    <xf numFmtId="0" fontId="25" fillId="0" borderId="27" xfId="0" applyFont="1" applyBorder="1"/>
    <xf numFmtId="3" fontId="25" fillId="0" borderId="15" xfId="0" applyNumberFormat="1" applyFont="1" applyBorder="1" applyAlignment="1">
      <alignment horizontal="right"/>
    </xf>
    <xf numFmtId="3" fontId="31" fillId="14" borderId="15" xfId="4" applyNumberFormat="1" applyFont="1" applyBorder="1"/>
    <xf numFmtId="3" fontId="31" fillId="14" borderId="19" xfId="4" applyNumberFormat="1" applyFont="1" applyBorder="1"/>
    <xf numFmtId="167" fontId="0" fillId="0" borderId="15" xfId="2" applyNumberFormat="1" applyFont="1" applyBorder="1"/>
    <xf numFmtId="44" fontId="0" fillId="0" borderId="15" xfId="2" applyFont="1" applyBorder="1"/>
    <xf numFmtId="0" fontId="0" fillId="0" borderId="19" xfId="0" applyBorder="1"/>
    <xf numFmtId="174" fontId="0" fillId="7" borderId="1" xfId="0" applyNumberFormat="1" applyFill="1" applyBorder="1"/>
    <xf numFmtId="174" fontId="0" fillId="8" borderId="1" xfId="0" applyNumberFormat="1" applyFill="1" applyBorder="1"/>
    <xf numFmtId="164" fontId="2" fillId="0" borderId="65" xfId="0" applyNumberFormat="1" applyFont="1" applyBorder="1" applyAlignment="1">
      <alignment horizontal="center" vertical="center" wrapText="1"/>
    </xf>
    <xf numFmtId="164" fontId="0" fillId="0" borderId="117" xfId="0" applyNumberFormat="1" applyBorder="1"/>
    <xf numFmtId="164" fontId="0" fillId="0" borderId="66" xfId="0" applyNumberFormat="1" applyBorder="1"/>
    <xf numFmtId="164" fontId="0" fillId="0" borderId="68" xfId="0" applyNumberFormat="1" applyBorder="1"/>
    <xf numFmtId="164" fontId="0" fillId="17" borderId="67" xfId="0" applyNumberFormat="1" applyFill="1" applyBorder="1"/>
    <xf numFmtId="164" fontId="0" fillId="17" borderId="69" xfId="0" applyNumberFormat="1" applyFill="1" applyBorder="1"/>
    <xf numFmtId="164" fontId="0" fillId="0" borderId="67" xfId="0" applyNumberFormat="1" applyBorder="1"/>
    <xf numFmtId="164" fontId="0" fillId="0" borderId="95" xfId="0" applyNumberFormat="1" applyBorder="1"/>
    <xf numFmtId="164" fontId="0" fillId="0" borderId="101" xfId="0" applyNumberFormat="1" applyBorder="1"/>
    <xf numFmtId="164" fontId="0" fillId="17" borderId="95" xfId="0" applyNumberFormat="1" applyFill="1" applyBorder="1" applyAlignment="1">
      <alignment horizontal="left"/>
    </xf>
    <xf numFmtId="164" fontId="0" fillId="0" borderId="95" xfId="0" applyNumberFormat="1" applyBorder="1" applyAlignment="1">
      <alignment horizontal="left"/>
    </xf>
    <xf numFmtId="164" fontId="0" fillId="0" borderId="95" xfId="0" applyNumberFormat="1" applyBorder="1" applyAlignment="1">
      <alignment horizontal="left" wrapText="1"/>
    </xf>
    <xf numFmtId="164" fontId="0" fillId="17" borderId="66" xfId="0" applyNumberFormat="1" applyFill="1" applyBorder="1"/>
    <xf numFmtId="164" fontId="0" fillId="4" borderId="66" xfId="0" applyNumberFormat="1" applyFill="1" applyBorder="1"/>
    <xf numFmtId="164" fontId="11" fillId="0" borderId="66" xfId="0" applyNumberFormat="1" applyFont="1" applyBorder="1"/>
    <xf numFmtId="164" fontId="0" fillId="0" borderId="70" xfId="0" applyNumberFormat="1" applyBorder="1"/>
    <xf numFmtId="164" fontId="0" fillId="0" borderId="71" xfId="0" applyNumberFormat="1" applyBorder="1"/>
    <xf numFmtId="164" fontId="0" fillId="0" borderId="72" xfId="0" applyNumberFormat="1" applyBorder="1"/>
    <xf numFmtId="0" fontId="24" fillId="0" borderId="43" xfId="0" applyFont="1" applyBorder="1" applyAlignment="1">
      <alignment horizontal="left" vertical="top" wrapText="1"/>
    </xf>
    <xf numFmtId="0" fontId="24" fillId="0" borderId="73" xfId="0" applyFont="1" applyBorder="1" applyAlignment="1">
      <alignment horizontal="left" vertical="top" wrapText="1"/>
    </xf>
    <xf numFmtId="164" fontId="2" fillId="0" borderId="39" xfId="0" applyNumberFormat="1" applyFont="1" applyBorder="1" applyAlignment="1">
      <alignment horizontal="center" vertical="center" wrapText="1"/>
    </xf>
    <xf numFmtId="164" fontId="0" fillId="0" borderId="36" xfId="0" applyNumberFormat="1" applyBorder="1"/>
    <xf numFmtId="164" fontId="0" fillId="0" borderId="46" xfId="0" applyNumberFormat="1" applyBorder="1"/>
    <xf numFmtId="164" fontId="0" fillId="0" borderId="40" xfId="0" applyNumberFormat="1" applyBorder="1"/>
    <xf numFmtId="164" fontId="0" fillId="0" borderId="37" xfId="0" applyNumberFormat="1" applyBorder="1"/>
    <xf numFmtId="164" fontId="0" fillId="17" borderId="59" xfId="0" applyNumberFormat="1" applyFill="1" applyBorder="1" applyAlignment="1">
      <alignment horizontal="left"/>
    </xf>
    <xf numFmtId="164" fontId="0" fillId="0" borderId="59" xfId="0" applyNumberFormat="1" applyBorder="1" applyAlignment="1">
      <alignment horizontal="left"/>
    </xf>
    <xf numFmtId="164" fontId="0" fillId="0" borderId="59" xfId="0" applyNumberFormat="1" applyBorder="1" applyAlignment="1">
      <alignment horizontal="left" wrapText="1"/>
    </xf>
    <xf numFmtId="164" fontId="0" fillId="17" borderId="36" xfId="0" applyNumberFormat="1" applyFill="1" applyBorder="1"/>
    <xf numFmtId="164" fontId="11" fillId="0" borderId="36" xfId="0" applyNumberFormat="1" applyFont="1" applyBorder="1"/>
    <xf numFmtId="164" fontId="0" fillId="0" borderId="39" xfId="0" applyNumberFormat="1" applyBorder="1"/>
    <xf numFmtId="164" fontId="0" fillId="0" borderId="47" xfId="0" applyNumberFormat="1" applyBorder="1"/>
    <xf numFmtId="0" fontId="2" fillId="0" borderId="96" xfId="0" applyFont="1" applyBorder="1" applyAlignment="1">
      <alignment horizontal="center" vertical="center" wrapText="1"/>
    </xf>
    <xf numFmtId="0" fontId="2" fillId="0" borderId="118" xfId="0" applyFont="1" applyBorder="1" applyAlignment="1">
      <alignment horizontal="center" vertical="center" wrapText="1"/>
    </xf>
    <xf numFmtId="0" fontId="0" fillId="0" borderId="82" xfId="0" applyBorder="1"/>
    <xf numFmtId="0" fontId="0" fillId="0" borderId="115" xfId="0" applyBorder="1"/>
    <xf numFmtId="0" fontId="0" fillId="0" borderId="115" xfId="0" applyBorder="1" applyAlignment="1">
      <alignment horizontal="left" vertical="center"/>
    </xf>
    <xf numFmtId="0" fontId="0" fillId="0" borderId="80" xfId="0" applyBorder="1" applyAlignment="1">
      <alignment horizontal="left" vertical="center"/>
    </xf>
    <xf numFmtId="0" fontId="0" fillId="0" borderId="98" xfId="0" applyBorder="1"/>
    <xf numFmtId="0" fontId="11" fillId="0" borderId="80" xfId="0" applyFont="1" applyBorder="1"/>
    <xf numFmtId="0" fontId="0" fillId="0" borderId="113" xfId="0" applyBorder="1"/>
    <xf numFmtId="0" fontId="2" fillId="0" borderId="85" xfId="0" applyFont="1" applyBorder="1"/>
    <xf numFmtId="0" fontId="2" fillId="0" borderId="86" xfId="0" applyFont="1" applyBorder="1"/>
    <xf numFmtId="0" fontId="15" fillId="12" borderId="0" xfId="4" applyFill="1"/>
    <xf numFmtId="0" fontId="2" fillId="0" borderId="0" xfId="0" applyFont="1" applyAlignment="1">
      <alignment horizontal="center" wrapText="1"/>
    </xf>
    <xf numFmtId="0" fontId="2" fillId="0" borderId="10" xfId="0" applyFont="1" applyBorder="1" applyAlignment="1">
      <alignment horizontal="center" wrapText="1"/>
    </xf>
    <xf numFmtId="3" fontId="0" fillId="0" borderId="73" xfId="0" applyNumberFormat="1" applyBorder="1"/>
    <xf numFmtId="3" fontId="0" fillId="0" borderId="91" xfId="0" applyNumberFormat="1" applyBorder="1"/>
    <xf numFmtId="3" fontId="0" fillId="0" borderId="59" xfId="0" applyNumberFormat="1" applyBorder="1"/>
    <xf numFmtId="0" fontId="2" fillId="0" borderId="88" xfId="0" applyFont="1" applyBorder="1" applyAlignment="1">
      <alignment vertical="top" wrapText="1"/>
    </xf>
    <xf numFmtId="0" fontId="2" fillId="0" borderId="89" xfId="0" applyFont="1" applyBorder="1" applyAlignment="1">
      <alignment vertical="top" wrapText="1"/>
    </xf>
    <xf numFmtId="0" fontId="2" fillId="0" borderId="90" xfId="0" applyFont="1" applyBorder="1" applyAlignment="1">
      <alignment vertical="top" wrapText="1"/>
    </xf>
    <xf numFmtId="0" fontId="0" fillId="0" borderId="73" xfId="0" applyBorder="1"/>
    <xf numFmtId="0" fontId="0" fillId="0" borderId="91" xfId="0" applyBorder="1"/>
    <xf numFmtId="0" fontId="0" fillId="0" borderId="59" xfId="0" applyBorder="1"/>
    <xf numFmtId="0" fontId="0" fillId="0" borderId="62" xfId="0" applyBorder="1" applyAlignment="1">
      <alignment horizontal="center" vertical="center"/>
    </xf>
    <xf numFmtId="0" fontId="0" fillId="0" borderId="64" xfId="0" applyBorder="1" applyAlignment="1">
      <alignment horizontal="center" vertical="center"/>
    </xf>
    <xf numFmtId="0" fontId="0" fillId="0" borderId="119" xfId="0" applyBorder="1" applyAlignment="1">
      <alignment horizontal="center" vertical="center"/>
    </xf>
    <xf numFmtId="0" fontId="0" fillId="0" borderId="5" xfId="0" applyBorder="1" applyAlignment="1">
      <alignment horizontal="center"/>
    </xf>
    <xf numFmtId="0" fontId="0" fillId="0" borderId="0" xfId="0" applyAlignment="1">
      <alignment horizontal="left" vertical="top"/>
    </xf>
    <xf numFmtId="0" fontId="0" fillId="0" borderId="58" xfId="0" applyBorder="1" applyAlignment="1">
      <alignment horizontal="left" vertical="center" wrapText="1"/>
    </xf>
    <xf numFmtId="0" fontId="0" fillId="0" borderId="58" xfId="0" applyBorder="1" applyAlignment="1">
      <alignment horizontal="left" vertical="center"/>
    </xf>
  </cellXfs>
  <cellStyles count="11">
    <cellStyle name="Bad" xfId="6" builtinId="27"/>
    <cellStyle name="Comma" xfId="1" builtinId="3"/>
    <cellStyle name="Comma 2" xfId="3" xr:uid="{19B3E17A-068C-4C9F-8261-8EDDAE697008}"/>
    <cellStyle name="Comma 2 2" xfId="8" xr:uid="{38B4B2C8-2F43-441A-80D3-193E97C55ED4}"/>
    <cellStyle name="Comma 3" xfId="9" xr:uid="{27F74510-1EDF-4C11-8F05-E1D288B9C5C9}"/>
    <cellStyle name="Currency" xfId="2" builtinId="4"/>
    <cellStyle name="Currency 2" xfId="10" xr:uid="{9D85662C-275E-408D-8482-5E41FAED2997}"/>
    <cellStyle name="Good" xfId="4" builtinId="26"/>
    <cellStyle name="Hyperlink" xfId="7" builtinId="8"/>
    <cellStyle name="Neutral" xfId="5" builtinId="28"/>
    <cellStyle name="Normal" xfId="0" builtinId="0"/>
  </cellStyles>
  <dxfs count="3">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Dave (IslandGP)" id="{7B9D9D83-1E06-4BBE-90FB-3876EE03018F}" userId="Dave (IslandGP)" providerId="None"/>
  <person displayName="James Youngs" id="{1B874C35-C6E8-48C7-A6D1-763D0623F644}" userId="S::james@islandgp.co.uk::c6e31f7c-cf3a-46c6-8237-91d5f84cfb80" providerId="AD"/>
  <person displayName="Lesley Giles" id="{B628EA74-0188-49B4-AF0D-7C063FCC4CB2}" userId="S::lesley@islandgp.co.uk::d3866ac3-55f2-4f6d-be65-00baa624bfe9" providerId="AD"/>
  <person displayName="Nick Bowen" id="{235474EB-11E7-4BE6-8565-2D161DE3C073}" userId="S::nick.bowen@islandgp.com::fc53cff1-3845-47db-b41d-47991d3daba8" providerId="AD"/>
  <person displayName="Harman Sond" id="{3DB8A56B-C536-4B68-A294-C5148B031B45}" userId="S::harman.sond@islandgp.com::7fc9cc3a-abc9-4944-a7ec-eb26fa458583" providerId="AD"/>
  <person displayName="James Youngs" id="{5F26073D-9A11-4479-8D8B-15C67B9D0C78}" userId="S::james.youngs@islandgp.com::c6e31f7c-cf3a-46c6-8237-91d5f84cfb80" providerId="AD"/>
  <person displayName="Lesley Giles" id="{2DF3F950-9404-4AC0-B3C8-7EE6B649E58C}" userId="S::lesley.giles@islandgp.com::d3866ac3-55f2-4f6d-be65-00baa624bfe9" providerId="AD"/>
  <person displayName="Samantha Jones" id="{A18488ED-6394-4F12-AD66-80C8633A37A5}" userId="S::samantha.jones@islandgp.com::a4d4c059-6f0c-4071-8f22-9921ead8e4cd" providerId="AD"/>
  <person displayName="Will Threlfall" id="{230B9990-9DBA-4FF5-9E0A-A4E9E792CC13}" userId="S::will.threlfall@islandgp.com::f61c81bb-6dd1-4416-adf3-d17fb9c84160" providerId="AD"/>
  <person displayName="Annette Lardeur" id="{FA98A92E-12FF-49F3-97F1-AAF44981C902}" userId="S::annette.lardeur@islandgp.com::28557817-33a3-41f2-8e0d-f50940158b31" providerId="AD"/>
  <person displayName="Natasha Worrall" id="{1C3F3518-7C4E-4230-8766-795162C913AB}" userId="S::natasha.worrall@islandgp.com::40d8b798-a020-4161-be31-3e8b8f85023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5" dT="2021-12-17T09:57:52.43" personId="{7B9D9D83-1E06-4BBE-90FB-3876EE03018F}" id="{163B7C80-A6EE-476C-9867-383E4795FD83}">
    <text>Forsight contingency</text>
  </threadedComment>
</ThreadedComments>
</file>

<file path=xl/threadedComments/threadedComment2.xml><?xml version="1.0" encoding="utf-8"?>
<ThreadedComments xmlns="http://schemas.microsoft.com/office/spreadsheetml/2018/threadedcomments" xmlns:x="http://schemas.openxmlformats.org/spreadsheetml/2006/main">
  <threadedComment ref="AJ11" dT="2023-05-02T08:17:04.31" personId="{B628EA74-0188-49B4-AF0D-7C063FCC4CB2}" id="{A75EFF12-18CA-441A-B190-1C0B9015B46B}">
    <text>Daniel Baird hearing fee</text>
  </threadedComment>
  <threadedComment ref="AD20" dT="2022-08-23T11:31:55.52" personId="{B628EA74-0188-49B4-AF0D-7C063FCC4CB2}" id="{E2BFBE4D-8068-4E95-B424-118497607E21}">
    <text>Costs were given for an Inquiry, we will pursue a Hearing, should be cheaper</text>
  </threadedComment>
  <threadedComment ref="AL27" dT="2022-09-25T19:18:36.91" personId="{B628EA74-0188-49B4-AF0D-7C063FCC4CB2}" id="{EA8BCF4F-C8BC-4F1D-8FBC-7F2E8D73C9D7}">
    <text>£27,500 added for Gareth to advocate at Hearings</text>
  </threadedComment>
</ThreadedComments>
</file>

<file path=xl/threadedComments/threadedComment3.xml><?xml version="1.0" encoding="utf-8"?>
<ThreadedComments xmlns="http://schemas.microsoft.com/office/spreadsheetml/2018/threadedcomments" xmlns:x="http://schemas.openxmlformats.org/spreadsheetml/2006/main">
  <threadedComment ref="AJ7" dT="2023-05-03T08:42:03.07" personId="{B628EA74-0188-49B4-AF0D-7C063FCC4CB2}" id="{D13C664B-54BB-49F1-A3C7-2C56945B1344}">
    <text>Budd Legal</text>
  </threadedComment>
</ThreadedComments>
</file>

<file path=xl/threadedComments/threadedComment4.xml><?xml version="1.0" encoding="utf-8"?>
<ThreadedComments xmlns="http://schemas.microsoft.com/office/spreadsheetml/2018/threadedcomments" xmlns:x="http://schemas.openxmlformats.org/spreadsheetml/2006/main">
  <threadedComment ref="O19" dT="2022-02-16T09:25:06.20" personId="{B628EA74-0188-49B4-AF0D-7C063FCC4CB2}" id="{22A3432F-CAA0-43EF-AF10-592FBB4500D8}">
    <text>Additional geophys by WYAS</text>
  </threadedComment>
  <threadedComment ref="AJ34" dT="2023-04-12T16:44:21.40" personId="{B628EA74-0188-49B4-AF0D-7C063FCC4CB2}" id="{0ED4C313-0DF9-43CB-AF8B-BF95E2E16B71}">
    <text>ansarada</text>
  </threadedComment>
</ThreadedComments>
</file>

<file path=xl/threadedComments/threadedComment5.xml><?xml version="1.0" encoding="utf-8"?>
<ThreadedComments xmlns="http://schemas.microsoft.com/office/spreadsheetml/2018/threadedcomments" xmlns:x="http://schemas.openxmlformats.org/spreadsheetml/2006/main">
  <threadedComment ref="T10" dT="2023-01-05T09:56:43.78" personId="{B628EA74-0188-49B4-AF0D-7C063FCC4CB2}" id="{0121110B-2F08-45D6-9C5B-8378F32C8F70}">
    <text>Ricard Gibbs land agent fee</text>
  </threadedComment>
  <threadedComment ref="F14" dT="2021-11-30T10:52:52.26" personId="{B628EA74-0188-49B4-AF0D-7C063FCC4CB2}" id="{A7160C20-7C52-4B7B-81C4-10680A855A39}">
    <text>£2250 for Geo-environmental phase 1 assessment
£1,925 Heritage DBA</text>
  </threadedComment>
</ThreadedComments>
</file>

<file path=xl/threadedComments/threadedComment6.xml><?xml version="1.0" encoding="utf-8"?>
<ThreadedComments xmlns="http://schemas.microsoft.com/office/spreadsheetml/2018/threadedcomments" xmlns:x="http://schemas.openxmlformats.org/spreadsheetml/2006/main">
  <threadedComment ref="D8" dT="2024-06-11T15:52:19.63" personId="{1B874C35-C6E8-48C7-A6D1-763D0623F644}" id="{8CB8C056-EFE1-4E8D-BCFD-F8B759BF4CF2}">
    <text>NR easement Legal and surveyor fees</text>
  </threadedComment>
  <threadedComment ref="D27" dT="2024-06-11T15:42:08.59" personId="{1B874C35-C6E8-48C7-A6D1-763D0623F644}" id="{29406997-C767-487D-A4FD-DAACA8F0972A}">
    <text>57057.13+11411.426VAT. £49806.43 includes VAT for construction BAPA that we are not planning to pay</text>
  </threadedComment>
  <threadedComment ref="AX27" dT="2024-06-11T15:16:23.24" personId="{5F26073D-9A11-4479-8D8B-15C67B9D0C78}" id="{176A5C0E-D1B0-41E1-99BC-A13838564508}">
    <text>PO757</text>
  </threadedComment>
  <threadedComment ref="AQ30" dT="2023-11-21T10:17:24.03" personId="{1C3F3518-7C4E-4230-8766-795162C913AB}" id="{247CA833-7D09-41E4-AFE0-1B85501558C4}">
    <text xml:space="preserve">6500000496 </text>
  </threadedComment>
  <threadedComment ref="AS30" dT="2024-06-10T11:04:25.17" personId="{5F26073D-9A11-4479-8D8B-15C67B9D0C78}" id="{4C1D0083-5A6A-400A-A926-82DD9241D587}">
    <text>6500000505B (EPR)</text>
  </threadedComment>
  <threadedComment ref="AX30" dT="2024-06-11T15:09:19.81" personId="{5F26073D-9A11-4479-8D8B-15C67B9D0C78}" id="{C82A8252-B0F6-44DE-AA8E-C285A76D59C6}">
    <text>PO 255</text>
  </threadedComment>
  <threadedComment ref="AX31" dT="2024-06-10T11:04:25.17" personId="{5F26073D-9A11-4479-8D8B-15C67B9D0C78}" id="{A32CB218-3B01-448E-AC7D-57E67A8DF6BA}">
    <text>Invoice 010767 (PO: 806)</text>
  </threadedComment>
  <threadedComment ref="D32" dT="2024-06-11T15:47:16.72" personId="{1B874C35-C6E8-48C7-A6D1-763D0623F644}" id="{926B5875-DFA2-4DEC-8345-2CBE8B67ADD1}">
    <text>630 with VAT</text>
  </threadedComment>
  <threadedComment ref="AX32" dT="2024-06-11T15:50:17.92" personId="{1B874C35-C6E8-48C7-A6D1-763D0623F644}" id="{F938D517-2A9D-448A-A984-2447A15215D6}">
    <text>630 with VAT (PO684)</text>
  </threadedComment>
  <threadedComment ref="AX33" dT="2024-06-11T15:24:53.66" personId="{1B874C35-C6E8-48C7-A6D1-763D0623F644}" id="{E1B7F4F2-CD18-4BC0-A9AC-169019D1B0E9}">
    <text>Just a payment for missing VAT PO756</text>
  </threadedComment>
</ThreadedComments>
</file>

<file path=xl/threadedComments/threadedComment7.xml><?xml version="1.0" encoding="utf-8"?>
<ThreadedComments xmlns="http://schemas.microsoft.com/office/spreadsheetml/2018/threadedcomments" xmlns:x="http://schemas.openxmlformats.org/spreadsheetml/2006/main">
  <threadedComment ref="E8" dT="2024-06-14T07:53:16.63" personId="{235474EB-11E7-4BE6-8565-2D161DE3C073}" id="{01147D2F-08A2-4133-B9F2-06701DB94460}">
    <text>Pre-submission fee £32k plus other legal advice £23k</text>
  </threadedComment>
  <threadedComment ref="F8" dT="2024-07-30T14:07:29.10" personId="{235474EB-11E7-4BE6-8565-2D161DE3C073}" id="{F1D8D936-CB8C-461A-92BA-C6ED689E6F3F}">
    <text xml:space="preserve">
1.	£2,000 - £3,000 to review the position on Awel y Mor (DCO powers plus issues and risks to consider)
2.	£1,000 - £1,500 to review a draft representation to the ExA, review relevant DCO submission material and flag any issues; advise on the approach to engage with the Examination into Mona. 
3.	£3,000 - £5,000 to advise on the approach with Mares and their applications.  
4.           £3,000 - £5,000 to advise on the approach to your generation licence for the development, as well as to review the application for submission to Ofgem
</text>
  </threadedComment>
  <threadedComment ref="E9" dT="2024-06-13T15:56:44.32" personId="{235474EB-11E7-4BE6-8565-2D161DE3C073}" id="{0254FA4F-4144-410C-ACE8-CE9FABADD15C}">
    <text>Items 1 - 7 up until and including Submission (£99,500) plus expenses (£6,977.50)</text>
  </threadedComment>
  <threadedComment ref="E10" dT="2024-06-21T08:48:26.99" personId="{235474EB-11E7-4BE6-8565-2D161DE3C073}" id="{5EB9739F-32F5-41F1-94BF-6976F603D6B4}">
    <text xml:space="preserve">This covers pre-app, application and examination fees. Refer to Summary of DNS fees from Vincent for breakdown. </text>
  </threadedComment>
  <threadedComment ref="C13" dT="2024-06-13T16:00:07.95" personId="{235474EB-11E7-4BE6-8565-2D161DE3C073}" id="{BB898C3B-0053-40E8-A3D2-5794BB93F085}">
    <text>EIA Scoping £4500, ES Prep and coordination assuming 4 x ES chapters scoped in £29,000, meetings £2,700</text>
  </threadedComment>
  <threadedComment ref="C14" dT="2024-06-13T16:08:55.15" personId="{235474EB-11E7-4BE6-8565-2D161DE3C073}" id="{FCF2BA60-0446-4E41-BF07-E829E3627DE0}">
    <text>Optional</text>
  </threadedComment>
  <threadedComment ref="B15" dT="2024-06-14T09:50:11.73" personId="{235474EB-11E7-4BE6-8565-2D161DE3C073}" id="{07375B64-81C9-4860-964A-D1D4B0FB8773}">
    <text>PO for £17,250 issued 14.06.24. Refer to EDP FRT dated 18.06.24 for breakdown of instructed items. 
PO uplifted by £34,550 02.08.24.  Refer to e-mail from TG dated 31.07.24.</text>
  </threadedComment>
  <threadedComment ref="C15" dT="2024-06-13T10:09:36.21" personId="{235474EB-11E7-4BE6-8565-2D161DE3C073}" id="{D441B649-F075-4559-AAF9-F21E9B28B966}">
    <text>Desk study review £1,000, Ph1 survey £2,500 inc. data charges £600, Site access arrangements £1,500</text>
  </threadedComment>
  <threadedComment ref="C17" dT="2024-06-13T10:14:49.20" personId="{235474EB-11E7-4BE6-8565-2D161DE3C073}" id="{E4E73A20-B0F7-427B-AC04-4C5273289A0D}">
    <text xml:space="preserve">3 surveys during April, May and June 2025. Might be possible to do 1 of these surveys in July 2025. </text>
  </threadedComment>
  <threadedComment ref="C18" dT="2024-06-13T10:13:49.17" personId="{235474EB-11E7-4BE6-8565-2D161DE3C073}" id="{F9C16DCF-6C16-4E6C-AAFA-24BF8F7F57EB}">
    <text>6 visits during Nov 2024 - Feb 2025</text>
  </threadedComment>
  <threadedComment ref="C19" dT="2024-06-13T10:20:57.28" personId="{235474EB-11E7-4BE6-8565-2D161DE3C073}" id="{D3B2811B-6D4A-4C7B-A72D-3766140CACBB}">
    <text>1) GLTA £2,500 - required. 
Provision scopes: 
2) Nighttime walkover 3 visits ,4 pairs of surveys Aug and Oct 2024 and April 2025  £13,500 - may be required/scoped out. 
3) Automated detector 7 surveys split across 2024-2025 £9,000 - may be required/scoped out
4) Data analysis - £3,000</text>
  </threadedComment>
  <threadedComment ref="E19" dT="2024-06-21T15:16:29.16" personId="{235474EB-11E7-4BE6-8565-2D161DE3C073}" id="{7EF75CD6-F8AD-495C-9A69-10A1B7E52579}">
    <text>Note - This item was originally £28,000 but EDP requested an additional £3,000 (e-mail 18.06.24) due to an error. PO needs to be increased by this amount, once other items are instructed</text>
  </threadedComment>
  <threadedComment ref="C20" dT="2024-06-13T10:29:02.93" personId="{235474EB-11E7-4BE6-8565-2D161DE3C073}" id="{C29E3A0D-3653-4425-8BEB-57ABFE6CAAD6}">
    <text xml:space="preserve">Assumes 1 on-site pond and 10 off-site ponds (within 250m). Survey mid-April to end of June. 2025 Possible to do 1 x survey of off-site pond in June 2024. </text>
  </threadedComment>
  <threadedComment ref="C21" dT="2024-06-13T10:50:02.81" personId="{235474EB-11E7-4BE6-8565-2D161DE3C073}" id="{AD375CB3-9E3E-435B-8042-A7EF517FF50B}">
    <text>2 visits required in Spring and late Summer, 1 x Sept 2024 and 1 x May 2024</text>
  </threadedComment>
  <threadedComment ref="C22" dT="2024-06-13T10:55:10.55" personId="{235474EB-11E7-4BE6-8565-2D161DE3C073}" id="{84BE0E45-8F72-4DC1-9735-7BF14BD95919}">
    <text>Baseline report £8000, design inputs £2000</text>
  </threadedComment>
  <threadedComment ref="C24" dT="2024-06-13T10:57:04.72" personId="{235474EB-11E7-4BE6-8565-2D161DE3C073}" id="{90DB6B36-5F43-4AB3-83B1-0F3501EAAC90}">
    <text>EDP suggested £5k for EIA for PAC and £10k for ES Chapter and NTS</text>
  </threadedComment>
  <threadedComment ref="C25" dT="2024-06-13T15:15:06.83" personId="{235474EB-11E7-4BE6-8565-2D161DE3C073}" id="{665E20BE-2425-4710-83C2-27B99633370C}">
    <text xml:space="preserve">Includes ecology input £3000 and landscape input £2000 (EDP) </text>
  </threadedComment>
  <threadedComment ref="E28" dT="2024-06-21T15:14:00.59" personId="{235474EB-11E7-4BE6-8565-2D161DE3C073}" id="{C32A97EC-E6D6-4578-BFFD-F2D80301320D}">
    <text>Excludes River Morph assessment (given BNG is optional) otherwise would be an additional £3,500</text>
  </threadedComment>
  <threadedComment ref="C29" dT="2024-06-13T15:09:14.08" personId="{235474EB-11E7-4BE6-8565-2D161DE3C073}" id="{F8C65E9D-CCE1-410D-AD86-CA8922670DBA}">
    <text>Desktop study £1000, consultation on VP £500, site visit and photos day £5000 and night £4000</text>
  </threadedComment>
  <threadedComment ref="C30" dT="2024-06-13T15:07:46.88" personId="{235474EB-11E7-4BE6-8565-2D161DE3C073}" id="{08662330-ABD1-496A-9BAF-D7AC97F4889B}">
    <text>Design development £2,000, LV baseline £8000 and LVA for PAC £5000</text>
  </threadedComment>
  <threadedComment ref="C34" dT="2024-06-13T15:24:25.20" personId="{235474EB-11E7-4BE6-8565-2D161DE3C073}" id="{DFE14F82-16A0-4A05-B21E-7D7C973D7430}">
    <text>ES Chapter eand TS £10k plus cumulative £2k</text>
  </threadedComment>
  <threadedComment ref="C36" dT="2024-06-13T15:28:22.02" personId="{235474EB-11E7-4BE6-8565-2D161DE3C073}" id="{AC45A283-4A50-4617-9F6E-AA6F240C61DB}">
    <text>Assumes 5 at Y1 and Y15</text>
  </threadedComment>
  <threadedComment ref="C39" dT="2024-06-12T14:22:13.15" personId="{235474EB-11E7-4BE6-8565-2D161DE3C073}" id="{8B5EE38C-1797-4A71-8AE5-38A039ADFB51}">
    <text>AOC - £245 per hax 162 ha (£39,690)
Cotswold - £60,000 (based on 154ha)</text>
  </threadedComment>
  <threadedComment ref="E43" dT="2024-07-26T10:20:08.74" personId="{235474EB-11E7-4BE6-8565-2D161DE3C073}" id="{441D8473-2D03-4ED4-81EA-5564A632D79F}">
    <text xml:space="preserve">£425k is based on a 2% trenching sample £370k (as below) plus 15% contingency to allow for more complex archaeology in greater concentrations being identified.  Costs will be lower if 1% (as below). 
2% trenching sample (equating to 344 trenches, each measuring 50m in length and 1.8m in width): £370,000 + VAT.
1% trenching sample (equating to 174 trenches, each measuring 50m in length and 1.8m in width): £215,000 + VAT. 
</text>
  </threadedComment>
  <threadedComment ref="C45" dT="2024-06-12T12:42:19.67" personId="{235474EB-11E7-4BE6-8565-2D161DE3C073}" id="{B463DD3C-C8AD-4568-9F21-496581A4F8EA}">
    <text>D1 Masterplan advice, D2 NRW engagement, D3 SAB engagement D5 Summary and D13 Meetings</text>
  </threadedComment>
  <threadedComment ref="C48" dT="2024-06-12T12:52:24.03" personId="{235474EB-11E7-4BE6-8565-2D161DE3C073}" id="{3530E987-B921-4C69-86EC-844437A6AF53}">
    <text xml:space="preserve">Breach modelling - unlikely to be required </text>
  </threadedComment>
  <threadedComment ref="C52" dT="2024-06-12T13:01:16.05" personId="{235474EB-11E7-4BE6-8565-2D161DE3C073}" id="{E2932F99-46F4-434C-8898-0E5E3C58A553}">
    <text>Kernon advised this isn't required as site is predominantly 3b.
Phase 1 - £2,700 to do the pasture fields (w/c 22nd July or 29th July)
Phase 2 - Late September for arable (£4,000).</text>
  </threadedComment>
  <threadedComment ref="C55" dT="2024-06-13T16:07:40.13" personId="{235474EB-11E7-4BE6-8565-2D161DE3C073}" id="{68B9DB8C-3A26-46CE-89E5-ABA649BBBFD2}">
    <text>Assumed 3 x meetings £1350</text>
  </threadedComment>
  <threadedComment ref="C62" dT="2024-06-13T15:49:15.96" personId="{235474EB-11E7-4BE6-8565-2D161DE3C073}" id="{A6FAA214-7232-4992-9983-E28D50B8C318}">
    <text>Tree survey £2,500, design inputs £1,000, Baseline report and tree constraints £2,500, AIA for PC/submission (assumed £2,500)</text>
  </threadedComment>
  <threadedComment ref="C66" dT="2024-06-12T14:06:42.73" personId="{235474EB-11E7-4BE6-8565-2D161DE3C073}" id="{67E9FDB6-4B6F-4BDD-9E5B-2C9F7CC77C34}">
    <text xml:space="preserve">Item 5 G&amp;G Assessment (Fixed and Tracker ) Item 7 Stakeholder Consultation and Support </text>
  </threadedComment>
  <threadedComment ref="C75" dT="2024-06-12T15:27:55.70" personId="{235474EB-11E7-4BE6-8565-2D161DE3C073}" id="{ED300671-255B-4B8E-92FF-922E21B6BFA6}">
    <text xml:space="preserve">CBR - optional. </text>
  </threadedComment>
  <threadedComment ref="C76" dT="2024-06-14T08:07:02.31" personId="{235474EB-11E7-4BE6-8565-2D161DE3C073}" id="{FBD4E910-557A-45E0-BA9B-419DBBB4ADE3}">
    <text xml:space="preserve">Total £62,650 plus £25k expenses. This includes:
Stage 1 (excl. local community online social sentiment) £ 9,350
Stage 2 - EIA Scoping and Informal consultation £16,600
Stage 3  PAC £19,700
Stage 4 PAC report and application submission £6,800
5) Media - £2550
6) PM and Communty response desk £7,650
</text>
  </threadedComment>
  <threadedComment ref="E78" dT="2024-07-26T10:21:07.81" personId="{235474EB-11E7-4BE6-8565-2D161DE3C073}" id="{1C9CD9E8-E416-4EC7-8F32-68D4D4516EE6}">
    <text xml:space="preserve">Indicative figure </text>
  </threadedComment>
  <threadedComment ref="E79" dT="2024-06-25T15:19:45.44" personId="{235474EB-11E7-4BE6-8565-2D161DE3C073}" id="{531C849B-DF8E-4C89-974F-CABCCDAE1D8E}">
    <text xml:space="preserve">Post-submission and Examination estimate (Items 8 - 11) </text>
  </threadedComment>
  <threadedComment ref="E80" dT="2024-06-25T15:23:30.35" personId="{235474EB-11E7-4BE6-8565-2D161DE3C073}" id="{6CF563E8-2A92-43FE-860B-19087BA36F7C}">
    <text>Post-submission fee £41k</text>
  </threadedComment>
  <threadedComment ref="E81" dT="2024-06-25T15:31:08.86" personId="{235474EB-11E7-4BE6-8565-2D161DE3C073}" id="{87B57483-81D3-492C-8C8B-FC9FBDFDADBC}">
    <text xml:space="preserve">Indicative figure </text>
  </threadedComment>
  <threadedComment ref="E83" dT="2024-07-23T13:06:17.07" personId="{235474EB-11E7-4BE6-8565-2D161DE3C073}" id="{A976DF99-105A-432F-BC62-773380A36334}">
    <text xml:space="preserve">£400k is worst case scenario, and the best case scenario for shortest route, at lower land value, came out at £275k.  </text>
  </threadedComment>
</ThreadedComments>
</file>

<file path=xl/threadedComments/threadedComment8.xml><?xml version="1.0" encoding="utf-8"?>
<ThreadedComments xmlns="http://schemas.microsoft.com/office/spreadsheetml/2018/threadedcomments" xmlns:x="http://schemas.openxmlformats.org/spreadsheetml/2006/main">
  <threadedComment ref="AX10" dT="2024-05-01T13:08:54.56" personId="{230B9990-9DBA-4FF5-9E0A-A4E9E792CC13}" id="{6626435F-F4F3-40A4-B039-DFEC84AA5472}">
    <text>010444</text>
  </threadedComment>
  <threadedComment ref="BA10" dT="2024-07-05T12:29:20.56" personId="{230B9990-9DBA-4FF5-9E0A-A4E9E792CC13}" id="{90792C32-D03B-4A89-B087-E7E5D54BD2DD}">
    <text>Challended from £37k</text>
  </threadedComment>
  <threadedComment ref="AY24" dT="2024-05-01T14:12:37.53" personId="{230B9990-9DBA-4FF5-9E0A-A4E9E792CC13}" id="{9C3FA45C-91BF-4274-9DFF-C9331782029A}">
    <text>010449</text>
  </threadedComment>
</ThreadedComments>
</file>

<file path=xl/threadedComments/threadedComment9.xml><?xml version="1.0" encoding="utf-8"?>
<ThreadedComments xmlns="http://schemas.microsoft.com/office/spreadsheetml/2018/threadedcomments" xmlns:x="http://schemas.openxmlformats.org/spreadsheetml/2006/main">
  <threadedComment ref="J12" dT="2024-06-07T15:53:36.31" personId="{2DF3F950-9404-4AC0-B3C8-7EE6B649E58C}" id="{20185779-5D9C-42CD-8988-91AAB49639F0}">
    <text>guestimate</text>
  </threadedComment>
</ThreadedComments>
</file>

<file path=xl/threadedComments/threadedComment10.xml><?xml version="1.0" encoding="utf-8"?>
<ThreadedComments xmlns="http://schemas.microsoft.com/office/spreadsheetml/2018/threadedcomments" xmlns:x="http://schemas.openxmlformats.org/spreadsheetml/2006/main">
  <threadedComment ref="E7" dT="2024-07-08T13:48:11.12" personId="{235474EB-11E7-4BE6-8565-2D161DE3C073}" id="{348F93C9-B42F-464B-8657-D7B281C12AFA}">
    <text>Estimated - TBC</text>
  </threadedComment>
  <threadedComment ref="E9" dT="2024-07-18T13:28:11.30" personId="{235474EB-11E7-4BE6-8565-2D161DE3C073}" id="{6EB1634C-6FCE-4A6A-A1EB-4581E6707034}">
    <text>East Lothian Council 
1https://www.eastlothian.gov.uk/info/210547/planning_and_building_standards/12775/discretionary_planning_charges_-
_pre_application</text>
  </threadedComment>
  <threadedComment ref="E10" dT="2024-07-03T10:35:27.56" personId="{235474EB-11E7-4BE6-8565-2D161DE3C073}" id="{2A4AF97E-E73A-449F-818F-44EBBBF0842E}">
    <text xml:space="preserve">£264k non-EIA 
£548k EIA </text>
  </threadedComment>
  <threadedComment ref="E12" dT="2024-07-18T14:47:52.14" personId="{235474EB-11E7-4BE6-8565-2D161DE3C073}" id="{1E100381-9599-4B51-85B6-FC9DA5BF7BFC}">
    <text>TBC with ITPE as it refers to contract mgt which is not required. PM (£9290), Site visit (£1300), pre app (£550) and design workshop (£985).</text>
  </threadedComment>
  <threadedComment ref="E14" dT="2024-07-18T14:43:47.34" personId="{235474EB-11E7-4BE6-8565-2D161DE3C073}" id="{73F4DF3C-46DB-4010-B485-2931FA385C1A}">
    <text xml:space="preserve">ITPE costs for Scoping, although this could be David Bell. TBC. </text>
  </threadedComment>
  <threadedComment ref="E15" dT="2024-07-18T14:44:08.32" personId="{235474EB-11E7-4BE6-8565-2D161DE3C073}" id="{8FB53A55-AC71-4DBD-A564-4194BEEAD5EC}">
    <text>ITPE costs for GC report, although this could be David Bell. TBC</text>
  </threadedComment>
  <threadedComment ref="E16" dT="2024-07-18T14:46:01.70" personId="{235474EB-11E7-4BE6-8565-2D161DE3C073}" id="{08C9D32E-9917-43E5-A23A-7C506B537178}">
    <text>EIA report including front end and concluding chapters, PM review (£7,210) plus NTS (£1430)</text>
  </threadedComment>
  <threadedComment ref="E17" dT="2024-07-18T14:58:36.38" personId="{235474EB-11E7-4BE6-8565-2D161DE3C073}" id="{986ECAB2-0454-477D-915A-E64225ED9214}">
    <text>Task management £1270, input to EIA screening £740, input to EIA scoping £1,370</text>
  </threadedComment>
  <threadedComment ref="E37" dT="2024-07-04T08:58:58.13" personId="{235474EB-11E7-4BE6-8565-2D161DE3C073}" id="{EF2D3D9F-AFAF-468E-A0F6-48DD5C84D824}">
    <text>Headland: Option 1 area calculated at 14.54 ha (£6,240) and option 2 area calculated at 41.5ha (£13,250)</text>
  </threadedComment>
  <threadedComment ref="C40" dT="2024-06-26T08:16:24.79" personId="{235474EB-11E7-4BE6-8565-2D161DE3C073}" id="{71983986-924D-42A3-8F65-D0961964FF55}">
    <text xml:space="preserve">Includes survey, report, 2 x meetings and post-sub liaison with LPA </text>
  </threadedComment>
  <threadedComment ref="E50" dT="2024-07-02T13:30:58.24" personId="{235474EB-11E7-4BE6-8565-2D161DE3C073}" id="{B44F3203-2CD8-40FC-A3DB-D77C65CBD246}">
    <text>Fee includes £17,600  (total of 22 days) suggested contingency budget of £7,200 for 3 months, Website £4,280, Expenses £2,000</text>
  </threadedComment>
  <threadedComment ref="C51" dT="2024-07-08T13:42:08.85" personId="{235474EB-11E7-4BE6-8565-2D161DE3C073}" id="{76C17B35-1DAC-4198-8DE3-B7DEBD2CC371}">
    <text>Cable route being delivered by SPEN. Consider including route within RLB?</text>
  </threadedComment>
  <threadedComment ref="E52" dT="2024-07-05T15:31:22.68" personId="{235474EB-11E7-4BE6-8565-2D161DE3C073}" id="{74C0B94C-BA51-4110-8A12-FDDBDA3712BF}">
    <text>Option 1 and 2 land</text>
  </threadedComment>
  <threadedComment ref="E53" dT="2024-07-08T13:42:55.82" personId="{235474EB-11E7-4BE6-8565-2D161DE3C073}" id="{9C1CB8AD-3506-4DB9-82DB-FAA119F6D1B0}">
    <text>DB recommended £1,500 per month over a 9 month determination period (i.e. £13,500)</text>
  </threadedComment>
  <threadedComment ref="E54" dT="2024-07-08T13:43:44.57" personId="{235474EB-11E7-4BE6-8565-2D161DE3C073}" id="{92EF5D2B-BA37-409C-8A00-8C9A15EEADAE}">
    <text>An indicative figure to allow for potential scheme changes and updates to consultants' reports.</text>
  </threadedComment>
</ThreadedComments>
</file>

<file path=xl/threadedComments/threadedComment11.xml><?xml version="1.0" encoding="utf-8"?>
<ThreadedComments xmlns="http://schemas.microsoft.com/office/spreadsheetml/2018/threadedcomments" xmlns:x="http://schemas.openxmlformats.org/spreadsheetml/2006/main">
  <threadedComment ref="E8" dT="2024-06-05T14:07:27.90" personId="{235474EB-11E7-4BE6-8565-2D161DE3C073}" id="{9BD81E16-F44E-4A58-BCA1-435D3E66F810}">
    <text>PM fee - check no overlap with ITPE.</text>
  </threadedComment>
  <threadedComment ref="E9" dT="2024-06-05T16:45:00.33" personId="{235474EB-11E7-4BE6-8565-2D161DE3C073}" id="{5E0E55F1-8435-428D-B4C6-6DD5E735C0B3}">
    <text>£180k non-EIA but £336k for EIA</text>
  </threadedComment>
  <threadedComment ref="E13" dT="2024-07-09T14:12:03.85" personId="{235474EB-11E7-4BE6-8565-2D161DE3C073}" id="{B93179CA-0E8E-4049-BC91-C0C925582953}">
    <text xml:space="preserve">£4920 plus design workshop fee £985, EIA Screening figures £555 and Environmental Supporting Information Report ESIR £6,930. </text>
  </threadedComment>
  <threadedComment ref="C14" dT="2024-06-03T13:06:54.25" personId="{235474EB-11E7-4BE6-8565-2D161DE3C073}" id="{4C1DA3D7-A03F-405F-B59A-C80E9B444F80}">
    <text>Includes: PEA Survey inc. PRA (bats), badger, otter and water vole (£2,570) and PM (£750)</text>
  </threadedComment>
  <threadedComment ref="C15" dT="2024-06-03T16:19:38.85" personId="{235474EB-11E7-4BE6-8565-2D161DE3C073}" id="{F1C45334-C69E-450B-AF17-75A74BE5AFAD}">
    <text>Ecology report (£2,420) and data search (£250)</text>
  </threadedComment>
  <threadedComment ref="C16" dT="2024-06-03T13:06:01.64" personId="{235474EB-11E7-4BE6-8565-2D161DE3C073}" id="{E3FD8A56-CAE2-4F76-A1A8-C4C0B563BEAA}">
    <text xml:space="preserve">Allows for amendments following review by LPA if required (£170) </text>
  </threadedComment>
  <threadedComment ref="C17" dT="2024-06-03T13:06:01.64" personId="{235474EB-11E7-4BE6-8565-2D161DE3C073}" id="{176F6580-B3E3-48A4-9F4D-31FB791D6661}">
    <text xml:space="preserve">Allows for amendments following review by LPA if required (£170) </text>
  </threadedComment>
  <threadedComment ref="E19" dT="2024-06-20T08:24:57.00" personId="{235474EB-11E7-4BE6-8565-2D161DE3C073}" id="{004CB9DE-FCD0-4355-B781-EAC2535F80C0}">
    <text>Estimated cost. TBC</text>
  </threadedComment>
  <threadedComment ref="C23" dT="2024-06-07T09:33:47.35" personId="{235474EB-11E7-4BE6-8565-2D161DE3C073}" id="{820B10B6-3712-43C4-9E3E-BFF02ED45ED0}">
    <text xml:space="preserve">May not be required </text>
  </threadedComment>
  <threadedComment ref="E27" dT="2024-07-09T14:09:05.86" personId="{235474EB-11E7-4BE6-8565-2D161DE3C073}" id="{9676355B-A58E-457E-A2B7-871A62B6E6DE}">
    <text xml:space="preserve">Tetra tech - £5,970.00 
</text>
  </threadedComment>
  <threadedComment ref="E31" dT="2024-06-21T09:43:36.59" personId="{235474EB-11E7-4BE6-8565-2D161DE3C073}" id="{3C235952-81B2-48A3-BB47-92524732D049}">
    <text>Based on purple route</text>
  </threadedComment>
  <threadedComment ref="E36" dT="2024-06-07T09:26:22.52" personId="{235474EB-11E7-4BE6-8565-2D161DE3C073}" id="{B6A3DF36-E7FF-4982-A72C-C27226BD6530}">
    <text>Fee includes £9600 (total of 12 days for 3 months) suggested contingency budget of £7,200 for 3 month, Website £4280, Expenses £2000</text>
  </threadedComment>
  <threadedComment ref="C41" dT="2024-06-25T09:01:40.00" personId="{235474EB-11E7-4BE6-8565-2D161DE3C073}" id="{559B826E-AF61-48B7-806A-46254995255A}">
    <text>DB recommended £1,500 per month over a 9 month determination period (i.e. £13,500)</text>
  </threadedComment>
  <threadedComment ref="E42" dT="2024-06-25T09:04:12.74" personId="{235474EB-11E7-4BE6-8565-2D161DE3C073}" id="{C9083CAD-75B5-48D2-869A-09E157BFA6C5}">
    <text xml:space="preserve">An indicative figure to allow for potential scheme changes and updates to consultants' reports. </text>
  </threadedComment>
</ThreadedComments>
</file>

<file path=xl/threadedComments/threadedComment12.xml><?xml version="1.0" encoding="utf-8"?>
<ThreadedComments xmlns="http://schemas.microsoft.com/office/spreadsheetml/2018/threadedcomments" xmlns:x="http://schemas.openxmlformats.org/spreadsheetml/2006/main">
  <threadedComment ref="M13" dT="2024-03-22T10:14:42.53" personId="{A18488ED-6394-4F12-AD66-80C8633A37A5}" id="{8E656C6E-850E-44F4-8877-4F47EA430582}">
    <text>ARUP</text>
  </threadedComment>
  <threadedComment ref="D27" dT="2024-03-22T10:20:42.09" personId="{A18488ED-6394-4F12-AD66-80C8633A37A5}" id="{BDF45913-82A6-469F-B764-582DB933320C}">
    <text xml:space="preserve">Doesn't include full air quality assessment </text>
  </threadedComment>
</ThreadedComments>
</file>

<file path=xl/threadedComments/threadedComment13.xml><?xml version="1.0" encoding="utf-8"?>
<ThreadedComments xmlns="http://schemas.microsoft.com/office/spreadsheetml/2018/threadedcomments" xmlns:x="http://schemas.openxmlformats.org/spreadsheetml/2006/main">
  <threadedComment ref="C20" dT="2024-03-20T10:35:57.42" personId="{3DB8A56B-C536-4B68-A294-C5148B031B45}" id="{B20CCDE3-F76B-4EF0-B38E-827BA0A3DB9A}">
    <text>Swap out with Paul Gajos if not using on any other project. His fee is £31,650</text>
  </threadedComment>
</ThreadedComments>
</file>

<file path=xl/threadedComments/threadedComment14.xml><?xml version="1.0" encoding="utf-8"?>
<ThreadedComments xmlns="http://schemas.microsoft.com/office/spreadsheetml/2018/threadedcomments" xmlns:x="http://schemas.openxmlformats.org/spreadsheetml/2006/main">
  <threadedComment ref="BN22" dT="2024-08-05T16:57:41.53" personId="{FA98A92E-12FF-49F3-97F1-AAF44981C902}" id="{58032642-09C4-4765-A2B8-E5D8C406DB72}">
    <text>June invoice &amp; july credit note</text>
  </threadedComment>
  <threadedComment ref="BO22" dT="2024-08-05T16:45:57.38" personId="{FA98A92E-12FF-49F3-97F1-AAF44981C902}" id="{B83C2403-9296-471D-8C1A-F711B5E8749E}">
    <text>1156575 invoice 31/07</text>
  </threadedComment>
  <threadedComment ref="BN25" dT="2024-08-05T16:45:19.14" personId="{FA98A92E-12FF-49F3-97F1-AAF44981C902}" id="{4BAF6ADA-23FF-4E26-BF88-450C1C10066B}">
    <text>June invoice &amp; july credit note</text>
  </threadedComment>
  <threadedComment ref="BO25" dT="2024-08-05T16:44:07.57" personId="{FA98A92E-12FF-49F3-97F1-AAF44981C902}" id="{8F03A1A5-6657-4F10-8E6C-33B8602ADD85}">
    <text>1156575 invoice 31/07</text>
  </threadedComment>
  <threadedComment ref="BO41" dT="2024-08-01T15:44:40.44" personId="{FA98A92E-12FF-49F3-97F1-AAF44981C902}" id="{1C205A11-CE94-4194-9F0F-FE79500973F8}">
    <text>Inv dated 30th July</text>
  </threadedComment>
  <threadedComment ref="BO131" dT="2024-08-05T07:55:58.58" personId="{FA98A92E-12FF-49F3-97F1-AAF44981C902}" id="{F6995AC3-A10C-4CA5-B754-D67E6AD59283}">
    <text>205577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microsoft.com/office/2017/10/relationships/threadedComment" Target="../threadedComments/threadedComment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 Id="rId4" Type="http://schemas.microsoft.com/office/2017/10/relationships/threadedComment" Target="../threadedComments/threadedComment8.xml"/></Relationships>
</file>

<file path=xl/worksheets/_rels/sheet15.xml.rels><?xml version="1.0" encoding="UTF-8" standalone="yes"?>
<Relationships xmlns="http://schemas.openxmlformats.org/package/2006/relationships"><Relationship Id="rId8" Type="http://schemas.openxmlformats.org/officeDocument/2006/relationships/hyperlink" Target="https://8619225.app.netsuite.com/app/accounting/transactions/transaction.nl?id=1692" TargetMode="External"/><Relationship Id="rId13" Type="http://schemas.openxmlformats.org/officeDocument/2006/relationships/hyperlink" Target="https://8619225.app.netsuite.com/app/accounting/transactions/transaction.nl?id=5726" TargetMode="External"/><Relationship Id="rId18" Type="http://schemas.openxmlformats.org/officeDocument/2006/relationships/hyperlink" Target="https://8619225.app.netsuite.com/app/accounting/transactions/transaction.nl?id=1446" TargetMode="External"/><Relationship Id="rId3" Type="http://schemas.openxmlformats.org/officeDocument/2006/relationships/hyperlink" Target="https://8619225.app.netsuite.com/app/accounting/transactions/transaction.nl?id=1425" TargetMode="External"/><Relationship Id="rId21" Type="http://schemas.openxmlformats.org/officeDocument/2006/relationships/vmlDrawing" Target="../drawings/vmlDrawing13.vml"/><Relationship Id="rId7" Type="http://schemas.openxmlformats.org/officeDocument/2006/relationships/hyperlink" Target="https://8619225.app.netsuite.com/app/accounting/transactions/transaction.nl?id=1692" TargetMode="External"/><Relationship Id="rId12" Type="http://schemas.openxmlformats.org/officeDocument/2006/relationships/hyperlink" Target="https://8619225.app.netsuite.com/app/accounting/transactions/transaction.nl?id=5723" TargetMode="External"/><Relationship Id="rId17" Type="http://schemas.openxmlformats.org/officeDocument/2006/relationships/hyperlink" Target="https://8619225.app.netsuite.com/app/accounting/transactions/transaction.nl?id=5934" TargetMode="External"/><Relationship Id="rId2" Type="http://schemas.openxmlformats.org/officeDocument/2006/relationships/hyperlink" Target="https://8619225.app.netsuite.com/app/accounting/transactions/transaction.nl?id=5724" TargetMode="External"/><Relationship Id="rId16" Type="http://schemas.openxmlformats.org/officeDocument/2006/relationships/hyperlink" Target="https://8619225.app.netsuite.com/app/accounting/transactions/transaction.nl?id=5833" TargetMode="External"/><Relationship Id="rId20" Type="http://schemas.openxmlformats.org/officeDocument/2006/relationships/printerSettings" Target="../printerSettings/printerSettings13.bin"/><Relationship Id="rId1" Type="http://schemas.openxmlformats.org/officeDocument/2006/relationships/hyperlink" Target="https://8619225.app.netsuite.com/app/accounting/transactions/transaction.nl?id=5731" TargetMode="External"/><Relationship Id="rId6" Type="http://schemas.openxmlformats.org/officeDocument/2006/relationships/hyperlink" Target="https://8619225.app.netsuite.com/app/accounting/transactions/transaction.nl?id=1690" TargetMode="External"/><Relationship Id="rId11" Type="http://schemas.openxmlformats.org/officeDocument/2006/relationships/hyperlink" Target="https://8619225.app.netsuite.com/app/accounting/transactions/transaction.nl?id=5725" TargetMode="External"/><Relationship Id="rId5" Type="http://schemas.openxmlformats.org/officeDocument/2006/relationships/hyperlink" Target="https://8619225.app.netsuite.com/app/accounting/transactions/transaction.nl?id=1690" TargetMode="External"/><Relationship Id="rId15" Type="http://schemas.openxmlformats.org/officeDocument/2006/relationships/hyperlink" Target="https://8619225.app.netsuite.com/app/accounting/transactions/purchord.nl?id=63933" TargetMode="External"/><Relationship Id="rId23" Type="http://schemas.microsoft.com/office/2017/10/relationships/threadedComment" Target="../threadedComments/threadedComment9.xml"/><Relationship Id="rId10" Type="http://schemas.openxmlformats.org/officeDocument/2006/relationships/hyperlink" Target="https://8619225.app.netsuite.com/app/accounting/transactions/transaction.nl?id=1695" TargetMode="External"/><Relationship Id="rId19" Type="http://schemas.openxmlformats.org/officeDocument/2006/relationships/hyperlink" Target="https://8619225.app.netsuite.com/app/accounting/transactions/purchord.nl?id=66824" TargetMode="External"/><Relationship Id="rId4" Type="http://schemas.openxmlformats.org/officeDocument/2006/relationships/hyperlink" Target="https://8619225.app.netsuite.com/app/accounting/transactions/transaction.nl?id=27811" TargetMode="External"/><Relationship Id="rId9" Type="http://schemas.openxmlformats.org/officeDocument/2006/relationships/hyperlink" Target="https://8619225.app.netsuite.com/app/accounting/transactions/transaction.nl?id=1693" TargetMode="External"/><Relationship Id="rId14" Type="http://schemas.openxmlformats.org/officeDocument/2006/relationships/hyperlink" Target="https://8619225.app.netsuite.com/app/accounting/transactions/transaction.nl?id=5729" TargetMode="External"/><Relationship Id="rId22"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EFFCB-842E-4927-A5CA-CB458B596008}">
  <sheetPr>
    <pageSetUpPr fitToPage="1"/>
  </sheetPr>
  <dimension ref="B1:BI84"/>
  <sheetViews>
    <sheetView showGridLines="0" zoomScale="70" zoomScaleNormal="70" workbookViewId="0">
      <pane xSplit="6" ySplit="4" topLeftCell="AT23" activePane="bottomRight" state="frozen"/>
      <selection pane="topRight" activeCell="E1" sqref="E1"/>
      <selection pane="bottomLeft" activeCell="A5" sqref="A5"/>
      <selection pane="bottomRight" activeCell="BD62" sqref="BD62"/>
    </sheetView>
  </sheetViews>
  <sheetFormatPr defaultRowHeight="15" x14ac:dyDescent="0.25"/>
  <cols>
    <col min="1" max="1" width="4.42578125" customWidth="1"/>
    <col min="2" max="2" width="44.5703125" bestFit="1" customWidth="1"/>
    <col min="3" max="3" width="36.5703125" customWidth="1"/>
    <col min="4" max="4" width="25.5703125" style="330" customWidth="1"/>
    <col min="5" max="5" width="28.42578125" style="330" customWidth="1"/>
    <col min="6" max="6" width="19.28515625" bestFit="1" customWidth="1"/>
    <col min="7" max="8" width="16.42578125" customWidth="1"/>
    <col min="9" max="9" width="8.5703125" bestFit="1" customWidth="1"/>
    <col min="10" max="12" width="12.5703125" hidden="1" customWidth="1"/>
    <col min="13" max="13" width="11" bestFit="1" customWidth="1"/>
    <col min="14" max="14" width="15.42578125" bestFit="1" customWidth="1"/>
    <col min="15" max="15" width="12.42578125" style="86" customWidth="1"/>
    <col min="16" max="16" width="9.42578125" customWidth="1"/>
    <col min="34" max="34" width="8.5703125" bestFit="1" customWidth="1"/>
    <col min="35" max="35" width="9.5703125" bestFit="1" customWidth="1"/>
    <col min="40" max="40" width="9.5703125" style="26" bestFit="1" customWidth="1"/>
    <col min="41" max="41" width="9.42578125" customWidth="1"/>
    <col min="49" max="49" width="10.42578125" customWidth="1"/>
    <col min="55" max="56" width="11.7109375" bestFit="1" customWidth="1"/>
    <col min="16384" max="16384" width="9.42578125" bestFit="1" customWidth="1"/>
  </cols>
  <sheetData>
    <row r="1" spans="2:61" x14ac:dyDescent="0.25">
      <c r="O1" s="86" t="s">
        <v>0</v>
      </c>
    </row>
    <row r="2" spans="2:61" x14ac:dyDescent="0.25">
      <c r="B2" s="1" t="s">
        <v>1</v>
      </c>
      <c r="O2" s="87">
        <v>44547</v>
      </c>
      <c r="R2" s="71">
        <v>44317</v>
      </c>
      <c r="S2" t="s">
        <v>2</v>
      </c>
      <c r="T2" t="s">
        <v>3</v>
      </c>
      <c r="U2" t="s">
        <v>4</v>
      </c>
      <c r="V2" t="s">
        <v>5</v>
      </c>
      <c r="W2" t="s">
        <v>6</v>
      </c>
      <c r="X2" t="s">
        <v>7</v>
      </c>
      <c r="Y2" t="s">
        <v>8</v>
      </c>
      <c r="Z2" s="71">
        <v>44562</v>
      </c>
      <c r="AA2" t="s">
        <v>9</v>
      </c>
      <c r="AB2" t="s">
        <v>10</v>
      </c>
      <c r="AC2" t="s">
        <v>11</v>
      </c>
      <c r="AD2" t="s">
        <v>12</v>
      </c>
      <c r="AE2" t="s">
        <v>2</v>
      </c>
      <c r="AF2" t="s">
        <v>3</v>
      </c>
      <c r="AG2" t="s">
        <v>4</v>
      </c>
      <c r="AH2" t="s">
        <v>5</v>
      </c>
      <c r="AI2" t="s">
        <v>6</v>
      </c>
      <c r="AJ2" t="s">
        <v>7</v>
      </c>
      <c r="AK2" t="s">
        <v>8</v>
      </c>
      <c r="AL2" t="s">
        <v>13</v>
      </c>
      <c r="AM2" t="s">
        <v>9</v>
      </c>
      <c r="AN2" s="26" t="s">
        <v>10</v>
      </c>
      <c r="AO2" t="s">
        <v>11</v>
      </c>
      <c r="AP2" t="s">
        <v>12</v>
      </c>
      <c r="AQ2" t="s">
        <v>2</v>
      </c>
      <c r="AR2" t="s">
        <v>3</v>
      </c>
      <c r="AS2" t="s">
        <v>4</v>
      </c>
      <c r="AT2" t="s">
        <v>5</v>
      </c>
      <c r="AU2" t="s">
        <v>6</v>
      </c>
      <c r="AV2" t="s">
        <v>7</v>
      </c>
      <c r="AW2" t="s">
        <v>8</v>
      </c>
      <c r="AX2" t="s">
        <v>13</v>
      </c>
      <c r="AY2" t="s">
        <v>9</v>
      </c>
      <c r="AZ2" t="s">
        <v>10</v>
      </c>
      <c r="BA2" t="s">
        <v>11</v>
      </c>
      <c r="BB2" t="s">
        <v>12</v>
      </c>
      <c r="BC2" t="s">
        <v>2</v>
      </c>
      <c r="BD2" t="s">
        <v>3</v>
      </c>
      <c r="BE2" t="s">
        <v>4</v>
      </c>
      <c r="BF2" t="s">
        <v>5</v>
      </c>
      <c r="BG2" t="s">
        <v>6</v>
      </c>
      <c r="BH2" t="s">
        <v>7</v>
      </c>
      <c r="BI2" t="s">
        <v>8</v>
      </c>
    </row>
    <row r="3" spans="2:61" ht="15.75" thickBot="1" x14ac:dyDescent="0.3">
      <c r="O3" s="86" t="s">
        <v>14</v>
      </c>
      <c r="AN3" s="26" t="s">
        <v>15</v>
      </c>
    </row>
    <row r="4" spans="2:61" s="85" customFormat="1" ht="46.9" customHeight="1" thickBot="1" x14ac:dyDescent="0.3">
      <c r="B4" s="91" t="s">
        <v>16</v>
      </c>
      <c r="C4" s="92" t="s">
        <v>17</v>
      </c>
      <c r="D4" s="331" t="s">
        <v>18</v>
      </c>
      <c r="E4" s="346" t="s">
        <v>19</v>
      </c>
      <c r="F4" s="93" t="s">
        <v>20</v>
      </c>
      <c r="G4" s="93" t="s">
        <v>21</v>
      </c>
      <c r="H4" s="93" t="s">
        <v>22</v>
      </c>
      <c r="I4" s="95" t="s">
        <v>23</v>
      </c>
      <c r="J4" s="94" t="s">
        <v>24</v>
      </c>
      <c r="K4" s="94" t="s">
        <v>25</v>
      </c>
      <c r="L4" s="94" t="s">
        <v>26</v>
      </c>
      <c r="M4" s="94" t="s">
        <v>27</v>
      </c>
      <c r="N4" s="94" t="s">
        <v>28</v>
      </c>
      <c r="O4" s="96">
        <v>1</v>
      </c>
      <c r="P4" s="97">
        <v>2</v>
      </c>
      <c r="Q4" s="97">
        <v>3</v>
      </c>
      <c r="R4" s="97">
        <v>4</v>
      </c>
      <c r="S4" s="97">
        <v>5</v>
      </c>
      <c r="T4" s="97">
        <v>6</v>
      </c>
      <c r="U4" s="97">
        <v>7</v>
      </c>
      <c r="V4" s="97">
        <v>8</v>
      </c>
      <c r="W4" s="97">
        <v>9</v>
      </c>
      <c r="X4" s="97">
        <v>10</v>
      </c>
      <c r="Y4" s="97">
        <v>11</v>
      </c>
      <c r="Z4" s="97">
        <v>12</v>
      </c>
      <c r="AA4" s="97">
        <v>13</v>
      </c>
      <c r="AB4" s="97">
        <v>14</v>
      </c>
      <c r="AC4" s="97">
        <v>15</v>
      </c>
      <c r="AD4" s="97">
        <v>16</v>
      </c>
      <c r="AE4" s="97">
        <v>17</v>
      </c>
      <c r="AF4" s="97">
        <v>18</v>
      </c>
      <c r="AG4" s="97">
        <v>19</v>
      </c>
      <c r="AH4" s="97">
        <v>20</v>
      </c>
      <c r="AI4" s="97">
        <v>21</v>
      </c>
      <c r="AJ4" s="97">
        <v>22</v>
      </c>
      <c r="AK4" s="97">
        <v>23</v>
      </c>
      <c r="AL4" s="97">
        <v>24</v>
      </c>
      <c r="AM4" s="97">
        <v>25</v>
      </c>
      <c r="AN4" s="98">
        <v>26</v>
      </c>
      <c r="AO4" s="97">
        <v>27</v>
      </c>
      <c r="AP4" s="97">
        <v>28</v>
      </c>
      <c r="AQ4" s="97">
        <v>29</v>
      </c>
      <c r="AR4" s="97">
        <v>30</v>
      </c>
      <c r="AS4" s="97">
        <v>31</v>
      </c>
      <c r="AT4" s="97">
        <v>32</v>
      </c>
      <c r="AU4" s="97">
        <v>33</v>
      </c>
      <c r="AV4" s="97">
        <v>34</v>
      </c>
      <c r="AW4" s="97">
        <v>35</v>
      </c>
      <c r="AX4" s="97">
        <v>36</v>
      </c>
      <c r="AY4" s="97">
        <v>37</v>
      </c>
      <c r="AZ4" s="97">
        <v>38</v>
      </c>
      <c r="BA4" s="99">
        <v>39</v>
      </c>
      <c r="BB4" s="99">
        <v>40</v>
      </c>
      <c r="BC4" s="99">
        <v>41</v>
      </c>
      <c r="BD4" s="99">
        <v>42</v>
      </c>
    </row>
    <row r="5" spans="2:61" x14ac:dyDescent="0.25">
      <c r="B5" s="8" t="s">
        <v>29</v>
      </c>
      <c r="C5" t="s">
        <v>30</v>
      </c>
      <c r="D5" s="332">
        <v>66772</v>
      </c>
      <c r="E5" s="334">
        <v>66973</v>
      </c>
      <c r="F5" s="19">
        <f>SUM(O5:BZ5)</f>
        <v>66973</v>
      </c>
      <c r="G5" s="2">
        <f>SUM(O5:AN5)</f>
        <v>66973</v>
      </c>
      <c r="H5" s="2">
        <f>SUM(AO5:BZ5)</f>
        <v>0</v>
      </c>
      <c r="I5" s="2">
        <f t="shared" ref="I5:I13" si="0">D5-F5</f>
        <v>-201</v>
      </c>
      <c r="J5" s="19"/>
      <c r="K5" s="19"/>
      <c r="L5" s="19"/>
      <c r="M5" s="19"/>
      <c r="N5" s="19"/>
      <c r="O5" s="88">
        <v>66772</v>
      </c>
      <c r="P5" s="2"/>
      <c r="Q5" s="2"/>
      <c r="R5" s="2"/>
      <c r="S5" s="2"/>
      <c r="T5" s="2"/>
      <c r="U5" s="2"/>
      <c r="V5" s="2"/>
      <c r="W5" s="2"/>
      <c r="X5" s="2"/>
      <c r="Y5" s="2"/>
      <c r="Z5" s="2"/>
      <c r="AA5" s="113">
        <v>201</v>
      </c>
      <c r="AB5" s="2"/>
      <c r="AC5" s="2"/>
      <c r="AD5" s="2"/>
      <c r="AE5" s="2"/>
      <c r="AF5" s="2"/>
      <c r="AG5" s="2"/>
      <c r="AH5" s="2"/>
      <c r="AI5" s="2"/>
      <c r="AJ5" s="2"/>
      <c r="AK5" s="2"/>
      <c r="AL5" s="2"/>
      <c r="AM5" s="2"/>
      <c r="AN5" s="28"/>
      <c r="AO5" s="2"/>
      <c r="AP5" s="2"/>
      <c r="AQ5" s="2"/>
      <c r="AR5" s="2"/>
      <c r="AS5" s="2"/>
      <c r="AT5" s="2"/>
      <c r="AU5" s="2"/>
      <c r="AV5" s="2"/>
      <c r="AW5" s="2"/>
      <c r="AX5" s="2"/>
      <c r="BA5" s="77"/>
    </row>
    <row r="6" spans="2:61" x14ac:dyDescent="0.25">
      <c r="B6" s="8"/>
      <c r="C6" s="102" t="s">
        <v>31</v>
      </c>
      <c r="D6" s="333">
        <v>33228</v>
      </c>
      <c r="E6" s="333">
        <v>31078.22</v>
      </c>
      <c r="F6" s="104">
        <f t="shared" ref="F6:F60" si="1">SUM(O6:BZ6)</f>
        <v>44766.05999999999</v>
      </c>
      <c r="G6" s="255">
        <f t="shared" ref="G6:G28" si="2">SUM(O6:AN6)</f>
        <v>43850.80999999999</v>
      </c>
      <c r="H6" s="255">
        <f t="shared" ref="H6:H68" si="3">SUM(AO6:BZ6)</f>
        <v>915.25</v>
      </c>
      <c r="I6" s="2">
        <f t="shared" si="0"/>
        <v>-11538.05999999999</v>
      </c>
      <c r="J6" s="42">
        <v>45025</v>
      </c>
      <c r="K6" s="19"/>
      <c r="L6" s="19"/>
      <c r="M6" s="19"/>
      <c r="N6" s="19">
        <f>J6</f>
        <v>45025</v>
      </c>
      <c r="O6" s="88">
        <f>1964.41+2834.79+6922.05+11513.84+3377.52+3352.64+575.07</f>
        <v>30540.32</v>
      </c>
      <c r="P6" s="2"/>
      <c r="Q6" s="2"/>
      <c r="R6" s="2"/>
      <c r="T6" s="2"/>
      <c r="U6" s="2"/>
      <c r="V6" s="2"/>
      <c r="W6" s="2"/>
      <c r="X6" s="2"/>
      <c r="Y6" s="2"/>
      <c r="Z6" s="113">
        <v>537.9</v>
      </c>
      <c r="AA6" s="113">
        <v>1235.21</v>
      </c>
      <c r="AB6" s="113">
        <v>621.27</v>
      </c>
      <c r="AC6" s="113">
        <v>892.34</v>
      </c>
      <c r="AD6" s="113">
        <v>621</v>
      </c>
      <c r="AE6" s="113">
        <v>613.95000000000005</v>
      </c>
      <c r="AF6" s="113">
        <v>578.48</v>
      </c>
      <c r="AG6" s="113">
        <v>3932.7</v>
      </c>
      <c r="AH6" s="113">
        <v>1181.51</v>
      </c>
      <c r="AI6" s="113">
        <v>819.34</v>
      </c>
      <c r="AJ6" s="113">
        <v>1166.6500000000001</v>
      </c>
      <c r="AK6" s="2"/>
      <c r="AL6" s="113">
        <f>163.13</f>
        <v>163.13</v>
      </c>
      <c r="AM6" s="2"/>
      <c r="AN6" s="113">
        <f>947.01</f>
        <v>947.01</v>
      </c>
      <c r="AO6" s="113">
        <f>113.25</f>
        <v>113.25</v>
      </c>
      <c r="AP6" s="113">
        <f>56.63</f>
        <v>56.63</v>
      </c>
      <c r="AQ6" s="2"/>
      <c r="AR6" s="113">
        <f>459.3</f>
        <v>459.3</v>
      </c>
      <c r="AS6" s="113">
        <f>113.25</f>
        <v>113.25</v>
      </c>
      <c r="AT6" s="113">
        <f>56.63</f>
        <v>56.63</v>
      </c>
      <c r="AU6" s="2"/>
      <c r="AV6" s="2"/>
      <c r="AW6" s="2"/>
      <c r="AX6" s="2"/>
      <c r="AY6" s="57">
        <f>116.19</f>
        <v>116.19</v>
      </c>
      <c r="BA6" s="77"/>
    </row>
    <row r="7" spans="2:61" x14ac:dyDescent="0.25">
      <c r="B7" s="8"/>
      <c r="C7" t="s">
        <v>32</v>
      </c>
      <c r="D7" s="334">
        <v>500000</v>
      </c>
      <c r="E7" s="347">
        <v>500000</v>
      </c>
      <c r="F7" s="19">
        <f t="shared" si="1"/>
        <v>0</v>
      </c>
      <c r="G7" s="2">
        <f t="shared" si="2"/>
        <v>0</v>
      </c>
      <c r="H7" s="2">
        <f t="shared" si="3"/>
        <v>0</v>
      </c>
      <c r="I7" s="2">
        <f t="shared" si="0"/>
        <v>500000</v>
      </c>
      <c r="J7" s="42"/>
      <c r="K7" s="19"/>
      <c r="L7" s="19"/>
      <c r="M7" s="19"/>
      <c r="N7" s="19"/>
      <c r="O7" s="88">
        <v>0</v>
      </c>
      <c r="P7" s="2"/>
      <c r="Q7" s="2"/>
      <c r="R7" s="2"/>
      <c r="T7" s="2"/>
      <c r="U7" s="2"/>
      <c r="V7" s="2"/>
      <c r="W7" s="2"/>
      <c r="X7" s="2"/>
      <c r="Y7" s="2"/>
      <c r="Z7" s="2"/>
      <c r="AA7" s="2"/>
      <c r="AB7" s="2"/>
      <c r="AC7" s="2"/>
      <c r="AD7" s="2"/>
      <c r="AE7" s="2"/>
      <c r="AF7" s="2"/>
      <c r="AG7" s="2"/>
      <c r="AH7" s="2"/>
      <c r="AI7" s="2"/>
      <c r="AJ7" s="2"/>
      <c r="AK7" s="2"/>
      <c r="AL7" s="2"/>
      <c r="AM7" s="2"/>
      <c r="AN7" s="28"/>
      <c r="AO7" s="2"/>
      <c r="AP7" s="2"/>
      <c r="AQ7" s="2"/>
      <c r="AR7" s="2"/>
      <c r="AS7" s="2"/>
      <c r="AT7" s="2"/>
      <c r="AU7" s="2"/>
      <c r="AV7" s="2"/>
      <c r="AW7" s="2"/>
      <c r="AX7" s="2"/>
      <c r="BA7" s="77"/>
    </row>
    <row r="8" spans="2:61" x14ac:dyDescent="0.25">
      <c r="B8" s="8"/>
      <c r="C8" t="s">
        <v>33</v>
      </c>
      <c r="D8" s="334">
        <v>0</v>
      </c>
      <c r="E8" s="334">
        <f>1220*3</f>
        <v>3660</v>
      </c>
      <c r="F8" s="19">
        <f t="shared" si="1"/>
        <v>300</v>
      </c>
      <c r="G8" s="2">
        <f t="shared" si="2"/>
        <v>300</v>
      </c>
      <c r="H8" s="2">
        <f t="shared" si="3"/>
        <v>0</v>
      </c>
      <c r="I8" s="2">
        <f t="shared" si="0"/>
        <v>-300</v>
      </c>
      <c r="J8" s="42"/>
      <c r="K8" s="19"/>
      <c r="L8" s="19"/>
      <c r="M8" s="19"/>
      <c r="N8" s="19"/>
      <c r="O8" s="88">
        <v>0</v>
      </c>
      <c r="P8" s="2"/>
      <c r="Q8" s="2"/>
      <c r="R8" s="2"/>
      <c r="T8" s="2"/>
      <c r="U8" s="2"/>
      <c r="V8" s="2"/>
      <c r="W8" s="2"/>
      <c r="X8" s="2"/>
      <c r="Y8" s="2"/>
      <c r="Z8" s="2"/>
      <c r="AA8" s="2"/>
      <c r="AB8" s="2"/>
      <c r="AC8" s="2"/>
      <c r="AD8" s="2"/>
      <c r="AE8" s="2"/>
      <c r="AF8" s="2"/>
      <c r="AG8" s="113">
        <v>300</v>
      </c>
      <c r="AH8" s="2"/>
      <c r="AI8" s="2"/>
      <c r="AJ8" s="2"/>
      <c r="AK8" s="2"/>
      <c r="AL8" s="2"/>
      <c r="AM8" s="2"/>
      <c r="AN8" s="28"/>
      <c r="AO8" s="2"/>
      <c r="AP8" s="2"/>
      <c r="AQ8" s="2"/>
      <c r="AR8" s="2"/>
      <c r="AS8" s="2"/>
      <c r="AT8" s="2"/>
      <c r="AU8" s="2"/>
      <c r="AV8" s="2"/>
      <c r="AW8" s="2"/>
      <c r="AX8" s="2"/>
      <c r="BA8" s="77"/>
    </row>
    <row r="9" spans="2:61" x14ac:dyDescent="0.25">
      <c r="B9" s="13"/>
      <c r="C9" s="6" t="s">
        <v>34</v>
      </c>
      <c r="D9" s="335">
        <v>0</v>
      </c>
      <c r="E9" s="335">
        <v>0</v>
      </c>
      <c r="F9" s="19">
        <f t="shared" si="1"/>
        <v>80463.42</v>
      </c>
      <c r="G9" s="2">
        <f t="shared" si="2"/>
        <v>33423.42</v>
      </c>
      <c r="H9" s="2">
        <f t="shared" si="3"/>
        <v>47040</v>
      </c>
      <c r="I9" s="2"/>
      <c r="J9" s="19"/>
      <c r="K9" s="19"/>
      <c r="L9" s="19"/>
      <c r="M9" s="19"/>
      <c r="N9" s="19"/>
      <c r="O9" s="88">
        <v>0</v>
      </c>
      <c r="P9" s="2"/>
      <c r="Q9" s="2"/>
      <c r="R9" s="2"/>
      <c r="S9" s="2"/>
      <c r="T9" s="2"/>
      <c r="U9" s="2"/>
      <c r="V9" s="2"/>
      <c r="W9" s="2"/>
      <c r="X9" s="2"/>
      <c r="Y9" s="2"/>
      <c r="Z9" s="2"/>
      <c r="AA9" s="2"/>
      <c r="AB9" s="2"/>
      <c r="AC9" s="2"/>
      <c r="AD9" s="2"/>
      <c r="AE9" s="2"/>
      <c r="AF9" s="2"/>
      <c r="AG9" s="2"/>
      <c r="AH9" s="113">
        <v>1800</v>
      </c>
      <c r="AI9" s="2"/>
      <c r="AJ9" s="2"/>
      <c r="AK9" s="2"/>
      <c r="AL9" s="2"/>
      <c r="AM9" s="2"/>
      <c r="AN9" s="113">
        <f>31623.42</f>
        <v>31623.42</v>
      </c>
      <c r="AO9" s="2"/>
      <c r="AP9" s="2"/>
      <c r="AQ9" s="2"/>
      <c r="AR9" s="2"/>
      <c r="AS9" s="2"/>
      <c r="AU9" s="2"/>
      <c r="AV9" s="113">
        <f>1800</f>
        <v>1800</v>
      </c>
      <c r="AW9" s="2"/>
      <c r="AX9" s="2"/>
      <c r="AY9" s="2">
        <v>15000</v>
      </c>
      <c r="AZ9" s="2">
        <f>630*480*0.1</f>
        <v>30240</v>
      </c>
      <c r="BA9" s="77"/>
    </row>
    <row r="10" spans="2:61" x14ac:dyDescent="0.25">
      <c r="B10" s="14" t="s">
        <v>35</v>
      </c>
      <c r="C10" s="15"/>
      <c r="D10" s="336">
        <v>295000</v>
      </c>
      <c r="E10" s="350">
        <v>295000</v>
      </c>
      <c r="F10" s="21">
        <f t="shared" si="1"/>
        <v>189444</v>
      </c>
      <c r="G10" s="2">
        <f t="shared" si="2"/>
        <v>180462</v>
      </c>
      <c r="H10" s="2">
        <f t="shared" si="3"/>
        <v>8982</v>
      </c>
      <c r="I10" s="2">
        <f t="shared" si="0"/>
        <v>105556</v>
      </c>
      <c r="J10" s="19"/>
      <c r="K10" s="19"/>
      <c r="L10" s="19"/>
      <c r="M10" s="19"/>
      <c r="N10" s="19"/>
      <c r="O10" s="88">
        <v>165332</v>
      </c>
      <c r="P10" s="2"/>
      <c r="Q10" s="2"/>
      <c r="R10" s="2"/>
      <c r="S10" s="2"/>
      <c r="X10" s="2"/>
      <c r="Y10" s="2"/>
      <c r="Z10" s="2"/>
      <c r="AA10" s="2"/>
      <c r="AB10" s="2"/>
      <c r="AC10" s="2"/>
      <c r="AD10" s="2"/>
      <c r="AE10" s="2"/>
      <c r="AF10" s="113">
        <f>10000+2500</f>
        <v>12500</v>
      </c>
      <c r="AG10" s="2"/>
      <c r="AH10" s="2"/>
      <c r="AI10" s="2"/>
      <c r="AJ10" s="2"/>
      <c r="AK10" s="2"/>
      <c r="AL10" s="113">
        <f>2630</f>
        <v>2630</v>
      </c>
      <c r="AM10" s="2"/>
      <c r="AN10" s="28"/>
      <c r="AO10" s="2"/>
      <c r="AP10" s="2"/>
      <c r="AQ10" s="2"/>
      <c r="AR10" s="113">
        <f>6750+2232</f>
        <v>8982</v>
      </c>
      <c r="AS10" s="2"/>
      <c r="AT10" s="2"/>
      <c r="AU10" s="2"/>
      <c r="AV10" s="2"/>
      <c r="AW10" s="2"/>
      <c r="AX10" s="2"/>
      <c r="BA10" s="77"/>
    </row>
    <row r="11" spans="2:61" x14ac:dyDescent="0.25">
      <c r="B11" s="24" t="s">
        <v>36</v>
      </c>
      <c r="C11" s="3"/>
      <c r="D11" s="337">
        <v>0</v>
      </c>
      <c r="E11" s="337">
        <v>850</v>
      </c>
      <c r="F11" s="21">
        <f t="shared" si="1"/>
        <v>850</v>
      </c>
      <c r="G11" s="2">
        <f t="shared" si="2"/>
        <v>850</v>
      </c>
      <c r="H11" s="2">
        <f t="shared" si="3"/>
        <v>0</v>
      </c>
      <c r="I11" s="2"/>
      <c r="J11" s="19"/>
      <c r="K11" s="19"/>
      <c r="L11" s="19"/>
      <c r="M11" s="19"/>
      <c r="N11" s="19"/>
      <c r="O11" s="88">
        <v>0</v>
      </c>
      <c r="P11" s="2"/>
      <c r="Q11" s="2"/>
      <c r="R11" s="2"/>
      <c r="S11" s="2"/>
      <c r="T11" s="2"/>
      <c r="U11" s="2"/>
      <c r="V11" s="2"/>
      <c r="W11" s="2"/>
      <c r="X11" s="2"/>
      <c r="Y11" s="2"/>
      <c r="Z11" s="113">
        <v>850</v>
      </c>
      <c r="AA11" s="2"/>
      <c r="AB11" s="2"/>
      <c r="AC11" s="2"/>
      <c r="AD11" s="2"/>
      <c r="AE11" s="2"/>
      <c r="AF11" s="2"/>
      <c r="AG11" s="2"/>
      <c r="AH11" s="2"/>
      <c r="AI11" s="2"/>
      <c r="AJ11" s="2"/>
      <c r="AK11" s="2"/>
      <c r="AL11" s="2"/>
      <c r="AM11" s="2"/>
      <c r="AN11" s="28"/>
      <c r="AO11" s="2"/>
      <c r="AP11" s="2"/>
      <c r="AQ11" s="2"/>
      <c r="AR11" s="2"/>
      <c r="AS11" s="2"/>
      <c r="AT11" s="2"/>
      <c r="AU11" s="2"/>
      <c r="AV11" s="2"/>
      <c r="AW11" s="2"/>
      <c r="AX11" s="2"/>
      <c r="BA11" s="77"/>
    </row>
    <row r="12" spans="2:61" x14ac:dyDescent="0.25">
      <c r="B12" s="24" t="s">
        <v>37</v>
      </c>
      <c r="C12" s="114" t="s">
        <v>38</v>
      </c>
      <c r="D12" s="338">
        <v>53000</v>
      </c>
      <c r="E12" s="348">
        <v>100000</v>
      </c>
      <c r="F12" s="115">
        <f>SUM(O12:BZ12)</f>
        <v>167342.25</v>
      </c>
      <c r="G12" s="256">
        <f t="shared" si="2"/>
        <v>40139.25</v>
      </c>
      <c r="H12" s="256">
        <f>SUM(AO12:BZ12)</f>
        <v>127203</v>
      </c>
      <c r="I12" s="2">
        <f t="shared" si="0"/>
        <v>-114342.25</v>
      </c>
      <c r="J12" s="19"/>
      <c r="K12" s="19"/>
      <c r="L12" s="19"/>
      <c r="M12" s="19"/>
      <c r="N12" s="19"/>
      <c r="O12" s="88">
        <v>0</v>
      </c>
      <c r="P12" s="2"/>
      <c r="Q12" s="2"/>
      <c r="R12" s="2"/>
      <c r="S12" s="2"/>
      <c r="T12" s="2"/>
      <c r="U12" s="2"/>
      <c r="V12" s="2"/>
      <c r="W12" s="2"/>
      <c r="X12" s="2"/>
      <c r="Y12" s="2"/>
      <c r="Z12" s="2"/>
      <c r="AA12" s="2"/>
      <c r="AB12" s="2"/>
      <c r="AC12" s="2"/>
      <c r="AD12" s="113">
        <v>6599.25</v>
      </c>
      <c r="AE12" s="2"/>
      <c r="AF12" s="2"/>
      <c r="AG12" s="2"/>
      <c r="AH12" s="113">
        <v>9672</v>
      </c>
      <c r="AI12" s="2"/>
      <c r="AJ12" s="2"/>
      <c r="AK12" s="2"/>
      <c r="AL12" s="113">
        <f>6579</f>
        <v>6579</v>
      </c>
      <c r="AM12" s="2"/>
      <c r="AN12" s="113">
        <f>17289</f>
        <v>17289</v>
      </c>
      <c r="AO12" s="2"/>
      <c r="AP12" s="2"/>
      <c r="AQ12" s="2"/>
      <c r="AR12" s="2"/>
      <c r="AS12" s="2"/>
      <c r="AT12" s="2"/>
      <c r="AU12" s="2"/>
      <c r="AV12" s="2"/>
      <c r="AW12" s="2"/>
      <c r="AX12" s="2"/>
      <c r="AY12" s="2"/>
      <c r="AZ12" s="2"/>
      <c r="BA12" s="5"/>
      <c r="BB12" s="2">
        <f>67200</f>
        <v>67200</v>
      </c>
      <c r="BC12" s="2">
        <f>60003</f>
        <v>60003</v>
      </c>
    </row>
    <row r="13" spans="2:61" x14ac:dyDescent="0.25">
      <c r="B13" s="13"/>
      <c r="C13" s="6" t="s">
        <v>39</v>
      </c>
      <c r="D13" s="335">
        <v>597000</v>
      </c>
      <c r="E13" s="349">
        <v>597000</v>
      </c>
      <c r="F13" s="20">
        <f t="shared" si="1"/>
        <v>501968</v>
      </c>
      <c r="G13" s="2">
        <f t="shared" si="2"/>
        <v>7488</v>
      </c>
      <c r="H13" s="2">
        <f t="shared" si="3"/>
        <v>494480</v>
      </c>
      <c r="I13" s="2">
        <f t="shared" si="0"/>
        <v>95032</v>
      </c>
      <c r="J13" s="19"/>
      <c r="K13" s="19"/>
      <c r="L13" s="19"/>
      <c r="M13" s="19"/>
      <c r="N13" s="19"/>
      <c r="O13" s="88">
        <v>0</v>
      </c>
      <c r="P13" s="2"/>
      <c r="Q13" s="2"/>
      <c r="R13" s="2"/>
      <c r="S13" s="2"/>
      <c r="T13" s="2"/>
      <c r="U13" s="2"/>
      <c r="V13" s="2"/>
      <c r="W13" s="2"/>
      <c r="X13" s="2"/>
      <c r="Y13" s="2"/>
      <c r="Z13" s="2"/>
      <c r="AD13" s="2"/>
      <c r="AE13" s="2"/>
      <c r="AF13" s="2"/>
      <c r="AG13" s="2"/>
      <c r="AH13" s="2"/>
      <c r="AI13" s="2"/>
      <c r="AJ13" s="2"/>
      <c r="AK13" s="2"/>
      <c r="AL13" s="2"/>
      <c r="AM13" s="2"/>
      <c r="AN13" s="113">
        <f>7488</f>
        <v>7488</v>
      </c>
      <c r="AO13" s="2"/>
      <c r="AP13" s="2"/>
      <c r="AQ13" s="113">
        <f>39464</f>
        <v>39464</v>
      </c>
      <c r="AR13" s="2"/>
      <c r="AS13" s="2"/>
      <c r="AT13" s="2"/>
      <c r="AU13" s="2"/>
      <c r="AV13" s="113">
        <f>224375</f>
        <v>224375</v>
      </c>
      <c r="AW13" s="2"/>
      <c r="AX13" s="2"/>
      <c r="BA13" s="77"/>
      <c r="BB13" s="113">
        <f>230641</f>
        <v>230641</v>
      </c>
    </row>
    <row r="14" spans="2:61" x14ac:dyDescent="0.25">
      <c r="B14" s="109" t="s">
        <v>40</v>
      </c>
      <c r="C14" s="110"/>
      <c r="D14" s="339">
        <v>344000.19</v>
      </c>
      <c r="E14" s="339">
        <v>413184.5</v>
      </c>
      <c r="F14" s="112">
        <f t="shared" si="1"/>
        <v>1121082.2399999995</v>
      </c>
      <c r="G14" s="255">
        <f t="shared" si="2"/>
        <v>557871.18000000005</v>
      </c>
      <c r="H14" s="255">
        <f>SUM(AO14:BZ14)</f>
        <v>563211.06000000017</v>
      </c>
      <c r="I14" s="2">
        <f>F14-D14</f>
        <v>777082.04999999958</v>
      </c>
      <c r="J14" s="19"/>
      <c r="K14" s="19"/>
      <c r="L14" s="19"/>
      <c r="M14" s="19"/>
      <c r="N14" s="19"/>
      <c r="O14" s="88">
        <v>148830.5</v>
      </c>
      <c r="P14" s="2"/>
      <c r="Q14" s="2"/>
      <c r="R14" s="2"/>
      <c r="S14" s="2"/>
      <c r="T14" s="2"/>
      <c r="U14" s="2"/>
      <c r="V14" s="2"/>
      <c r="W14" s="2"/>
      <c r="X14" s="2"/>
      <c r="Y14" s="113">
        <v>19685</v>
      </c>
      <c r="Z14" s="113">
        <v>19685</v>
      </c>
      <c r="AA14" s="113">
        <v>19685</v>
      </c>
      <c r="AB14" s="2"/>
      <c r="AC14" s="113">
        <f>17685+1730.19</f>
        <v>19415.189999999999</v>
      </c>
      <c r="AD14" s="113">
        <f>19500+1197.85</f>
        <v>20697.849999999999</v>
      </c>
      <c r="AE14" s="113">
        <f>19500+10300</f>
        <v>29800</v>
      </c>
      <c r="AF14" s="113">
        <f>19500+315.79+2500</f>
        <v>22315.79</v>
      </c>
      <c r="AG14" s="113">
        <v>19500</v>
      </c>
      <c r="AH14" s="113">
        <f>1498.33+19500</f>
        <v>20998.33</v>
      </c>
      <c r="AI14" s="113">
        <f>19500+438.75</f>
        <v>19938.75</v>
      </c>
      <c r="AJ14" s="113">
        <f>12512.5</f>
        <v>12512.5</v>
      </c>
      <c r="AK14" s="113">
        <v>19500</v>
      </c>
      <c r="AL14" s="113">
        <f>17520.75+880.94</f>
        <v>18401.689999999999</v>
      </c>
      <c r="AM14" s="113">
        <f>19500+605.33</f>
        <v>20105.330000000002</v>
      </c>
      <c r="AN14" s="113">
        <f>62381.5+64418.75</f>
        <v>126800.25</v>
      </c>
      <c r="AO14" s="2"/>
      <c r="AP14" s="113">
        <f>16250+1380.57</f>
        <v>17630.57</v>
      </c>
      <c r="AQ14" s="113">
        <f>28835</f>
        <v>28835</v>
      </c>
      <c r="AR14" s="113">
        <f>21409.95</f>
        <v>21409.95</v>
      </c>
      <c r="AS14" s="113">
        <f>35375.95</f>
        <v>35375.949999999997</v>
      </c>
      <c r="AT14" s="113">
        <f>31139.5+1135.08</f>
        <v>32274.58</v>
      </c>
      <c r="AU14" s="113">
        <f>22710</f>
        <v>22710</v>
      </c>
      <c r="AV14" s="113">
        <f>22710+190.23</f>
        <v>22900.23</v>
      </c>
      <c r="AW14" s="113">
        <v>57568</v>
      </c>
      <c r="AX14" s="113">
        <f>57568+67.98+16148.75</f>
        <v>73784.73000000001</v>
      </c>
      <c r="AY14" s="113">
        <f>40000</f>
        <v>40000</v>
      </c>
      <c r="AZ14" s="113">
        <f>62228+3500+7065+189.62</f>
        <v>72982.62</v>
      </c>
      <c r="BA14" s="364">
        <f>49515+6197</f>
        <v>55712</v>
      </c>
      <c r="BB14" s="113">
        <f>49515+998.93</f>
        <v>50513.93</v>
      </c>
      <c r="BC14" s="113">
        <f>8798</f>
        <v>8798</v>
      </c>
      <c r="BD14" s="2">
        <f>1000+3018.75+7459.25</f>
        <v>11478</v>
      </c>
      <c r="BE14" s="2">
        <f>1237.5</f>
        <v>1237.5</v>
      </c>
      <c r="BF14" s="2">
        <f t="shared" ref="BF14:BH14" si="4">20000/6</f>
        <v>3333.3333333333335</v>
      </c>
      <c r="BG14" s="2">
        <f t="shared" si="4"/>
        <v>3333.3333333333335</v>
      </c>
      <c r="BH14" s="2">
        <f t="shared" si="4"/>
        <v>3333.3333333333335</v>
      </c>
    </row>
    <row r="15" spans="2:61" x14ac:dyDescent="0.25">
      <c r="B15" s="356" t="s">
        <v>41</v>
      </c>
      <c r="C15" s="102"/>
      <c r="D15" s="333">
        <v>0</v>
      </c>
      <c r="E15" s="333">
        <v>0</v>
      </c>
      <c r="F15" s="112">
        <f>SUM(O15:BZ15)</f>
        <v>0</v>
      </c>
      <c r="G15" s="255">
        <f>SUM(O15:AN15)</f>
        <v>0</v>
      </c>
      <c r="H15" s="255">
        <f>SUM(AO15:BZ15)</f>
        <v>0</v>
      </c>
      <c r="I15" s="2"/>
      <c r="J15" s="19"/>
      <c r="K15" s="19"/>
      <c r="L15" s="19"/>
      <c r="M15" s="19"/>
      <c r="N15" s="19"/>
      <c r="O15" s="88">
        <v>0</v>
      </c>
      <c r="P15" s="2"/>
      <c r="Q15" s="2"/>
      <c r="R15" s="2"/>
      <c r="S15" s="2"/>
      <c r="T15" s="2"/>
      <c r="U15" s="2"/>
      <c r="V15" s="2"/>
      <c r="W15" s="2"/>
      <c r="X15" s="2"/>
      <c r="Y15" s="2"/>
      <c r="Z15" s="2"/>
      <c r="AA15" s="2"/>
      <c r="AB15" s="2"/>
      <c r="AC15" s="2"/>
      <c r="AD15" s="2"/>
      <c r="AE15" s="2"/>
      <c r="AF15" s="2"/>
      <c r="AG15" s="2"/>
      <c r="AH15" s="2"/>
      <c r="AI15" s="2"/>
      <c r="AJ15" s="2"/>
      <c r="AK15" s="2"/>
      <c r="AL15" s="2"/>
      <c r="AM15" s="2"/>
      <c r="AN15" s="28"/>
      <c r="AO15" s="2"/>
      <c r="AP15" s="2"/>
      <c r="AQ15" s="2"/>
      <c r="AR15" s="2"/>
      <c r="AS15" s="2"/>
      <c r="AT15" s="2"/>
      <c r="AU15" s="2"/>
      <c r="AV15" s="2"/>
      <c r="AW15" s="2"/>
      <c r="AX15" s="2"/>
      <c r="AY15" s="2"/>
      <c r="AZ15" s="2"/>
      <c r="BA15" s="5"/>
      <c r="BB15" s="2"/>
      <c r="BC15" s="2"/>
      <c r="BD15" s="2"/>
      <c r="BE15" s="2"/>
      <c r="BF15" s="2"/>
      <c r="BG15" s="2"/>
      <c r="BH15" s="2"/>
    </row>
    <row r="16" spans="2:61" x14ac:dyDescent="0.25">
      <c r="B16" s="257" t="s">
        <v>42</v>
      </c>
      <c r="C16" s="258" t="s">
        <v>43</v>
      </c>
      <c r="D16" s="341">
        <v>23750</v>
      </c>
      <c r="E16" s="341">
        <v>34800</v>
      </c>
      <c r="F16" s="259">
        <f t="shared" si="1"/>
        <v>382157.14999999997</v>
      </c>
      <c r="G16" s="255">
        <f t="shared" si="2"/>
        <v>209113.46</v>
      </c>
      <c r="H16" s="255">
        <f t="shared" si="3"/>
        <v>173043.69</v>
      </c>
      <c r="I16" s="2">
        <f>D16-F16</f>
        <v>-358407.14999999997</v>
      </c>
      <c r="J16" s="42">
        <v>34800</v>
      </c>
      <c r="K16" s="19"/>
      <c r="L16" s="19"/>
      <c r="M16" s="19"/>
      <c r="N16" s="19">
        <f>J16</f>
        <v>34800</v>
      </c>
      <c r="O16" s="88">
        <v>21800</v>
      </c>
      <c r="P16" s="2"/>
      <c r="Q16" s="2"/>
      <c r="R16" s="2"/>
      <c r="S16" s="2"/>
      <c r="T16" s="2"/>
      <c r="U16" s="2"/>
      <c r="V16" s="2"/>
      <c r="W16" s="2"/>
      <c r="X16" s="2"/>
      <c r="Y16" s="2"/>
      <c r="Z16" s="113">
        <v>5000</v>
      </c>
      <c r="AA16" s="113">
        <v>6937.5</v>
      </c>
      <c r="AB16" s="2"/>
      <c r="AC16" s="113">
        <v>3012.5</v>
      </c>
      <c r="AD16" s="113">
        <v>3750</v>
      </c>
      <c r="AE16" s="113">
        <v>17750</v>
      </c>
      <c r="AF16" s="113">
        <f>191+1259.5+319.25+175.46</f>
        <v>1945.21</v>
      </c>
      <c r="AG16" s="113">
        <f>3000+3000+1500</f>
        <v>7500</v>
      </c>
      <c r="AH16" s="113">
        <f>6037.5+10950</f>
        <v>16987.5</v>
      </c>
      <c r="AI16" s="113">
        <f>2500+2500+1000+3000</f>
        <v>9000</v>
      </c>
      <c r="AJ16" s="113">
        <f>3000+650+440</f>
        <v>4090</v>
      </c>
      <c r="AK16" s="113">
        <f>1000+432.5+1095</f>
        <v>2527.5</v>
      </c>
      <c r="AL16" s="113">
        <f>130+4556.25+382.5+780</f>
        <v>5848.75</v>
      </c>
      <c r="AM16" s="113">
        <f>260+7493.75+10732.5+440+1606.25</f>
        <v>20532.5</v>
      </c>
      <c r="AN16" s="113">
        <f>2735+9327+13420+28205+2025+26720</f>
        <v>82432</v>
      </c>
      <c r="AO16" s="2"/>
      <c r="AP16" s="113">
        <f>7900</f>
        <v>7900</v>
      </c>
      <c r="AQ16" s="113">
        <f>7500</f>
        <v>7500</v>
      </c>
      <c r="AR16" s="113">
        <f>3545.25</f>
        <v>3545.25</v>
      </c>
      <c r="AS16" s="113">
        <f>11369.75</f>
        <v>11369.75</v>
      </c>
      <c r="AT16" s="113">
        <f>7982</f>
        <v>7982</v>
      </c>
      <c r="AU16" s="113">
        <f>7250</f>
        <v>7250</v>
      </c>
      <c r="AV16" s="113">
        <f>6410</f>
        <v>6410</v>
      </c>
      <c r="AW16" s="113">
        <f>22155</f>
        <v>22155</v>
      </c>
      <c r="AX16" s="113">
        <f>15120+1463.24</f>
        <v>16583.240000000002</v>
      </c>
      <c r="AY16" s="113">
        <f>12515</f>
        <v>12515</v>
      </c>
      <c r="AZ16" s="113">
        <f>17750+510.95</f>
        <v>18260.95</v>
      </c>
      <c r="BA16" s="364">
        <f>8875+5852.5</f>
        <v>14727.5</v>
      </c>
      <c r="BB16" s="113">
        <f>8875</f>
        <v>8875</v>
      </c>
      <c r="BC16" s="113">
        <f>4375</f>
        <v>4375</v>
      </c>
      <c r="BD16" s="2">
        <f>4719</f>
        <v>4719</v>
      </c>
      <c r="BE16" s="2">
        <f>4719</f>
        <v>4719</v>
      </c>
      <c r="BF16" s="2">
        <f>4719</f>
        <v>4719</v>
      </c>
      <c r="BG16" s="2">
        <f>4719</f>
        <v>4719</v>
      </c>
      <c r="BH16" s="2">
        <f>4719</f>
        <v>4719</v>
      </c>
    </row>
    <row r="17" spans="2:61" x14ac:dyDescent="0.25">
      <c r="B17" s="16"/>
      <c r="C17" s="102" t="s">
        <v>44</v>
      </c>
      <c r="D17" s="333">
        <v>30000</v>
      </c>
      <c r="E17" s="333">
        <v>30625</v>
      </c>
      <c r="F17" s="104">
        <f t="shared" si="1"/>
        <v>33029.96</v>
      </c>
      <c r="G17" s="255">
        <f t="shared" si="2"/>
        <v>33029.96</v>
      </c>
      <c r="H17" s="255">
        <f t="shared" si="3"/>
        <v>0</v>
      </c>
      <c r="I17" s="2">
        <f t="shared" ref="I17:I67" si="5">D17-F17</f>
        <v>-3029.9599999999991</v>
      </c>
      <c r="J17" s="19">
        <v>29100</v>
      </c>
      <c r="K17" s="19">
        <v>59537</v>
      </c>
      <c r="L17" s="19">
        <v>25281.64</v>
      </c>
      <c r="M17" s="42">
        <v>29625</v>
      </c>
      <c r="N17" s="19">
        <f>M17</f>
        <v>29625</v>
      </c>
      <c r="O17" s="88">
        <v>28125</v>
      </c>
      <c r="P17" s="2"/>
      <c r="Q17" s="2"/>
      <c r="R17" s="2"/>
      <c r="S17" s="2"/>
      <c r="T17" s="2"/>
      <c r="U17" s="2"/>
      <c r="V17" s="2"/>
      <c r="W17" s="2"/>
      <c r="X17" s="2"/>
      <c r="Y17" s="2"/>
      <c r="Z17" s="113">
        <v>596.96</v>
      </c>
      <c r="AA17" s="113">
        <v>1500</v>
      </c>
      <c r="AB17" s="2"/>
      <c r="AC17" s="2"/>
      <c r="AD17" s="113">
        <f>800+1008</f>
        <v>1808</v>
      </c>
      <c r="AE17" s="113">
        <v>1000</v>
      </c>
      <c r="AF17" s="2"/>
      <c r="AG17" s="2"/>
      <c r="AH17" s="2"/>
      <c r="AI17" s="2"/>
      <c r="AJ17" s="2"/>
      <c r="AK17" s="2"/>
      <c r="AL17" s="2"/>
      <c r="AM17" s="2"/>
      <c r="AN17" s="28"/>
      <c r="AO17" s="2"/>
      <c r="AP17" s="2"/>
      <c r="AQ17" s="2"/>
      <c r="AR17" s="2"/>
      <c r="AS17" s="2"/>
      <c r="AT17" s="2"/>
      <c r="AU17" s="2"/>
      <c r="AV17" s="2"/>
      <c r="AW17" s="2"/>
      <c r="AX17" s="2"/>
      <c r="BA17" s="77"/>
    </row>
    <row r="18" spans="2:61" x14ac:dyDescent="0.25">
      <c r="B18" s="16"/>
      <c r="C18" s="102" t="s">
        <v>45</v>
      </c>
      <c r="D18" s="333">
        <v>0</v>
      </c>
      <c r="E18" s="333">
        <v>0</v>
      </c>
      <c r="F18" s="104">
        <f t="shared" si="1"/>
        <v>4000</v>
      </c>
      <c r="G18" s="255">
        <f t="shared" si="2"/>
        <v>4000</v>
      </c>
      <c r="H18" s="255">
        <f t="shared" si="3"/>
        <v>0</v>
      </c>
      <c r="I18" s="2"/>
      <c r="J18" s="19"/>
      <c r="K18" s="19"/>
      <c r="L18" s="19"/>
      <c r="M18" s="42"/>
      <c r="N18" s="19"/>
      <c r="O18" s="88">
        <v>0</v>
      </c>
      <c r="P18" s="2"/>
      <c r="Q18" s="2"/>
      <c r="R18" s="2"/>
      <c r="S18" s="2"/>
      <c r="T18" s="2"/>
      <c r="U18" s="2"/>
      <c r="V18" s="2"/>
      <c r="W18" s="2"/>
      <c r="X18" s="2"/>
      <c r="Y18" s="2"/>
      <c r="Z18" s="2"/>
      <c r="AA18" s="2"/>
      <c r="AB18" s="2"/>
      <c r="AC18" s="2"/>
      <c r="AD18" s="2"/>
      <c r="AE18" s="2"/>
      <c r="AF18" s="2"/>
      <c r="AG18" s="2"/>
      <c r="AH18" s="2"/>
      <c r="AI18" s="2"/>
      <c r="AJ18" s="2"/>
      <c r="AK18" s="2"/>
      <c r="AL18" s="2"/>
      <c r="AM18" s="2"/>
      <c r="AN18" s="113">
        <f>4000</f>
        <v>4000</v>
      </c>
      <c r="AO18" s="2"/>
      <c r="AP18" s="2"/>
      <c r="AQ18" s="2"/>
      <c r="AR18" s="2"/>
      <c r="AS18" s="2"/>
      <c r="AT18" s="2"/>
      <c r="AU18" s="2"/>
      <c r="AV18" s="2"/>
      <c r="AW18" s="2"/>
      <c r="AX18" s="2"/>
      <c r="BA18" s="77"/>
    </row>
    <row r="19" spans="2:61" x14ac:dyDescent="0.25">
      <c r="B19" s="16"/>
      <c r="C19" s="102" t="s">
        <v>46</v>
      </c>
      <c r="D19" s="333">
        <v>55000</v>
      </c>
      <c r="E19" s="333">
        <v>74134.170000000013</v>
      </c>
      <c r="F19" s="104">
        <f t="shared" si="1"/>
        <v>61299.170000000006</v>
      </c>
      <c r="G19" s="255">
        <f t="shared" si="2"/>
        <v>61299.170000000006</v>
      </c>
      <c r="H19" s="255">
        <f t="shared" si="3"/>
        <v>0</v>
      </c>
      <c r="I19" s="2">
        <f t="shared" si="5"/>
        <v>-6299.1700000000055</v>
      </c>
      <c r="J19" s="42">
        <f>44000+12000+3750+17590</f>
        <v>77340</v>
      </c>
      <c r="K19" s="19">
        <v>28500</v>
      </c>
      <c r="L19" s="19">
        <f>9425+1250</f>
        <v>10675</v>
      </c>
      <c r="M19" s="19">
        <f>38705+7500</f>
        <v>46205</v>
      </c>
      <c r="N19" s="19">
        <f>J19</f>
        <v>77340</v>
      </c>
      <c r="O19" s="88">
        <f>35788.62+5870.09</f>
        <v>41658.710000000006</v>
      </c>
      <c r="P19" s="2"/>
      <c r="Q19" s="2"/>
      <c r="R19" s="2"/>
      <c r="S19" s="2"/>
      <c r="T19" s="2"/>
      <c r="U19" s="2"/>
      <c r="V19" s="2"/>
      <c r="W19" s="2"/>
      <c r="X19" s="2"/>
      <c r="Y19" s="113">
        <v>3550.46</v>
      </c>
      <c r="Z19" s="113">
        <v>11335</v>
      </c>
      <c r="AA19" s="2"/>
      <c r="AB19" s="2"/>
      <c r="AC19" s="113">
        <v>1530</v>
      </c>
      <c r="AD19" s="113">
        <v>3225</v>
      </c>
      <c r="AE19" s="2"/>
      <c r="AF19" s="2"/>
      <c r="AG19" s="2"/>
      <c r="AH19" s="2"/>
      <c r="AI19" s="2"/>
      <c r="AJ19" s="2"/>
      <c r="AK19" s="2"/>
      <c r="AL19" s="2"/>
      <c r="AM19" s="2"/>
      <c r="AN19" s="28"/>
      <c r="AO19" s="2"/>
      <c r="AP19" s="2"/>
      <c r="AQ19" s="2"/>
      <c r="AR19" s="2"/>
      <c r="AS19" s="2"/>
      <c r="AT19" s="2"/>
      <c r="AU19" s="2"/>
      <c r="AV19" s="2"/>
      <c r="AW19" s="2"/>
      <c r="AX19" s="2"/>
      <c r="BA19" s="77"/>
    </row>
    <row r="20" spans="2:61" x14ac:dyDescent="0.25">
      <c r="B20" s="16"/>
      <c r="C20" s="102" t="s">
        <v>47</v>
      </c>
      <c r="D20" s="333">
        <v>28750</v>
      </c>
      <c r="E20" s="333">
        <v>21950</v>
      </c>
      <c r="F20" s="104">
        <f t="shared" si="1"/>
        <v>64929</v>
      </c>
      <c r="G20" s="255">
        <f t="shared" si="2"/>
        <v>33510</v>
      </c>
      <c r="H20" s="255">
        <f t="shared" si="3"/>
        <v>31419</v>
      </c>
      <c r="I20" s="2">
        <f t="shared" si="5"/>
        <v>-36179</v>
      </c>
      <c r="J20" s="42">
        <v>23750</v>
      </c>
      <c r="K20" s="19">
        <v>8300</v>
      </c>
      <c r="L20" s="19"/>
      <c r="M20" s="19"/>
      <c r="N20" s="19">
        <f>J20</f>
        <v>23750</v>
      </c>
      <c r="O20" s="88">
        <v>2250</v>
      </c>
      <c r="P20" s="2"/>
      <c r="Q20" s="2"/>
      <c r="R20" s="2"/>
      <c r="S20" s="2"/>
      <c r="T20" s="2"/>
      <c r="U20" s="2"/>
      <c r="V20" s="2"/>
      <c r="W20" s="2"/>
      <c r="X20" s="2"/>
      <c r="Y20" s="2"/>
      <c r="Z20" s="113">
        <v>3250</v>
      </c>
      <c r="AA20" s="2"/>
      <c r="AB20" s="2"/>
      <c r="AC20" s="2"/>
      <c r="AD20" s="2"/>
      <c r="AE20" s="113">
        <v>6960</v>
      </c>
      <c r="AF20" s="2"/>
      <c r="AG20" s="113">
        <v>3720</v>
      </c>
      <c r="AH20" s="113">
        <f>2100+5500</f>
        <v>7600</v>
      </c>
      <c r="AI20" s="113">
        <f>1200+3000+3150</f>
        <v>7350</v>
      </c>
      <c r="AJ20" s="2"/>
      <c r="AK20" s="2"/>
      <c r="AL20" s="2"/>
      <c r="AM20" s="2"/>
      <c r="AN20" s="113">
        <f>2380</f>
        <v>2380</v>
      </c>
      <c r="AO20" s="2"/>
      <c r="AP20" s="2"/>
      <c r="AQ20" s="2"/>
      <c r="AR20" s="113">
        <f>720</f>
        <v>720</v>
      </c>
      <c r="AS20" s="2"/>
      <c r="AT20" s="2"/>
      <c r="AU20" s="113">
        <f>2100+3999</f>
        <v>6099</v>
      </c>
      <c r="AV20" s="2"/>
      <c r="AW20" s="2"/>
      <c r="AX20" s="2"/>
      <c r="AZ20" s="2"/>
      <c r="BA20" s="77"/>
      <c r="BB20" s="57">
        <f>8100</f>
        <v>8100</v>
      </c>
      <c r="BC20">
        <f>6700+4900+4900</f>
        <v>16500</v>
      </c>
    </row>
    <row r="21" spans="2:61" x14ac:dyDescent="0.25">
      <c r="B21" s="16"/>
      <c r="C21" s="102" t="s">
        <v>48</v>
      </c>
      <c r="D21" s="333">
        <v>222955</v>
      </c>
      <c r="E21" s="333">
        <v>208966.5</v>
      </c>
      <c r="F21" s="104">
        <f t="shared" si="1"/>
        <v>242885</v>
      </c>
      <c r="G21" s="255">
        <f t="shared" si="2"/>
        <v>242885</v>
      </c>
      <c r="H21" s="255">
        <f t="shared" si="3"/>
        <v>0</v>
      </c>
      <c r="I21" s="104">
        <f t="shared" ref="I21" si="6">SUM(P21:BB21)</f>
        <v>131955</v>
      </c>
      <c r="J21" s="104">
        <f t="shared" ref="J21:N21" si="7">SUM(Q21:BC21)</f>
        <v>131955</v>
      </c>
      <c r="K21" s="104">
        <f t="shared" si="7"/>
        <v>131955</v>
      </c>
      <c r="L21" s="104">
        <f t="shared" si="7"/>
        <v>131955</v>
      </c>
      <c r="M21" s="104">
        <f t="shared" si="7"/>
        <v>131955</v>
      </c>
      <c r="N21" s="104">
        <f t="shared" si="7"/>
        <v>131955</v>
      </c>
      <c r="O21" s="88">
        <v>110930</v>
      </c>
      <c r="P21" s="2"/>
      <c r="Q21" s="2"/>
      <c r="R21" s="2"/>
      <c r="S21" s="2"/>
      <c r="T21" s="2"/>
      <c r="U21" s="2"/>
      <c r="V21" s="2"/>
      <c r="W21" s="2"/>
      <c r="X21" s="2"/>
      <c r="Y21" s="2"/>
      <c r="Z21" s="113">
        <v>38137.5</v>
      </c>
      <c r="AA21" s="113">
        <v>23625</v>
      </c>
      <c r="AB21" s="2"/>
      <c r="AC21" s="113">
        <v>30937.5</v>
      </c>
      <c r="AD21" s="113">
        <v>1350</v>
      </c>
      <c r="AE21" s="113">
        <v>5141.25</v>
      </c>
      <c r="AF21" s="113">
        <v>667.5</v>
      </c>
      <c r="AG21" s="113">
        <f>10165.5</f>
        <v>10165.5</v>
      </c>
      <c r="AH21" s="2"/>
      <c r="AI21" s="113">
        <v>10905.75</v>
      </c>
      <c r="AJ21" s="113">
        <v>8775</v>
      </c>
      <c r="AK21" s="113">
        <f>2250</f>
        <v>2250</v>
      </c>
      <c r="AL21" s="2"/>
      <c r="AM21" s="2"/>
      <c r="AN21" s="28"/>
      <c r="AO21" s="2"/>
      <c r="AP21" s="2"/>
      <c r="AQ21" s="2"/>
      <c r="AR21" s="2"/>
      <c r="AS21" s="2"/>
      <c r="AT21" s="2"/>
      <c r="AU21" s="2"/>
      <c r="AV21" s="2"/>
      <c r="AW21" s="2"/>
      <c r="AX21" s="2"/>
      <c r="BA21" s="77"/>
    </row>
    <row r="22" spans="2:61" x14ac:dyDescent="0.25">
      <c r="B22" s="16"/>
      <c r="C22" s="102" t="s">
        <v>49</v>
      </c>
      <c r="D22" s="333">
        <v>0</v>
      </c>
      <c r="E22" s="333">
        <v>0</v>
      </c>
      <c r="F22" s="104">
        <f t="shared" si="1"/>
        <v>9208</v>
      </c>
      <c r="G22" s="255">
        <f t="shared" si="2"/>
        <v>9208</v>
      </c>
      <c r="H22" s="255">
        <f t="shared" si="3"/>
        <v>0</v>
      </c>
      <c r="I22" s="2"/>
      <c r="J22" s="19"/>
      <c r="K22" s="42"/>
      <c r="L22" s="19"/>
      <c r="M22" s="19"/>
      <c r="N22" s="19"/>
      <c r="O22" s="88">
        <v>0</v>
      </c>
      <c r="P22" s="2"/>
      <c r="Q22" s="2"/>
      <c r="R22" s="2"/>
      <c r="S22" s="2"/>
      <c r="T22" s="2"/>
      <c r="U22" s="2"/>
      <c r="V22" s="2"/>
      <c r="W22" s="2"/>
      <c r="X22" s="2"/>
      <c r="Y22" s="2"/>
      <c r="Z22" s="2"/>
      <c r="AA22" s="2"/>
      <c r="AB22" s="2"/>
      <c r="AC22" s="2"/>
      <c r="AD22" s="113">
        <v>7099</v>
      </c>
      <c r="AE22" s="113">
        <v>540</v>
      </c>
      <c r="AF22" s="2"/>
      <c r="AG22" s="2"/>
      <c r="AH22" s="2"/>
      <c r="AI22" s="2"/>
      <c r="AJ22" s="2"/>
      <c r="AK22" s="113">
        <v>1569</v>
      </c>
      <c r="AL22" s="2"/>
      <c r="AM22" s="2"/>
      <c r="AN22" s="28"/>
      <c r="AO22" s="2"/>
      <c r="AP22" s="2"/>
      <c r="AQ22" s="2"/>
      <c r="AR22" s="2"/>
      <c r="AS22" s="2"/>
      <c r="AT22" s="2"/>
      <c r="AU22" s="2"/>
      <c r="AV22" s="2"/>
      <c r="AW22" s="2"/>
      <c r="AX22" s="2"/>
      <c r="BA22" s="77"/>
    </row>
    <row r="23" spans="2:61" x14ac:dyDescent="0.25">
      <c r="B23" s="16"/>
      <c r="C23" s="102" t="s">
        <v>50</v>
      </c>
      <c r="D23" s="333">
        <v>160000</v>
      </c>
      <c r="E23" s="333">
        <v>160000</v>
      </c>
      <c r="F23" s="104">
        <f t="shared" si="1"/>
        <v>817414.43</v>
      </c>
      <c r="G23" s="255">
        <f t="shared" si="2"/>
        <v>674564.43</v>
      </c>
      <c r="H23" s="255">
        <f t="shared" si="3"/>
        <v>142850</v>
      </c>
      <c r="I23" s="2">
        <f t="shared" si="5"/>
        <v>-657414.43000000005</v>
      </c>
      <c r="J23" s="19"/>
      <c r="K23" s="19"/>
      <c r="L23" s="19"/>
      <c r="M23" s="19"/>
      <c r="N23" s="19"/>
      <c r="O23" s="88">
        <v>0</v>
      </c>
      <c r="P23" s="2"/>
      <c r="Q23" s="2"/>
      <c r="R23" s="2"/>
      <c r="S23" s="2"/>
      <c r="T23" s="2"/>
      <c r="U23" s="2"/>
      <c r="V23" s="2"/>
      <c r="W23" s="2"/>
      <c r="X23" s="2"/>
      <c r="Y23" s="2"/>
      <c r="Z23" s="2"/>
      <c r="AA23" s="2"/>
      <c r="AB23" s="2"/>
      <c r="AC23" s="2"/>
      <c r="AD23" s="2"/>
      <c r="AE23" s="2"/>
      <c r="AF23" s="2"/>
      <c r="AG23" s="113">
        <f>2200+178905.5+30000</f>
        <v>211105.5</v>
      </c>
      <c r="AH23" s="113">
        <f>232794.5+9900</f>
        <v>242694.5</v>
      </c>
      <c r="AI23" s="113">
        <f>43866.75+25300+1600</f>
        <v>70766.75</v>
      </c>
      <c r="AJ23" s="113">
        <f>54780+8800+15000</f>
        <v>78580</v>
      </c>
      <c r="AK23" s="2"/>
      <c r="AL23" s="113">
        <f>9300+19004.09+5113.59</f>
        <v>33417.68</v>
      </c>
      <c r="AM23" s="2">
        <f>38000</f>
        <v>38000</v>
      </c>
      <c r="AN23" s="28"/>
      <c r="AO23" s="2"/>
      <c r="AP23" s="2"/>
      <c r="AQ23" s="2"/>
      <c r="AR23" s="2"/>
      <c r="AS23" s="2"/>
      <c r="AT23" s="2"/>
      <c r="AU23" s="2"/>
      <c r="AV23" s="2"/>
      <c r="AW23" s="2"/>
      <c r="AX23" s="2"/>
      <c r="BA23" s="77"/>
      <c r="BI23">
        <f>142850</f>
        <v>142850</v>
      </c>
    </row>
    <row r="24" spans="2:61" x14ac:dyDescent="0.25">
      <c r="B24" s="16"/>
      <c r="C24" s="102" t="s">
        <v>51</v>
      </c>
      <c r="D24" s="333">
        <v>2000</v>
      </c>
      <c r="E24" s="333">
        <v>4375</v>
      </c>
      <c r="F24" s="104">
        <f t="shared" si="1"/>
        <v>19605</v>
      </c>
      <c r="G24" s="255">
        <f t="shared" si="2"/>
        <v>7400</v>
      </c>
      <c r="H24" s="255">
        <f t="shared" si="3"/>
        <v>12205</v>
      </c>
      <c r="I24" s="2">
        <f t="shared" si="5"/>
        <v>-17605</v>
      </c>
      <c r="J24" s="42">
        <f>8750/2</f>
        <v>4375</v>
      </c>
      <c r="K24" s="19"/>
      <c r="L24" s="19"/>
      <c r="M24" s="19"/>
      <c r="N24" s="19">
        <f>J24</f>
        <v>4375</v>
      </c>
      <c r="O24" s="88">
        <v>0</v>
      </c>
      <c r="P24" s="2"/>
      <c r="Q24" s="2"/>
      <c r="R24" s="2"/>
      <c r="S24" s="2"/>
      <c r="T24" s="2"/>
      <c r="U24" s="2"/>
      <c r="V24" s="2"/>
      <c r="W24" s="2"/>
      <c r="X24" s="2"/>
      <c r="Y24" s="113">
        <v>1650</v>
      </c>
      <c r="Z24" s="2"/>
      <c r="AA24" s="2"/>
      <c r="AB24" s="2"/>
      <c r="AC24" s="2"/>
      <c r="AD24" s="113">
        <f>2850+1650</f>
        <v>4500</v>
      </c>
      <c r="AE24" s="2"/>
      <c r="AF24" s="2"/>
      <c r="AG24" s="2"/>
      <c r="AH24" s="2"/>
      <c r="AI24" s="2"/>
      <c r="AJ24" s="2"/>
      <c r="AK24" s="2"/>
      <c r="AL24" s="2"/>
      <c r="AM24" s="2"/>
      <c r="AN24" s="113">
        <v>1250</v>
      </c>
      <c r="AO24" s="2"/>
      <c r="AP24" s="2"/>
      <c r="AQ24" s="2"/>
      <c r="AR24" s="2"/>
      <c r="AS24" s="2"/>
      <c r="AT24" s="2"/>
      <c r="AU24" s="2"/>
      <c r="AV24" s="113">
        <f>1975</f>
        <v>1975</v>
      </c>
      <c r="AW24" s="113">
        <f>1250+1450+255</f>
        <v>2955</v>
      </c>
      <c r="AX24" s="2"/>
      <c r="AY24" s="2"/>
      <c r="AZ24" s="2"/>
      <c r="BA24" s="5"/>
      <c r="BB24" s="2"/>
      <c r="BC24" s="57">
        <f>1975+1950+1850+1500</f>
        <v>7275</v>
      </c>
    </row>
    <row r="25" spans="2:61" x14ac:dyDescent="0.25">
      <c r="B25" s="16"/>
      <c r="C25" s="102" t="s">
        <v>52</v>
      </c>
      <c r="D25" s="333">
        <v>1750</v>
      </c>
      <c r="E25" s="333">
        <v>3750</v>
      </c>
      <c r="F25" s="104">
        <f t="shared" si="1"/>
        <v>8730</v>
      </c>
      <c r="G25" s="255">
        <f t="shared" si="2"/>
        <v>6640</v>
      </c>
      <c r="H25" s="255">
        <f t="shared" si="3"/>
        <v>2090</v>
      </c>
      <c r="I25" s="2">
        <f t="shared" si="5"/>
        <v>-6980</v>
      </c>
      <c r="J25" s="42">
        <v>3750</v>
      </c>
      <c r="K25" s="19"/>
      <c r="L25" s="19"/>
      <c r="M25" s="19"/>
      <c r="N25" s="19">
        <f>J25</f>
        <v>3750</v>
      </c>
      <c r="O25" s="88">
        <v>2480</v>
      </c>
      <c r="P25" s="2"/>
      <c r="Q25" s="2"/>
      <c r="R25" s="2"/>
      <c r="S25" s="2"/>
      <c r="T25" s="2"/>
      <c r="U25" s="2"/>
      <c r="V25" s="2"/>
      <c r="W25" s="2"/>
      <c r="X25" s="2"/>
      <c r="Y25" s="2"/>
      <c r="Z25" s="2"/>
      <c r="AA25" s="2"/>
      <c r="AB25" s="2"/>
      <c r="AC25" s="2"/>
      <c r="AD25" s="2"/>
      <c r="AE25" s="113">
        <v>1600</v>
      </c>
      <c r="AF25" s="2"/>
      <c r="AG25" s="2"/>
      <c r="AH25" s="2"/>
      <c r="AI25" s="2"/>
      <c r="AJ25" s="2"/>
      <c r="AK25" s="2"/>
      <c r="AL25" s="2"/>
      <c r="AM25" s="2"/>
      <c r="AN25" s="113">
        <f>2560</f>
        <v>2560</v>
      </c>
      <c r="AO25" s="2"/>
      <c r="AP25" s="2"/>
      <c r="AQ25" s="2"/>
      <c r="AR25" s="2"/>
      <c r="AS25" s="113">
        <f>475</f>
        <v>475</v>
      </c>
      <c r="AT25" s="2"/>
      <c r="AU25" s="2"/>
      <c r="AV25" s="2"/>
      <c r="AW25" s="2"/>
      <c r="AX25" s="2"/>
      <c r="BA25" s="431">
        <f>1615</f>
        <v>1615</v>
      </c>
    </row>
    <row r="26" spans="2:61" x14ac:dyDescent="0.25">
      <c r="B26" s="16"/>
      <c r="C26" s="102" t="s">
        <v>53</v>
      </c>
      <c r="D26" s="333">
        <v>35000</v>
      </c>
      <c r="E26" s="333">
        <v>35000</v>
      </c>
      <c r="F26" s="104">
        <f t="shared" si="1"/>
        <v>0</v>
      </c>
      <c r="G26" s="255">
        <f t="shared" si="2"/>
        <v>0</v>
      </c>
      <c r="H26" s="255">
        <f t="shared" si="3"/>
        <v>0</v>
      </c>
      <c r="I26" s="2">
        <f t="shared" si="5"/>
        <v>35000</v>
      </c>
      <c r="J26" s="42">
        <v>35000</v>
      </c>
      <c r="K26" s="19"/>
      <c r="L26" s="19"/>
      <c r="M26" s="19"/>
      <c r="N26" s="19">
        <f>J26</f>
        <v>35000</v>
      </c>
      <c r="O26" s="88">
        <v>0</v>
      </c>
      <c r="P26" s="2"/>
      <c r="Q26" s="2"/>
      <c r="R26" s="2"/>
      <c r="S26" s="2"/>
      <c r="T26" s="2"/>
      <c r="U26" s="2"/>
      <c r="V26" s="2"/>
      <c r="W26" s="2"/>
      <c r="X26" s="2"/>
      <c r="Y26" s="2"/>
      <c r="Z26" s="2"/>
      <c r="AA26" s="2"/>
      <c r="AB26" s="2"/>
      <c r="AC26" s="2"/>
      <c r="AD26" s="2"/>
      <c r="AE26" s="2"/>
      <c r="AF26" s="2"/>
      <c r="AG26" s="2"/>
      <c r="AH26" s="2"/>
      <c r="AI26" s="2"/>
      <c r="AJ26" s="2"/>
      <c r="AK26" s="2"/>
      <c r="AL26" s="2"/>
      <c r="AM26" s="2"/>
      <c r="AN26" s="28"/>
      <c r="AO26" s="2"/>
      <c r="AP26" s="2"/>
      <c r="AQ26" s="2"/>
      <c r="AR26" s="2"/>
      <c r="AS26" s="2"/>
      <c r="AT26" s="2"/>
      <c r="AU26" s="2"/>
      <c r="AV26" s="2"/>
      <c r="AW26" s="2"/>
      <c r="AX26" s="2"/>
      <c r="BA26" s="77"/>
    </row>
    <row r="27" spans="2:61" x14ac:dyDescent="0.25">
      <c r="B27" s="16"/>
      <c r="C27" s="102" t="s">
        <v>54</v>
      </c>
      <c r="D27" s="333">
        <v>12500</v>
      </c>
      <c r="E27" s="333">
        <v>45100</v>
      </c>
      <c r="F27" s="104">
        <f t="shared" si="1"/>
        <v>111805.53</v>
      </c>
      <c r="G27" s="255">
        <f t="shared" si="2"/>
        <v>75617.39</v>
      </c>
      <c r="H27" s="255">
        <f t="shared" si="3"/>
        <v>36188.14</v>
      </c>
      <c r="I27" s="2">
        <f t="shared" si="5"/>
        <v>-99305.53</v>
      </c>
      <c r="J27" s="19">
        <v>6500</v>
      </c>
      <c r="K27" s="19">
        <v>37600</v>
      </c>
      <c r="L27" s="42">
        <f>29200+(4700/2)+1250+4500+1250+1500+1050+2000+2000</f>
        <v>45100</v>
      </c>
      <c r="M27" s="19"/>
      <c r="N27" s="19">
        <f>L27</f>
        <v>45100</v>
      </c>
      <c r="O27" s="88">
        <v>15500</v>
      </c>
      <c r="P27" s="2"/>
      <c r="Q27" s="2"/>
      <c r="R27" s="2"/>
      <c r="T27" s="2"/>
      <c r="U27" s="2"/>
      <c r="V27" s="2"/>
      <c r="W27" s="2"/>
      <c r="X27" s="2"/>
      <c r="Y27" s="2"/>
      <c r="Z27" s="113">
        <v>2680</v>
      </c>
      <c r="AA27" s="113">
        <f>3527.5+4515.89</f>
        <v>8043.39</v>
      </c>
      <c r="AB27" s="113">
        <v>3026.5</v>
      </c>
      <c r="AC27" s="113">
        <v>1570</v>
      </c>
      <c r="AD27" s="113">
        <v>4012.5</v>
      </c>
      <c r="AE27" s="113">
        <f>2500+1512.5</f>
        <v>4012.5</v>
      </c>
      <c r="AF27" s="113">
        <v>6000</v>
      </c>
      <c r="AG27" s="113">
        <v>2000</v>
      </c>
      <c r="AH27" s="113">
        <f>1420.25</f>
        <v>1420.25</v>
      </c>
      <c r="AI27" s="113">
        <v>3362.55</v>
      </c>
      <c r="AJ27" s="2"/>
      <c r="AK27" s="113">
        <v>5000</v>
      </c>
      <c r="AL27" s="2"/>
      <c r="AM27" s="113">
        <f>5599.7</f>
        <v>5599.7</v>
      </c>
      <c r="AN27" s="113">
        <f>2000+11390</f>
        <v>13390</v>
      </c>
      <c r="AO27" s="2"/>
      <c r="AP27" s="2"/>
      <c r="AQ27" s="2"/>
      <c r="AR27" s="2"/>
      <c r="AS27" s="113">
        <f>2750</f>
        <v>2750</v>
      </c>
      <c r="AT27" s="113">
        <f>2250+38.14</f>
        <v>2288.14</v>
      </c>
      <c r="AU27" s="113">
        <f>1250</f>
        <v>1250</v>
      </c>
      <c r="AV27" s="113">
        <f>2500</f>
        <v>2500</v>
      </c>
      <c r="AW27" s="113">
        <f>5000</f>
        <v>5000</v>
      </c>
      <c r="AX27" s="113">
        <f>3000</f>
        <v>3000</v>
      </c>
      <c r="AY27" s="113">
        <f>4000</f>
        <v>4000</v>
      </c>
      <c r="AZ27" s="57">
        <f>5500</f>
        <v>5500</v>
      </c>
      <c r="BA27" s="431">
        <f>3000</f>
        <v>3000</v>
      </c>
      <c r="BB27" s="57">
        <f>4900</f>
        <v>4900</v>
      </c>
      <c r="BC27">
        <f>2000</f>
        <v>2000</v>
      </c>
    </row>
    <row r="28" spans="2:61" x14ac:dyDescent="0.25">
      <c r="B28" s="16"/>
      <c r="C28" s="102" t="s">
        <v>55</v>
      </c>
      <c r="D28" s="333">
        <v>0</v>
      </c>
      <c r="E28" s="333">
        <v>7245</v>
      </c>
      <c r="F28" s="104">
        <f t="shared" si="1"/>
        <v>11220.3</v>
      </c>
      <c r="G28" s="255">
        <f t="shared" si="2"/>
        <v>7365.3</v>
      </c>
      <c r="H28" s="255">
        <f>SUM(AO28:BZ28)</f>
        <v>3855</v>
      </c>
      <c r="I28" s="2">
        <f t="shared" si="5"/>
        <v>-11220.3</v>
      </c>
      <c r="J28" s="19">
        <f>14490/2</f>
        <v>7245</v>
      </c>
      <c r="K28" s="19"/>
      <c r="L28" s="19"/>
      <c r="M28" s="19"/>
      <c r="N28" s="19"/>
      <c r="O28" s="88">
        <v>0</v>
      </c>
      <c r="P28" s="2"/>
      <c r="Q28" s="2"/>
      <c r="R28" s="2"/>
      <c r="T28" s="2"/>
      <c r="U28" s="2"/>
      <c r="V28" s="2"/>
      <c r="W28" s="2"/>
      <c r="X28" s="2"/>
      <c r="Y28" s="2"/>
      <c r="Z28" s="2"/>
      <c r="AA28" s="2"/>
      <c r="AB28" s="113">
        <v>1006.5</v>
      </c>
      <c r="AC28" s="113">
        <v>2268.3000000000002</v>
      </c>
      <c r="AD28" s="113">
        <v>855</v>
      </c>
      <c r="AE28" s="2"/>
      <c r="AF28" s="2"/>
      <c r="AG28" s="2"/>
      <c r="AH28" s="113">
        <v>1170</v>
      </c>
      <c r="AI28" s="113">
        <v>112.5</v>
      </c>
      <c r="AJ28" s="2"/>
      <c r="AK28" s="113">
        <v>1188</v>
      </c>
      <c r="AL28" s="2"/>
      <c r="AM28" s="2"/>
      <c r="AN28" s="57">
        <v>765</v>
      </c>
      <c r="AO28" s="2"/>
      <c r="AP28" s="113">
        <f>337.5</f>
        <v>337.5</v>
      </c>
      <c r="AQ28" s="113">
        <f>900</f>
        <v>900</v>
      </c>
      <c r="AR28" s="113">
        <f>652.5</f>
        <v>652.5</v>
      </c>
      <c r="AS28" s="113">
        <f>1380</f>
        <v>1380</v>
      </c>
      <c r="AT28" s="113">
        <f>427.5</f>
        <v>427.5</v>
      </c>
      <c r="AU28" s="2"/>
      <c r="AV28" s="2"/>
      <c r="AW28" s="113">
        <f>157.5</f>
        <v>157.5</v>
      </c>
      <c r="AX28" s="2"/>
      <c r="BA28" s="77"/>
    </row>
    <row r="29" spans="2:61" x14ac:dyDescent="0.25">
      <c r="B29" s="16"/>
      <c r="C29" s="102" t="s">
        <v>56</v>
      </c>
      <c r="D29" s="333">
        <v>173449.85</v>
      </c>
      <c r="E29" s="333">
        <v>340352.85</v>
      </c>
      <c r="F29" s="104">
        <f t="shared" si="1"/>
        <v>361523.35</v>
      </c>
      <c r="G29" s="255">
        <f t="shared" ref="G29:G68" si="8">SUM(O29:AN29)</f>
        <v>340340.35</v>
      </c>
      <c r="H29" s="255">
        <f t="shared" si="3"/>
        <v>21183</v>
      </c>
      <c r="I29" s="2">
        <f t="shared" si="5"/>
        <v>-188073.49999999997</v>
      </c>
      <c r="J29" s="42">
        <v>340353</v>
      </c>
      <c r="K29" s="19"/>
      <c r="L29" s="19"/>
      <c r="M29" s="19"/>
      <c r="N29" s="19">
        <f>J29</f>
        <v>340353</v>
      </c>
      <c r="O29" s="88">
        <f>8910+1950+265.85+2675+395+150+435+4420+2925+22473+22473+11236.5+9487.5+11340+7812.5+7812.5+7812.5+7812.5+8630+7340</f>
        <v>146355.85</v>
      </c>
      <c r="P29" s="2"/>
      <c r="Q29" s="2"/>
      <c r="R29" s="2"/>
      <c r="S29" s="2"/>
      <c r="T29" s="2"/>
      <c r="U29" s="2"/>
      <c r="V29" s="2"/>
      <c r="W29" s="2"/>
      <c r="X29" s="2"/>
      <c r="Y29" s="2"/>
      <c r="Z29" s="113">
        <f>26842.5+721</f>
        <v>27563.5</v>
      </c>
      <c r="AA29" s="2"/>
      <c r="AB29" s="113">
        <f>960+9487.5+247.5</f>
        <v>10695</v>
      </c>
      <c r="AC29" s="113">
        <f>9487.5+572.5</f>
        <v>10060</v>
      </c>
      <c r="AD29" s="113">
        <f>6472.5+9047.5+1500+7712.5</f>
        <v>24732.5</v>
      </c>
      <c r="AE29" s="113">
        <f>11236.5+2189+7812.5+4250+4050+5600+1500+502.5+5100+1950</f>
        <v>44190.5</v>
      </c>
      <c r="AF29" s="113">
        <f>12990+7500+2210+2250+300+750+375</f>
        <v>26375</v>
      </c>
      <c r="AG29" s="113">
        <f>2200+2465+2800+870+938+3750+6495</f>
        <v>19518</v>
      </c>
      <c r="AH29" s="2"/>
      <c r="AI29" s="2"/>
      <c r="AJ29" s="2"/>
      <c r="AK29" s="113">
        <f>3750+2275+960</f>
        <v>6985</v>
      </c>
      <c r="AL29" s="2"/>
      <c r="AM29" s="113">
        <f>3700+2950+4500+2800+645+3220</f>
        <v>17815</v>
      </c>
      <c r="AN29" s="57">
        <f>1500+1300+1100+2150</f>
        <v>6050</v>
      </c>
      <c r="AO29" s="2"/>
      <c r="AP29" s="2"/>
      <c r="AQ29" s="113">
        <f>1125+1125</f>
        <v>2250</v>
      </c>
      <c r="AR29" s="2"/>
      <c r="AS29" s="2"/>
      <c r="AT29" s="2"/>
      <c r="AU29" s="2"/>
      <c r="AV29" s="113">
        <f>5100+1000+106+750+750+1150+1150+1150</f>
        <v>11156</v>
      </c>
      <c r="AW29" s="2"/>
      <c r="AX29" s="113">
        <f>4074</f>
        <v>4074</v>
      </c>
      <c r="AY29" s="2"/>
      <c r="AZ29" s="2"/>
      <c r="BA29" s="77"/>
      <c r="BC29" s="57">
        <f>3703</f>
        <v>3703</v>
      </c>
    </row>
    <row r="30" spans="2:61" x14ac:dyDescent="0.25">
      <c r="B30" s="16"/>
      <c r="C30" s="102" t="s">
        <v>57</v>
      </c>
      <c r="D30" s="333">
        <v>0</v>
      </c>
      <c r="E30" s="333">
        <v>13882</v>
      </c>
      <c r="F30" s="104">
        <f t="shared" si="1"/>
        <v>30898.5</v>
      </c>
      <c r="G30" s="255">
        <f t="shared" si="8"/>
        <v>30898.5</v>
      </c>
      <c r="H30" s="255">
        <f t="shared" si="3"/>
        <v>0</v>
      </c>
      <c r="I30" s="2">
        <f t="shared" si="5"/>
        <v>-30898.5</v>
      </c>
      <c r="J30" s="42">
        <v>18000</v>
      </c>
      <c r="K30" s="19"/>
      <c r="L30" s="19"/>
      <c r="M30" s="19"/>
      <c r="N30" s="19">
        <f>J30</f>
        <v>18000</v>
      </c>
      <c r="O30" s="88">
        <v>7990</v>
      </c>
      <c r="P30" s="2"/>
      <c r="Q30" s="2"/>
      <c r="R30" s="2"/>
      <c r="S30" s="2"/>
      <c r="T30" s="2"/>
      <c r="U30" s="2"/>
      <c r="V30" s="2"/>
      <c r="W30" s="2"/>
      <c r="X30" s="2"/>
      <c r="Y30" s="113">
        <v>1964</v>
      </c>
      <c r="Z30" s="2"/>
      <c r="AA30" s="113">
        <v>1500</v>
      </c>
      <c r="AB30" s="2"/>
      <c r="AC30" s="2"/>
      <c r="AD30" s="2"/>
      <c r="AE30" s="113">
        <f>5000+735</f>
        <v>5735</v>
      </c>
      <c r="AF30" s="113">
        <v>2212.5</v>
      </c>
      <c r="AG30" s="113">
        <v>1000</v>
      </c>
      <c r="AH30" s="113">
        <v>1250</v>
      </c>
      <c r="AI30" s="113">
        <f>2050</f>
        <v>2050</v>
      </c>
      <c r="AJ30" s="2"/>
      <c r="AK30" s="113">
        <v>1197</v>
      </c>
      <c r="AL30" s="113">
        <f>1000</f>
        <v>1000</v>
      </c>
      <c r="AM30" s="113">
        <f>5000</f>
        <v>5000</v>
      </c>
      <c r="AO30" s="2"/>
      <c r="AP30" s="2"/>
      <c r="AQ30" s="2"/>
      <c r="AR30" s="2"/>
      <c r="AS30" s="2"/>
      <c r="AT30" s="2"/>
      <c r="AU30" s="2"/>
      <c r="AV30" s="2"/>
      <c r="AW30" s="2"/>
      <c r="AX30" s="2"/>
      <c r="BA30" s="77"/>
    </row>
    <row r="31" spans="2:61" x14ac:dyDescent="0.25">
      <c r="B31" s="16"/>
      <c r="C31" s="102" t="s">
        <v>58</v>
      </c>
      <c r="D31" s="333">
        <v>100000</v>
      </c>
      <c r="E31" s="333">
        <v>148356.75</v>
      </c>
      <c r="F31" s="104">
        <f t="shared" si="1"/>
        <v>425420.66</v>
      </c>
      <c r="G31" s="255">
        <f t="shared" si="8"/>
        <v>274645.38</v>
      </c>
      <c r="H31" s="255">
        <f t="shared" si="3"/>
        <v>150775.28</v>
      </c>
      <c r="I31" s="2">
        <f t="shared" si="5"/>
        <v>-325420.65999999997</v>
      </c>
      <c r="J31" s="42">
        <v>161931</v>
      </c>
      <c r="K31" s="19"/>
      <c r="L31" s="19"/>
      <c r="M31" s="19"/>
      <c r="N31" s="19">
        <f>J31</f>
        <v>161931</v>
      </c>
      <c r="O31" s="88">
        <v>10356.75</v>
      </c>
      <c r="P31" s="2"/>
      <c r="Q31" s="2"/>
      <c r="R31" s="2"/>
      <c r="S31" s="2"/>
      <c r="T31" s="2"/>
      <c r="U31" s="2"/>
      <c r="V31" s="2"/>
      <c r="W31" s="2"/>
      <c r="X31" s="2"/>
      <c r="Y31" s="2"/>
      <c r="Z31" s="2"/>
      <c r="AA31" s="113">
        <v>17068.28</v>
      </c>
      <c r="AB31" s="2"/>
      <c r="AC31" s="113">
        <v>19247.5</v>
      </c>
      <c r="AD31" s="113">
        <f>5550+5309</f>
        <v>10859</v>
      </c>
      <c r="AE31" s="113">
        <f>11817-735</f>
        <v>11082</v>
      </c>
      <c r="AF31" s="113">
        <f>2835+2917.5+1435+851.25+5675+138.27</f>
        <v>13852.02</v>
      </c>
      <c r="AG31" s="113">
        <f>10000+300+488.75</f>
        <v>10788.75</v>
      </c>
      <c r="AH31" s="113">
        <f>3750+11626.43</f>
        <v>15376.43</v>
      </c>
      <c r="AI31" s="113">
        <f>3900.88+1250+360</f>
        <v>5510.88</v>
      </c>
      <c r="AJ31" s="113">
        <f>3450+367.5</f>
        <v>3817.5</v>
      </c>
      <c r="AK31" s="113">
        <f>2750+412.5</f>
        <v>3162.5</v>
      </c>
      <c r="AL31" s="113">
        <f>5000+1000+3300</f>
        <v>9300</v>
      </c>
      <c r="AM31" s="113">
        <f>5000+4000+15750+2500+8250</f>
        <v>35500</v>
      </c>
      <c r="AN31" s="113">
        <f>11500+24150+11500+61573.77</f>
        <v>108723.76999999999</v>
      </c>
      <c r="AO31" s="2"/>
      <c r="AP31" s="113">
        <f>9710.25</f>
        <v>9710.25</v>
      </c>
      <c r="AQ31" s="113">
        <f>6306</f>
        <v>6306</v>
      </c>
      <c r="AR31" s="113">
        <f>2325</f>
        <v>2325</v>
      </c>
      <c r="AS31" s="113">
        <f>6091.25+2139</f>
        <v>8230.25</v>
      </c>
      <c r="AT31" s="113">
        <f>5105.5</f>
        <v>5105.5</v>
      </c>
      <c r="AU31" s="113">
        <f>11513</f>
        <v>11513</v>
      </c>
      <c r="AV31" s="113">
        <f>7515.97</f>
        <v>7515.97</v>
      </c>
      <c r="AW31" s="113">
        <f>11228</f>
        <v>11228</v>
      </c>
      <c r="AX31" s="113">
        <f>5500+221.06</f>
        <v>5721.06</v>
      </c>
      <c r="AY31" s="113">
        <f>10000</f>
        <v>10000</v>
      </c>
      <c r="AZ31" s="113">
        <f>12000+7000+841.25</f>
        <v>19841.25</v>
      </c>
      <c r="BA31" s="364">
        <f>12000+12479</f>
        <v>24479</v>
      </c>
      <c r="BB31" s="113">
        <f>5000</f>
        <v>5000</v>
      </c>
      <c r="BC31" s="113">
        <f>5000</f>
        <v>5000</v>
      </c>
      <c r="BD31" s="2">
        <f>3760</f>
        <v>3760</v>
      </c>
      <c r="BE31" s="2">
        <f>3760</f>
        <v>3760</v>
      </c>
      <c r="BF31">
        <f>3760</f>
        <v>3760</v>
      </c>
      <c r="BG31" s="2">
        <f>3760</f>
        <v>3760</v>
      </c>
      <c r="BH31" s="2">
        <f>3760</f>
        <v>3760</v>
      </c>
    </row>
    <row r="32" spans="2:61" x14ac:dyDescent="0.25">
      <c r="B32" s="16"/>
      <c r="C32" s="102" t="s">
        <v>59</v>
      </c>
      <c r="D32" s="333">
        <v>16000</v>
      </c>
      <c r="E32" s="333">
        <v>0</v>
      </c>
      <c r="F32" s="104">
        <f t="shared" si="1"/>
        <v>0</v>
      </c>
      <c r="G32" s="255">
        <f t="shared" si="8"/>
        <v>0</v>
      </c>
      <c r="H32" s="255">
        <f t="shared" si="3"/>
        <v>0</v>
      </c>
      <c r="I32" s="2">
        <f t="shared" si="5"/>
        <v>16000</v>
      </c>
      <c r="J32" s="42">
        <v>0</v>
      </c>
      <c r="K32" s="19"/>
      <c r="L32" s="19"/>
      <c r="M32" s="19"/>
      <c r="N32" s="19">
        <v>0</v>
      </c>
      <c r="O32" s="88">
        <v>0</v>
      </c>
      <c r="P32" s="2"/>
      <c r="Q32" s="2"/>
      <c r="R32" s="2"/>
      <c r="S32" s="2"/>
      <c r="T32" s="2"/>
      <c r="U32" s="2"/>
      <c r="V32" s="2"/>
      <c r="W32" s="2"/>
      <c r="X32" s="2"/>
      <c r="Y32" s="2"/>
      <c r="Z32" s="2"/>
      <c r="AA32" s="2"/>
      <c r="AB32" s="2"/>
      <c r="AC32" s="2"/>
      <c r="AD32" s="2"/>
      <c r="AE32" s="2"/>
      <c r="AF32" s="2"/>
      <c r="AG32" s="2"/>
      <c r="AH32" s="2"/>
      <c r="AI32" s="2"/>
      <c r="AJ32" s="2"/>
      <c r="AK32" s="2"/>
      <c r="AL32" s="2"/>
      <c r="AM32" s="2"/>
      <c r="AO32" s="2"/>
      <c r="AP32" s="2"/>
      <c r="AQ32" s="2"/>
      <c r="AR32" s="2"/>
      <c r="AS32" s="2"/>
      <c r="AT32" s="2"/>
      <c r="AU32" s="2"/>
      <c r="AV32" s="2"/>
      <c r="AW32" s="2"/>
      <c r="AX32" s="2"/>
      <c r="AY32" s="2"/>
      <c r="BA32" s="77"/>
    </row>
    <row r="33" spans="2:55" x14ac:dyDescent="0.25">
      <c r="B33" s="16"/>
      <c r="C33" s="102" t="s">
        <v>60</v>
      </c>
      <c r="D33" s="333">
        <v>9730</v>
      </c>
      <c r="E33" s="333">
        <v>11575</v>
      </c>
      <c r="F33" s="104">
        <f t="shared" si="1"/>
        <v>24290</v>
      </c>
      <c r="G33" s="255">
        <f t="shared" si="8"/>
        <v>18390</v>
      </c>
      <c r="H33" s="255">
        <f t="shared" si="3"/>
        <v>5900</v>
      </c>
      <c r="I33" s="2">
        <f t="shared" si="5"/>
        <v>-14560</v>
      </c>
      <c r="J33" s="42">
        <f>(17450/2)+950+650+1250</f>
        <v>11575</v>
      </c>
      <c r="K33" s="19"/>
      <c r="L33" s="19"/>
      <c r="M33" s="19"/>
      <c r="N33" s="19">
        <f>J33</f>
        <v>11575</v>
      </c>
      <c r="O33" s="88">
        <v>3500</v>
      </c>
      <c r="P33" s="2"/>
      <c r="Q33" s="2"/>
      <c r="R33" s="2"/>
      <c r="S33" s="2"/>
      <c r="T33" s="2"/>
      <c r="U33" s="2"/>
      <c r="V33" s="2"/>
      <c r="W33" s="2"/>
      <c r="X33" s="2"/>
      <c r="Y33" s="113">
        <v>3650</v>
      </c>
      <c r="Z33" s="2"/>
      <c r="AA33" s="2"/>
      <c r="AB33" s="2"/>
      <c r="AC33" s="2"/>
      <c r="AD33" s="113">
        <f>1650+1450+1800+425</f>
        <v>5325</v>
      </c>
      <c r="AE33" s="2"/>
      <c r="AF33" s="2"/>
      <c r="AG33" s="2"/>
      <c r="AH33" s="2"/>
      <c r="AI33" s="2"/>
      <c r="AJ33" s="2"/>
      <c r="AK33" s="2"/>
      <c r="AL33" s="2"/>
      <c r="AM33" s="2"/>
      <c r="AN33" s="113">
        <f>1250+765+1250+2650</f>
        <v>5915</v>
      </c>
      <c r="AO33" s="2"/>
      <c r="AP33" s="2"/>
      <c r="AQ33" s="2"/>
      <c r="AR33" s="2"/>
      <c r="AS33" s="2"/>
      <c r="AT33" s="2"/>
      <c r="AU33" s="2"/>
      <c r="AV33" s="113">
        <f>1975</f>
        <v>1975</v>
      </c>
      <c r="AW33" s="2"/>
      <c r="AX33" s="2"/>
      <c r="AY33" s="2"/>
      <c r="AZ33" s="2"/>
      <c r="BA33" s="77"/>
      <c r="BC33" s="113">
        <f>1975+1950</f>
        <v>3925</v>
      </c>
    </row>
    <row r="34" spans="2:55" x14ac:dyDescent="0.25">
      <c r="B34" s="16"/>
      <c r="C34" s="102" t="s">
        <v>61</v>
      </c>
      <c r="D34" s="333">
        <v>80000</v>
      </c>
      <c r="E34" s="333">
        <v>20000</v>
      </c>
      <c r="F34" s="104">
        <f t="shared" si="1"/>
        <v>15750</v>
      </c>
      <c r="G34" s="255">
        <f t="shared" si="8"/>
        <v>15750</v>
      </c>
      <c r="H34" s="255">
        <f t="shared" si="3"/>
        <v>0</v>
      </c>
      <c r="I34" s="2">
        <f t="shared" si="5"/>
        <v>64250</v>
      </c>
      <c r="J34" s="19"/>
      <c r="K34" s="19"/>
      <c r="L34" s="19"/>
      <c r="M34" s="19"/>
      <c r="N34" s="19"/>
      <c r="O34" s="88">
        <v>0</v>
      </c>
      <c r="P34" s="2"/>
      <c r="Q34" s="2"/>
      <c r="R34" s="2"/>
      <c r="S34" s="2"/>
      <c r="T34" s="2"/>
      <c r="U34" s="2"/>
      <c r="V34" s="2"/>
      <c r="W34" s="2"/>
      <c r="X34" s="2"/>
      <c r="Y34" s="2"/>
      <c r="Z34" s="2"/>
      <c r="AA34" s="2"/>
      <c r="AB34" s="2"/>
      <c r="AC34" s="2"/>
      <c r="AD34" s="2"/>
      <c r="AE34" s="2"/>
      <c r="AF34" s="2"/>
      <c r="AG34" s="113">
        <v>6000</v>
      </c>
      <c r="AH34" s="2"/>
      <c r="AI34" s="113">
        <v>4000</v>
      </c>
      <c r="AJ34" s="2"/>
      <c r="AK34" s="2"/>
      <c r="AL34" s="2"/>
      <c r="AM34" s="113">
        <f>5750</f>
        <v>5750</v>
      </c>
      <c r="AN34" s="28"/>
      <c r="AO34" s="2"/>
      <c r="AP34" s="2"/>
      <c r="AQ34" s="2"/>
      <c r="AR34" s="2"/>
      <c r="AS34" s="2"/>
      <c r="AT34" s="2"/>
      <c r="AU34" s="2"/>
      <c r="AV34" s="2"/>
      <c r="AW34" s="2"/>
      <c r="AX34" s="2"/>
      <c r="BA34" s="77"/>
    </row>
    <row r="35" spans="2:55" x14ac:dyDescent="0.25">
      <c r="B35" s="16"/>
      <c r="C35" s="102" t="s">
        <v>62</v>
      </c>
      <c r="D35" s="333">
        <v>6500</v>
      </c>
      <c r="E35" s="333">
        <v>0</v>
      </c>
      <c r="F35" s="104">
        <f t="shared" si="1"/>
        <v>0</v>
      </c>
      <c r="G35" s="255">
        <f t="shared" si="8"/>
        <v>0</v>
      </c>
      <c r="H35" s="255">
        <f t="shared" si="3"/>
        <v>0</v>
      </c>
      <c r="I35" s="2">
        <f t="shared" si="5"/>
        <v>6500</v>
      </c>
      <c r="J35" s="19"/>
      <c r="K35" s="19"/>
      <c r="L35" s="19"/>
      <c r="M35" s="19"/>
      <c r="N35" s="19"/>
      <c r="O35" s="88">
        <v>0</v>
      </c>
      <c r="P35" s="2"/>
      <c r="Q35" s="2"/>
      <c r="R35" s="2"/>
      <c r="S35" s="2"/>
      <c r="T35" s="2"/>
      <c r="U35" s="2"/>
      <c r="V35" s="2"/>
      <c r="W35" s="2"/>
      <c r="X35" s="2"/>
      <c r="Y35" s="2"/>
      <c r="Z35" s="2"/>
      <c r="AA35" s="2"/>
      <c r="AB35" s="2"/>
      <c r="AC35" s="2"/>
      <c r="AD35" s="2"/>
      <c r="AE35" s="2"/>
      <c r="AF35" s="2"/>
      <c r="AG35" s="2"/>
      <c r="AH35" s="2"/>
      <c r="AI35" s="2"/>
      <c r="AJ35" s="2"/>
      <c r="AK35" s="2"/>
      <c r="AL35" s="2"/>
      <c r="AM35" s="2"/>
      <c r="AN35" s="28"/>
      <c r="AO35" s="2"/>
      <c r="AP35" s="2"/>
      <c r="AQ35" s="2"/>
      <c r="AR35" s="2"/>
      <c r="AS35" s="2"/>
      <c r="AT35" s="2"/>
      <c r="AU35" s="2"/>
      <c r="AV35" s="2"/>
      <c r="AW35" s="2"/>
      <c r="AX35" s="2"/>
      <c r="BA35" s="77"/>
    </row>
    <row r="36" spans="2:55" x14ac:dyDescent="0.25">
      <c r="B36" s="16"/>
      <c r="C36" s="102" t="s">
        <v>63</v>
      </c>
      <c r="D36" s="333">
        <v>0</v>
      </c>
      <c r="E36" s="333">
        <v>0</v>
      </c>
      <c r="F36" s="104">
        <f t="shared" si="1"/>
        <v>0</v>
      </c>
      <c r="G36" s="255">
        <f t="shared" si="8"/>
        <v>0</v>
      </c>
      <c r="H36" s="255">
        <f t="shared" si="3"/>
        <v>0</v>
      </c>
      <c r="I36" s="2">
        <f t="shared" si="5"/>
        <v>0</v>
      </c>
      <c r="J36" s="19">
        <v>0</v>
      </c>
      <c r="K36" s="19"/>
      <c r="L36" s="19"/>
      <c r="M36" s="19"/>
      <c r="N36" s="19"/>
      <c r="O36" s="88">
        <v>0</v>
      </c>
      <c r="P36" s="2"/>
      <c r="Q36" s="2"/>
      <c r="R36" s="2"/>
      <c r="S36" s="2"/>
      <c r="T36" s="2"/>
      <c r="U36" s="2"/>
      <c r="V36" s="2"/>
      <c r="W36" s="2"/>
      <c r="X36" s="2"/>
      <c r="Y36" s="2"/>
      <c r="Z36" s="2"/>
      <c r="AA36" s="2"/>
      <c r="AB36" s="2"/>
      <c r="AC36" s="2"/>
      <c r="AD36" s="2"/>
      <c r="AE36" s="2"/>
      <c r="AF36" s="2"/>
      <c r="AG36" s="2"/>
      <c r="AH36" s="2"/>
      <c r="AI36" s="2"/>
      <c r="AJ36" s="2"/>
      <c r="AK36" s="2"/>
      <c r="AL36" s="2"/>
      <c r="AM36" s="2"/>
      <c r="AN36" s="28"/>
      <c r="AO36" s="2"/>
      <c r="AP36" s="2"/>
      <c r="AQ36" s="2"/>
      <c r="AR36" s="2"/>
      <c r="AS36" s="2"/>
      <c r="AT36" s="2"/>
      <c r="AU36" s="2"/>
      <c r="AV36" s="2"/>
      <c r="AW36" s="2"/>
      <c r="AX36" s="2"/>
      <c r="BA36" s="77"/>
    </row>
    <row r="37" spans="2:55" x14ac:dyDescent="0.25">
      <c r="B37" s="16"/>
      <c r="C37" s="102" t="s">
        <v>64</v>
      </c>
      <c r="D37" s="333">
        <v>21250</v>
      </c>
      <c r="E37" s="333">
        <v>25738.799999999999</v>
      </c>
      <c r="F37" s="104">
        <f t="shared" si="1"/>
        <v>35664.449999999997</v>
      </c>
      <c r="G37" s="255">
        <f t="shared" si="8"/>
        <v>25739.95</v>
      </c>
      <c r="H37" s="255">
        <f t="shared" si="3"/>
        <v>9924.5</v>
      </c>
      <c r="I37" s="2">
        <f t="shared" si="5"/>
        <v>-14414.449999999997</v>
      </c>
      <c r="J37" s="42">
        <v>21250</v>
      </c>
      <c r="K37" s="19"/>
      <c r="L37" s="19"/>
      <c r="M37" s="19"/>
      <c r="N37" s="19">
        <f>J37</f>
        <v>21250</v>
      </c>
      <c r="O37" s="88">
        <f>1260+118.2</f>
        <v>1378.2</v>
      </c>
      <c r="P37" s="2"/>
      <c r="Q37" s="2"/>
      <c r="R37" s="2"/>
      <c r="S37" s="2"/>
      <c r="T37" s="2"/>
      <c r="U37" s="2"/>
      <c r="V37" s="2"/>
      <c r="W37" s="2"/>
      <c r="X37" s="2"/>
      <c r="Y37" s="2"/>
      <c r="Z37" s="2"/>
      <c r="AA37" s="113">
        <v>177.3</v>
      </c>
      <c r="AB37" s="2"/>
      <c r="AC37" s="113">
        <v>10880</v>
      </c>
      <c r="AD37" s="113">
        <f>217.2+656</f>
        <v>873.2</v>
      </c>
      <c r="AE37" s="113">
        <v>354.6</v>
      </c>
      <c r="AF37" s="113">
        <v>88.65</v>
      </c>
      <c r="AG37" s="2"/>
      <c r="AH37" s="2"/>
      <c r="AI37" s="2"/>
      <c r="AJ37" s="2"/>
      <c r="AK37" s="2"/>
      <c r="AL37" s="113">
        <f>10676+1312</f>
        <v>11988</v>
      </c>
      <c r="AM37" s="2"/>
      <c r="AN37" s="28"/>
      <c r="AO37" s="2"/>
      <c r="AP37" s="2"/>
      <c r="AQ37" s="2"/>
      <c r="AR37" s="113">
        <f>1312</f>
        <v>1312</v>
      </c>
      <c r="AS37" s="113">
        <f>1325</f>
        <v>1325</v>
      </c>
      <c r="AT37" s="113">
        <f>1325</f>
        <v>1325</v>
      </c>
      <c r="AU37" s="2"/>
      <c r="AV37" s="2"/>
      <c r="AW37" s="2"/>
      <c r="AX37" s="2"/>
      <c r="AY37" s="113">
        <f>662.5</f>
        <v>662.5</v>
      </c>
      <c r="BA37" s="364">
        <f>441.66+662.5</f>
        <v>1104.1600000000001</v>
      </c>
      <c r="BB37" s="2">
        <f>3975-441.66-662.5</f>
        <v>2870.84</v>
      </c>
      <c r="BC37" s="2">
        <f>1325</f>
        <v>1325</v>
      </c>
    </row>
    <row r="38" spans="2:55" x14ac:dyDescent="0.25">
      <c r="B38" s="16"/>
      <c r="C38" s="102" t="s">
        <v>65</v>
      </c>
      <c r="D38" s="333">
        <v>350000</v>
      </c>
      <c r="E38" s="347">
        <v>350000</v>
      </c>
      <c r="F38" s="104">
        <f t="shared" si="1"/>
        <v>552302.98</v>
      </c>
      <c r="G38" s="255">
        <f t="shared" si="8"/>
        <v>91305.2</v>
      </c>
      <c r="H38" s="255">
        <f t="shared" si="3"/>
        <v>460997.77999999997</v>
      </c>
      <c r="I38" s="2">
        <f t="shared" si="5"/>
        <v>-202302.97999999998</v>
      </c>
      <c r="J38" s="42">
        <v>350000</v>
      </c>
      <c r="K38" s="19"/>
      <c r="L38" s="19"/>
      <c r="M38" s="19"/>
      <c r="N38" s="19">
        <f>J38</f>
        <v>350000</v>
      </c>
      <c r="O38" s="88">
        <v>0</v>
      </c>
      <c r="P38" s="2"/>
      <c r="Q38" s="2"/>
      <c r="R38" s="2"/>
      <c r="S38" s="2"/>
      <c r="T38" s="2"/>
      <c r="U38" s="2"/>
      <c r="V38" s="2"/>
      <c r="W38" s="2"/>
      <c r="X38" s="2"/>
      <c r="Y38" s="2"/>
      <c r="Z38" s="113">
        <v>8234</v>
      </c>
      <c r="AA38" s="2"/>
      <c r="AB38" s="2"/>
      <c r="AC38" s="113">
        <v>1920</v>
      </c>
      <c r="AD38" s="113">
        <v>480</v>
      </c>
      <c r="AE38" s="113">
        <v>39631.599999999999</v>
      </c>
      <c r="AF38" s="113">
        <v>1237.2</v>
      </c>
      <c r="AG38" s="113">
        <v>1432.8</v>
      </c>
      <c r="AH38" s="113">
        <v>4192</v>
      </c>
      <c r="AI38" s="113">
        <v>1476</v>
      </c>
      <c r="AJ38" s="2"/>
      <c r="AK38" s="2"/>
      <c r="AL38" s="2"/>
      <c r="AM38" s="113">
        <f>4156.8</f>
        <v>4156.8</v>
      </c>
      <c r="AN38" s="113">
        <f>28544.8</f>
        <v>28544.799999999999</v>
      </c>
      <c r="AO38" s="113">
        <f>72837.2</f>
        <v>72837.2</v>
      </c>
      <c r="AP38" s="113">
        <f>5900.8</f>
        <v>5900.8</v>
      </c>
      <c r="AQ38" s="113">
        <f>2962</f>
        <v>2962</v>
      </c>
      <c r="AR38" s="113">
        <f>6463+3509.2</f>
        <v>9972.2000000000007</v>
      </c>
      <c r="AS38" s="113">
        <f>27693.1</f>
        <v>27693.1</v>
      </c>
      <c r="AT38" s="113">
        <f>75445.1+544+17574.4+32514.4+379.22+11134.8+162.9</f>
        <v>137754.81999999998</v>
      </c>
      <c r="AU38" s="2"/>
      <c r="AV38" s="2"/>
      <c r="AW38" s="2"/>
      <c r="AX38" s="2"/>
      <c r="BA38" s="364">
        <f>200000+2929+592.22+356.44</f>
        <v>203877.66</v>
      </c>
    </row>
    <row r="39" spans="2:55" x14ac:dyDescent="0.25">
      <c r="B39" s="16"/>
      <c r="C39" s="106" t="s">
        <v>66</v>
      </c>
      <c r="D39" s="340">
        <v>0</v>
      </c>
      <c r="E39" s="340">
        <v>0</v>
      </c>
      <c r="F39" s="107">
        <f t="shared" si="1"/>
        <v>152775.32999999999</v>
      </c>
      <c r="G39" s="256">
        <f t="shared" si="8"/>
        <v>0</v>
      </c>
      <c r="H39" s="256">
        <f t="shared" si="3"/>
        <v>152775.32999999999</v>
      </c>
      <c r="I39" s="2">
        <f t="shared" si="5"/>
        <v>-152775.32999999999</v>
      </c>
      <c r="J39" s="19"/>
      <c r="K39" s="19"/>
      <c r="L39" s="19"/>
      <c r="M39" s="19"/>
      <c r="N39" s="19"/>
      <c r="O39" s="88">
        <v>0</v>
      </c>
      <c r="P39" s="2"/>
      <c r="Q39" s="2"/>
      <c r="R39" s="2"/>
      <c r="S39" s="2"/>
      <c r="T39" s="2"/>
      <c r="U39" s="2"/>
      <c r="V39" s="2"/>
      <c r="W39" s="2"/>
      <c r="X39" s="2"/>
      <c r="Y39" s="2"/>
      <c r="Z39" s="2"/>
      <c r="AA39" s="2"/>
      <c r="AB39" s="2"/>
      <c r="AC39" s="2"/>
      <c r="AD39" s="2"/>
      <c r="AE39" s="2"/>
      <c r="AF39" s="2"/>
      <c r="AG39" s="2"/>
      <c r="AH39" s="2"/>
      <c r="AI39" s="2"/>
      <c r="AJ39" s="2"/>
      <c r="AK39" s="2"/>
      <c r="AL39" s="2"/>
      <c r="AM39" s="2"/>
      <c r="AN39" s="28"/>
      <c r="AO39" s="2"/>
      <c r="AQ39" s="2"/>
      <c r="AR39" s="2"/>
      <c r="AS39" s="2"/>
      <c r="AT39" s="113">
        <f>2403.25+1358.2</f>
        <v>3761.45</v>
      </c>
      <c r="AU39" s="113">
        <f>13100</f>
        <v>13100</v>
      </c>
      <c r="AV39" s="113">
        <f>3560</f>
        <v>3560</v>
      </c>
      <c r="AW39" s="113">
        <f>22900+1919</f>
        <v>24819</v>
      </c>
      <c r="AX39" s="2"/>
      <c r="AY39" s="113">
        <f>6135+30592+7814.88</f>
        <v>44541.88</v>
      </c>
      <c r="AZ39" s="113">
        <f>5590+42739+836</f>
        <v>49165</v>
      </c>
      <c r="BA39" s="364">
        <f>9016</f>
        <v>9016</v>
      </c>
      <c r="BB39" s="113">
        <f>4812</f>
        <v>4812</v>
      </c>
      <c r="BC39" s="2"/>
    </row>
    <row r="40" spans="2:55" x14ac:dyDescent="0.25">
      <c r="B40" s="16"/>
      <c r="C40" s="102" t="s">
        <v>67</v>
      </c>
      <c r="D40" s="333">
        <v>197000</v>
      </c>
      <c r="E40" s="333">
        <v>187194.35</v>
      </c>
      <c r="F40" s="104">
        <f t="shared" si="1"/>
        <v>358004.04</v>
      </c>
      <c r="G40" s="255">
        <f t="shared" si="8"/>
        <v>206788.56</v>
      </c>
      <c r="H40" s="255">
        <f t="shared" si="3"/>
        <v>151215.48000000001</v>
      </c>
      <c r="I40" s="2">
        <f t="shared" si="5"/>
        <v>-161004.03999999998</v>
      </c>
      <c r="J40" s="42">
        <f>164802.5+32000</f>
        <v>196802.5</v>
      </c>
      <c r="K40" s="19"/>
      <c r="L40" s="19"/>
      <c r="M40" s="19"/>
      <c r="N40" s="19">
        <f t="shared" ref="N40:N46" si="9">J40</f>
        <v>196802.5</v>
      </c>
      <c r="O40" s="88">
        <v>45154.35</v>
      </c>
      <c r="P40" s="2"/>
      <c r="Q40" s="2"/>
      <c r="R40" s="2"/>
      <c r="S40" s="2"/>
      <c r="T40" s="2"/>
      <c r="U40" s="2"/>
      <c r="V40" s="2"/>
      <c r="W40" s="2"/>
      <c r="X40" s="2"/>
      <c r="Y40" s="113">
        <v>4035.21</v>
      </c>
      <c r="Z40" s="113">
        <v>3520</v>
      </c>
      <c r="AA40" s="113">
        <v>7580</v>
      </c>
      <c r="AB40" s="2"/>
      <c r="AC40" s="113">
        <v>4220</v>
      </c>
      <c r="AD40" s="113">
        <f>9553.17</f>
        <v>9553.17</v>
      </c>
      <c r="AE40" s="113">
        <v>41703</v>
      </c>
      <c r="AF40" s="2"/>
      <c r="AG40" s="113">
        <f>4020+595+3500+4000+2500+5500+375+6500+9460+1500+283.63+4020+2000+1380+9550+275+34.2</f>
        <v>55492.829999999994</v>
      </c>
      <c r="AH40" s="113">
        <f>4020</f>
        <v>4020</v>
      </c>
      <c r="AI40" s="113">
        <f>300+4020+3560</f>
        <v>7880</v>
      </c>
      <c r="AJ40" s="113">
        <f>4020+4500</f>
        <v>8520</v>
      </c>
      <c r="AK40" s="113">
        <f>4020</f>
        <v>4020</v>
      </c>
      <c r="AL40" s="113">
        <f>2010</f>
        <v>2010</v>
      </c>
      <c r="AM40" s="2"/>
      <c r="AN40" s="113">
        <v>9080</v>
      </c>
      <c r="AO40" s="113">
        <f>38706</f>
        <v>38706</v>
      </c>
      <c r="AP40" s="2"/>
      <c r="AQ40" s="113">
        <f>2564</f>
        <v>2564</v>
      </c>
      <c r="AR40" s="113">
        <f>2564</f>
        <v>2564</v>
      </c>
      <c r="AS40" s="113">
        <f>3264</f>
        <v>3264</v>
      </c>
      <c r="AT40" s="113">
        <f>2564+1540+8150+2600+31.1</f>
        <v>14885.1</v>
      </c>
      <c r="AU40" s="113">
        <f>2564+1260+920</f>
        <v>4744</v>
      </c>
      <c r="AV40" s="113">
        <f>2564+8150</f>
        <v>10714</v>
      </c>
      <c r="AW40" s="113">
        <f>2564+2448+127.63</f>
        <v>5139.63</v>
      </c>
      <c r="AX40" s="113">
        <f>3044</f>
        <v>3044</v>
      </c>
      <c r="AY40" s="113">
        <f>2564+9224.75+768+78</f>
        <v>12634.75</v>
      </c>
      <c r="AZ40" s="113">
        <f>2948+25796+8250+1152+43</f>
        <v>38189</v>
      </c>
      <c r="BA40" s="364">
        <f>2566+8300</f>
        <v>10866</v>
      </c>
      <c r="BB40" s="113">
        <f>2566</f>
        <v>2566</v>
      </c>
      <c r="BC40" s="113">
        <v>1335</v>
      </c>
    </row>
    <row r="41" spans="2:55" x14ac:dyDescent="0.25">
      <c r="B41" s="16"/>
      <c r="C41" s="102" t="s">
        <v>68</v>
      </c>
      <c r="D41" s="333">
        <v>16720</v>
      </c>
      <c r="E41" s="333">
        <v>11520</v>
      </c>
      <c r="F41" s="104">
        <f t="shared" si="1"/>
        <v>17550</v>
      </c>
      <c r="G41" s="255">
        <f t="shared" si="8"/>
        <v>8550</v>
      </c>
      <c r="H41" s="255">
        <f t="shared" si="3"/>
        <v>9000</v>
      </c>
      <c r="I41" s="2">
        <f t="shared" si="5"/>
        <v>-830</v>
      </c>
      <c r="J41" s="42">
        <v>11520</v>
      </c>
      <c r="K41" s="19"/>
      <c r="L41" s="19"/>
      <c r="M41" s="19"/>
      <c r="N41" s="19">
        <f t="shared" si="9"/>
        <v>11520</v>
      </c>
      <c r="O41" s="88">
        <f>1140+1320</f>
        <v>2460</v>
      </c>
      <c r="P41" s="2"/>
      <c r="Q41" s="2"/>
      <c r="R41" s="2"/>
      <c r="S41" s="2"/>
      <c r="T41" s="2"/>
      <c r="U41" s="2"/>
      <c r="V41" s="2"/>
      <c r="W41" s="2"/>
      <c r="X41" s="2"/>
      <c r="Y41" s="2"/>
      <c r="Z41" s="2"/>
      <c r="AA41" s="2"/>
      <c r="AB41" s="2"/>
      <c r="AC41" s="2"/>
      <c r="AD41" s="2"/>
      <c r="AE41" s="113">
        <v>2250</v>
      </c>
      <c r="AF41" s="2"/>
      <c r="AG41" s="2"/>
      <c r="AH41" s="2"/>
      <c r="AI41" s="2"/>
      <c r="AJ41" s="2"/>
      <c r="AK41" s="2"/>
      <c r="AL41" s="113">
        <v>3840</v>
      </c>
      <c r="AM41" s="2"/>
      <c r="AN41" s="28"/>
      <c r="AO41" s="2"/>
      <c r="AP41" s="2"/>
      <c r="AQ41" s="2"/>
      <c r="AR41" s="2"/>
      <c r="AS41" s="2"/>
      <c r="AT41" s="113">
        <v>840</v>
      </c>
      <c r="AU41" s="2"/>
      <c r="AV41" s="2"/>
      <c r="AW41" s="113">
        <f>4080</f>
        <v>4080</v>
      </c>
      <c r="AX41" s="2"/>
      <c r="AY41" s="57">
        <f>3120</f>
        <v>3120</v>
      </c>
      <c r="AZ41" s="2"/>
      <c r="BA41" s="77"/>
      <c r="BB41" s="2"/>
      <c r="BC41" s="113">
        <f>960</f>
        <v>960</v>
      </c>
    </row>
    <row r="42" spans="2:55" x14ac:dyDescent="0.25">
      <c r="B42" s="16"/>
      <c r="C42" s="102" t="s">
        <v>69</v>
      </c>
      <c r="D42" s="333">
        <v>0</v>
      </c>
      <c r="E42" s="333">
        <v>4050</v>
      </c>
      <c r="F42" s="104">
        <f t="shared" si="1"/>
        <v>4050</v>
      </c>
      <c r="G42" s="255">
        <f t="shared" si="8"/>
        <v>4050</v>
      </c>
      <c r="H42" s="255">
        <f t="shared" si="3"/>
        <v>0</v>
      </c>
      <c r="I42" s="2">
        <f t="shared" si="5"/>
        <v>-4050</v>
      </c>
      <c r="J42" s="42">
        <f>(950*4)+250</f>
        <v>4050</v>
      </c>
      <c r="K42" s="19"/>
      <c r="L42" s="19"/>
      <c r="M42" s="19"/>
      <c r="N42" s="19">
        <f t="shared" si="9"/>
        <v>4050</v>
      </c>
      <c r="O42" s="88">
        <v>4050</v>
      </c>
      <c r="P42" s="2"/>
      <c r="Q42" s="2"/>
      <c r="R42" s="2"/>
      <c r="S42" s="2"/>
      <c r="T42" s="2"/>
      <c r="U42" s="2"/>
      <c r="V42" s="2"/>
      <c r="W42" s="2"/>
      <c r="X42" s="2"/>
      <c r="Y42" s="2"/>
      <c r="Z42" s="2"/>
      <c r="AA42" s="2"/>
      <c r="AB42" s="2"/>
      <c r="AC42" s="2"/>
      <c r="AD42" s="2"/>
      <c r="AE42" s="2"/>
      <c r="AF42" s="2"/>
      <c r="AG42" s="2"/>
      <c r="AH42" s="2"/>
      <c r="AI42" s="2"/>
      <c r="AJ42" s="2"/>
      <c r="AK42" s="2"/>
      <c r="AL42" s="2"/>
      <c r="AM42" s="2"/>
      <c r="AN42" s="28"/>
      <c r="AO42" s="2"/>
      <c r="AP42" s="2"/>
      <c r="AQ42" s="2"/>
      <c r="AR42" s="2"/>
      <c r="AS42" s="2"/>
      <c r="AT42" s="2"/>
      <c r="AU42" s="2"/>
      <c r="AV42" s="2"/>
      <c r="AW42" s="2"/>
      <c r="AX42" s="2"/>
      <c r="BA42" s="77"/>
    </row>
    <row r="43" spans="2:55" x14ac:dyDescent="0.25">
      <c r="B43" s="16"/>
      <c r="C43" s="102" t="s">
        <v>70</v>
      </c>
      <c r="D43" s="333">
        <v>0</v>
      </c>
      <c r="E43" s="333">
        <v>10000</v>
      </c>
      <c r="F43" s="104">
        <f t="shared" si="1"/>
        <v>5000</v>
      </c>
      <c r="G43" s="255">
        <f t="shared" si="8"/>
        <v>5000</v>
      </c>
      <c r="H43" s="255">
        <f t="shared" si="3"/>
        <v>0</v>
      </c>
      <c r="I43" s="2">
        <f t="shared" si="5"/>
        <v>-5000</v>
      </c>
      <c r="J43" s="42">
        <v>10000</v>
      </c>
      <c r="K43" s="19"/>
      <c r="L43" s="19"/>
      <c r="M43" s="19"/>
      <c r="N43" s="19">
        <f t="shared" si="9"/>
        <v>10000</v>
      </c>
      <c r="O43" s="88">
        <v>5000</v>
      </c>
      <c r="P43" s="2"/>
      <c r="Q43" s="2"/>
      <c r="R43" s="2"/>
      <c r="S43" s="2"/>
      <c r="T43" s="2"/>
      <c r="U43" s="2"/>
      <c r="V43" s="2"/>
      <c r="W43" s="2"/>
      <c r="X43" s="2"/>
      <c r="Y43" s="2"/>
      <c r="Z43" s="2"/>
      <c r="AA43" s="2"/>
      <c r="AB43" s="2"/>
      <c r="AC43" s="2"/>
      <c r="AD43" s="2"/>
      <c r="AE43" s="2"/>
      <c r="AF43" s="2"/>
      <c r="AG43" s="2"/>
      <c r="AH43" s="2"/>
      <c r="AI43" s="2"/>
      <c r="AJ43" s="2"/>
      <c r="AK43" s="2"/>
      <c r="AL43" s="2"/>
      <c r="AM43" s="2"/>
      <c r="AN43" s="28"/>
      <c r="AO43" s="2"/>
      <c r="AP43" s="2"/>
      <c r="AQ43" s="2"/>
      <c r="AR43" s="2"/>
      <c r="AS43" s="2"/>
      <c r="AT43" s="2"/>
      <c r="AU43" s="2"/>
      <c r="AV43" s="2"/>
      <c r="AW43" s="2"/>
      <c r="AX43" s="2"/>
      <c r="BA43" s="77"/>
    </row>
    <row r="44" spans="2:55" x14ac:dyDescent="0.25">
      <c r="B44" s="16"/>
      <c r="C44" s="102" t="s">
        <v>71</v>
      </c>
      <c r="D44" s="333">
        <v>0</v>
      </c>
      <c r="E44" s="333">
        <v>13388.06</v>
      </c>
      <c r="F44" s="104">
        <f t="shared" si="1"/>
        <v>10940</v>
      </c>
      <c r="G44" s="255">
        <f t="shared" si="8"/>
        <v>10940</v>
      </c>
      <c r="H44" s="255">
        <f t="shared" si="3"/>
        <v>0</v>
      </c>
      <c r="I44" s="2">
        <f t="shared" si="5"/>
        <v>-10940</v>
      </c>
      <c r="J44" s="42">
        <v>13388</v>
      </c>
      <c r="K44" s="19">
        <f>5590+(3948/2)+2800+(1850/2)</f>
        <v>11289</v>
      </c>
      <c r="L44" s="19">
        <v>29099</v>
      </c>
      <c r="M44" s="19"/>
      <c r="N44" s="19"/>
      <c r="O44" s="88">
        <v>0</v>
      </c>
      <c r="P44" s="2"/>
      <c r="Q44" s="2"/>
      <c r="R44" s="2"/>
      <c r="S44" s="2"/>
      <c r="T44" s="2"/>
      <c r="U44" s="2"/>
      <c r="V44" s="2"/>
      <c r="W44" s="2"/>
      <c r="X44" s="2"/>
      <c r="Y44" s="2"/>
      <c r="Z44" s="2"/>
      <c r="AA44" s="2"/>
      <c r="AB44" s="2"/>
      <c r="AC44" s="113">
        <v>10940</v>
      </c>
      <c r="AD44" s="2"/>
      <c r="AE44" s="2"/>
      <c r="AF44" s="2"/>
      <c r="AG44" s="2"/>
      <c r="AH44" s="2"/>
      <c r="AI44" s="2"/>
      <c r="AJ44" s="2"/>
      <c r="AK44" s="2"/>
      <c r="AL44" s="2"/>
      <c r="AM44" s="2"/>
      <c r="AN44" s="28"/>
      <c r="AO44" s="2"/>
      <c r="AP44" s="2"/>
      <c r="AQ44" s="2"/>
      <c r="AR44" s="2"/>
      <c r="AS44" s="2"/>
      <c r="AT44" s="2"/>
      <c r="AU44" s="2"/>
      <c r="AV44" s="2"/>
      <c r="AW44" s="2"/>
      <c r="AX44" s="2"/>
      <c r="BA44" s="77"/>
    </row>
    <row r="45" spans="2:55" x14ac:dyDescent="0.25">
      <c r="B45" s="16"/>
      <c r="C45" s="102" t="s">
        <v>72</v>
      </c>
      <c r="D45" s="333">
        <v>0</v>
      </c>
      <c r="E45" s="333">
        <v>5590</v>
      </c>
      <c r="F45" s="104">
        <f t="shared" si="1"/>
        <v>1260</v>
      </c>
      <c r="G45" s="255">
        <f t="shared" si="8"/>
        <v>1260</v>
      </c>
      <c r="H45" s="255">
        <f t="shared" si="3"/>
        <v>0</v>
      </c>
      <c r="I45" s="2">
        <f t="shared" si="5"/>
        <v>-1260</v>
      </c>
      <c r="J45" s="42">
        <f>4330+1260</f>
        <v>5590</v>
      </c>
      <c r="K45" s="19"/>
      <c r="L45" s="19"/>
      <c r="M45" s="19"/>
      <c r="N45" s="19">
        <f t="shared" si="9"/>
        <v>5590</v>
      </c>
      <c r="O45" s="88">
        <v>0</v>
      </c>
      <c r="P45" s="2"/>
      <c r="Q45" s="2"/>
      <c r="R45" s="2"/>
      <c r="S45" s="2"/>
      <c r="T45" s="2"/>
      <c r="U45" s="2"/>
      <c r="V45" s="2"/>
      <c r="W45" s="2"/>
      <c r="X45" s="2"/>
      <c r="Y45" s="2"/>
      <c r="Z45" s="113">
        <v>1260</v>
      </c>
      <c r="AA45" s="2"/>
      <c r="AB45" s="2"/>
      <c r="AC45" s="2"/>
      <c r="AD45" s="2"/>
      <c r="AE45" s="2"/>
      <c r="AF45" s="2"/>
      <c r="AG45" s="2"/>
      <c r="AH45" s="2"/>
      <c r="AI45" s="2"/>
      <c r="AJ45" s="2"/>
      <c r="AK45" s="2"/>
      <c r="AL45" s="2"/>
      <c r="AM45" s="2"/>
      <c r="AN45" s="28"/>
      <c r="AO45" s="2"/>
      <c r="AP45" s="2"/>
      <c r="AQ45" s="2"/>
      <c r="AR45" s="2"/>
      <c r="AS45" s="2"/>
      <c r="AT45" s="2"/>
      <c r="AU45" s="2"/>
      <c r="AV45" s="2"/>
      <c r="AW45" s="2"/>
      <c r="AX45" s="2"/>
      <c r="BA45" s="77"/>
    </row>
    <row r="46" spans="2:55" x14ac:dyDescent="0.25">
      <c r="B46" s="16"/>
      <c r="C46" s="102" t="s">
        <v>73</v>
      </c>
      <c r="D46" s="333">
        <v>0</v>
      </c>
      <c r="E46" s="333">
        <v>16065</v>
      </c>
      <c r="F46" s="104">
        <f t="shared" si="1"/>
        <v>29315</v>
      </c>
      <c r="G46" s="255">
        <f t="shared" si="8"/>
        <v>29315</v>
      </c>
      <c r="H46" s="255">
        <f t="shared" si="3"/>
        <v>0</v>
      </c>
      <c r="I46" s="2">
        <f t="shared" si="5"/>
        <v>-29315</v>
      </c>
      <c r="J46" s="42">
        <v>16065</v>
      </c>
      <c r="K46" s="19"/>
      <c r="L46" s="19"/>
      <c r="M46" s="19"/>
      <c r="N46" s="19">
        <f t="shared" si="9"/>
        <v>16065</v>
      </c>
      <c r="O46" s="88">
        <v>16065</v>
      </c>
      <c r="P46" s="2"/>
      <c r="Q46" s="2"/>
      <c r="R46" s="2"/>
      <c r="S46" s="2"/>
      <c r="T46" s="2"/>
      <c r="U46" s="2"/>
      <c r="V46" s="2"/>
      <c r="W46" s="2"/>
      <c r="X46" s="2"/>
      <c r="Y46" s="2"/>
      <c r="Z46" s="2"/>
      <c r="AA46" s="2"/>
      <c r="AB46" s="2"/>
      <c r="AC46" s="2"/>
      <c r="AD46" s="2"/>
      <c r="AE46" s="113">
        <v>3000</v>
      </c>
      <c r="AF46" s="113">
        <v>10250</v>
      </c>
      <c r="AG46" s="2"/>
      <c r="AH46" s="2"/>
      <c r="AI46" s="2"/>
      <c r="AJ46" s="2"/>
      <c r="AK46" s="2"/>
      <c r="AL46" s="2"/>
      <c r="AM46" s="2"/>
      <c r="AN46" s="28"/>
      <c r="AO46" s="2"/>
      <c r="AP46" s="2"/>
      <c r="AQ46" s="2"/>
      <c r="AR46" s="2"/>
      <c r="AS46" s="2"/>
      <c r="AT46" s="2"/>
      <c r="AU46" s="2"/>
      <c r="AV46" s="2"/>
      <c r="AW46" s="2"/>
      <c r="AX46" s="2"/>
      <c r="BA46" s="77"/>
    </row>
    <row r="47" spans="2:55" x14ac:dyDescent="0.25">
      <c r="B47" s="16"/>
      <c r="C47" s="102" t="s">
        <v>74</v>
      </c>
      <c r="D47" s="333">
        <v>0</v>
      </c>
      <c r="E47" s="333">
        <v>4747.5</v>
      </c>
      <c r="F47" s="104">
        <f t="shared" si="1"/>
        <v>7145.75</v>
      </c>
      <c r="G47" s="255">
        <f t="shared" si="8"/>
        <v>7145.75</v>
      </c>
      <c r="H47" s="255">
        <f t="shared" si="3"/>
        <v>0</v>
      </c>
      <c r="I47" s="2">
        <f>D47-F47</f>
        <v>-7145.75</v>
      </c>
      <c r="J47" s="19"/>
      <c r="K47" s="19"/>
      <c r="L47" s="19"/>
      <c r="M47" s="19"/>
      <c r="N47" s="19"/>
      <c r="O47" s="88">
        <v>0</v>
      </c>
      <c r="P47" s="2"/>
      <c r="Q47" s="2"/>
      <c r="R47" s="2"/>
      <c r="S47" s="2"/>
      <c r="T47" s="2"/>
      <c r="U47" s="2"/>
      <c r="V47" s="2"/>
      <c r="W47" s="2"/>
      <c r="X47" s="2"/>
      <c r="Y47" s="2"/>
      <c r="Z47" s="113">
        <v>4747.5</v>
      </c>
      <c r="AA47" s="2"/>
      <c r="AB47" s="2"/>
      <c r="AC47" s="2"/>
      <c r="AD47" s="2"/>
      <c r="AE47" s="2"/>
      <c r="AF47" s="2"/>
      <c r="AG47" s="2"/>
      <c r="AH47" s="2"/>
      <c r="AI47" s="2"/>
      <c r="AJ47" s="2"/>
      <c r="AK47" s="2"/>
      <c r="AL47" s="113">
        <f>2398.25</f>
        <v>2398.25</v>
      </c>
      <c r="AM47" s="2"/>
      <c r="AN47" s="28"/>
      <c r="AO47" s="2"/>
      <c r="AP47" s="2"/>
      <c r="AQ47" s="2"/>
      <c r="AR47" s="2"/>
      <c r="AS47" s="2"/>
      <c r="AT47" s="2"/>
      <c r="AU47" s="2"/>
      <c r="AV47" s="2"/>
      <c r="AW47" s="2"/>
      <c r="AX47" s="2"/>
      <c r="BA47" s="77"/>
    </row>
    <row r="48" spans="2:55" x14ac:dyDescent="0.25">
      <c r="B48" s="16"/>
      <c r="C48" s="102" t="s">
        <v>75</v>
      </c>
      <c r="D48" s="333">
        <v>0</v>
      </c>
      <c r="E48" s="333">
        <v>5000</v>
      </c>
      <c r="F48" s="104">
        <f t="shared" si="1"/>
        <v>2860</v>
      </c>
      <c r="G48" s="255">
        <f t="shared" si="8"/>
        <v>2860</v>
      </c>
      <c r="H48" s="255">
        <f t="shared" si="3"/>
        <v>0</v>
      </c>
      <c r="I48" s="2">
        <f>D48-F48</f>
        <v>-2860</v>
      </c>
      <c r="J48" s="42">
        <v>5000</v>
      </c>
      <c r="K48" s="19"/>
      <c r="L48" s="19"/>
      <c r="M48" s="19"/>
      <c r="N48" s="19"/>
      <c r="O48" s="88">
        <v>0</v>
      </c>
      <c r="P48" s="2"/>
      <c r="Q48" s="2"/>
      <c r="R48" s="2"/>
      <c r="S48" s="2"/>
      <c r="T48" s="2"/>
      <c r="U48" s="2"/>
      <c r="V48" s="2"/>
      <c r="W48" s="2"/>
      <c r="X48" s="2"/>
      <c r="Y48" s="2"/>
      <c r="Z48" s="2"/>
      <c r="AA48" s="2"/>
      <c r="AB48" s="2"/>
      <c r="AC48" s="2"/>
      <c r="AD48" s="2"/>
      <c r="AE48" s="2"/>
      <c r="AF48" s="2"/>
      <c r="AG48" s="2"/>
      <c r="AH48" s="113">
        <v>1210</v>
      </c>
      <c r="AI48" s="2"/>
      <c r="AJ48" s="2"/>
      <c r="AK48" s="2"/>
      <c r="AL48" s="2"/>
      <c r="AM48" s="2"/>
      <c r="AN48" s="113">
        <f>1650</f>
        <v>1650</v>
      </c>
      <c r="AO48" s="2"/>
      <c r="AP48" s="2"/>
      <c r="AQ48" s="2"/>
      <c r="AR48" s="2"/>
      <c r="AS48" s="2"/>
      <c r="AT48" s="2"/>
      <c r="AU48" s="2"/>
      <c r="AV48" s="2"/>
      <c r="AW48" s="2"/>
      <c r="AX48" s="2"/>
      <c r="BA48" s="77"/>
    </row>
    <row r="49" spans="2:61" x14ac:dyDescent="0.25">
      <c r="B49" s="16"/>
      <c r="C49" s="102" t="s">
        <v>76</v>
      </c>
      <c r="D49" s="333">
        <v>0</v>
      </c>
      <c r="E49" s="333">
        <v>0</v>
      </c>
      <c r="F49" s="104">
        <f t="shared" si="1"/>
        <v>6935</v>
      </c>
      <c r="G49" s="104">
        <f t="shared" si="8"/>
        <v>4005</v>
      </c>
      <c r="H49" s="104">
        <f t="shared" si="3"/>
        <v>2930</v>
      </c>
      <c r="I49" s="103">
        <v>0</v>
      </c>
      <c r="J49" s="103">
        <v>0</v>
      </c>
      <c r="K49" s="104">
        <f t="shared" ref="K49" si="10">SUM(R49:BD49)</f>
        <v>6935</v>
      </c>
      <c r="L49" s="103">
        <v>0</v>
      </c>
      <c r="M49" s="103">
        <v>0</v>
      </c>
      <c r="N49" s="104">
        <f t="shared" ref="N49" si="11">SUM(U49:BG49)</f>
        <v>6935</v>
      </c>
      <c r="O49" s="88">
        <v>0</v>
      </c>
      <c r="P49" s="2"/>
      <c r="Q49" s="2"/>
      <c r="R49" s="2"/>
      <c r="S49" s="2"/>
      <c r="T49" s="2"/>
      <c r="U49" s="2"/>
      <c r="V49" s="2"/>
      <c r="W49" s="2"/>
      <c r="X49" s="2"/>
      <c r="Y49" s="2"/>
      <c r="Z49" s="2"/>
      <c r="AA49" s="2"/>
      <c r="AB49" s="2"/>
      <c r="AC49" s="2"/>
      <c r="AD49" s="113">
        <f>6570/2</f>
        <v>3285</v>
      </c>
      <c r="AE49" s="2"/>
      <c r="AF49" s="113">
        <f>1440/2</f>
        <v>720</v>
      </c>
      <c r="AG49" s="2"/>
      <c r="AH49" s="2"/>
      <c r="AI49" s="2"/>
      <c r="AJ49" s="2"/>
      <c r="AK49" s="2"/>
      <c r="AL49" s="2"/>
      <c r="AM49" s="2"/>
      <c r="AN49" s="28"/>
      <c r="AO49" s="2"/>
      <c r="AP49" s="2"/>
      <c r="AQ49" s="2"/>
      <c r="AR49" s="2"/>
      <c r="AS49" s="2"/>
      <c r="AT49" s="2"/>
      <c r="AU49" s="2"/>
      <c r="AV49" s="2"/>
      <c r="AW49" s="2"/>
      <c r="AX49" s="2"/>
      <c r="AY49" s="57">
        <f>1935</f>
        <v>1935</v>
      </c>
      <c r="BA49" s="5"/>
      <c r="BC49" s="57">
        <f>995</f>
        <v>995</v>
      </c>
    </row>
    <row r="50" spans="2:61" x14ac:dyDescent="0.25">
      <c r="B50" s="16"/>
      <c r="C50" s="102" t="s">
        <v>77</v>
      </c>
      <c r="D50" s="333">
        <v>0</v>
      </c>
      <c r="E50" s="333">
        <v>0</v>
      </c>
      <c r="F50" s="104">
        <f t="shared" si="1"/>
        <v>42451.51</v>
      </c>
      <c r="G50" s="255">
        <f t="shared" si="8"/>
        <v>22981.37</v>
      </c>
      <c r="H50" s="255">
        <f t="shared" si="3"/>
        <v>19470.140000000003</v>
      </c>
      <c r="I50" s="2"/>
      <c r="J50" s="42"/>
      <c r="K50" s="19"/>
      <c r="L50" s="19"/>
      <c r="M50" s="19"/>
      <c r="N50" s="19"/>
      <c r="O50" s="88">
        <v>0</v>
      </c>
      <c r="P50" s="2"/>
      <c r="Q50" s="2"/>
      <c r="R50" s="2"/>
      <c r="S50" s="2"/>
      <c r="T50" s="2"/>
      <c r="U50" s="2"/>
      <c r="V50" s="2"/>
      <c r="W50" s="2"/>
      <c r="X50" s="2"/>
      <c r="Y50" s="2"/>
      <c r="Z50" s="2"/>
      <c r="AA50" s="2"/>
      <c r="AB50" s="2"/>
      <c r="AC50" s="2"/>
      <c r="AD50" s="2"/>
      <c r="AE50" s="2"/>
      <c r="AF50" s="2"/>
      <c r="AG50" s="2"/>
      <c r="AH50" s="2"/>
      <c r="AI50" s="113">
        <v>5168.95</v>
      </c>
      <c r="AJ50" s="2"/>
      <c r="AK50" s="2"/>
      <c r="AL50" s="2"/>
      <c r="AM50" s="113">
        <f>28303.34/2</f>
        <v>14151.67</v>
      </c>
      <c r="AN50" s="113">
        <f>3660.75</f>
        <v>3660.75</v>
      </c>
      <c r="AO50" s="2"/>
      <c r="AP50" s="113">
        <f>12369.27</f>
        <v>12369.27</v>
      </c>
      <c r="AQ50" s="2"/>
      <c r="AR50" s="2"/>
      <c r="AS50" s="2"/>
      <c r="AT50" s="113">
        <f>1084.6+2169.2+1626.9</f>
        <v>4880.7</v>
      </c>
      <c r="AU50" s="2"/>
      <c r="AV50" s="113">
        <f>271.15</f>
        <v>271.14999999999998</v>
      </c>
      <c r="AW50" s="2"/>
      <c r="AX50" s="113">
        <f>542.3</f>
        <v>542.29999999999995</v>
      </c>
      <c r="AY50" s="2"/>
      <c r="AZ50" s="2"/>
      <c r="BA50" s="364">
        <f>271.15</f>
        <v>271.14999999999998</v>
      </c>
      <c r="BC50">
        <f>135.57</f>
        <v>135.57</v>
      </c>
      <c r="BD50">
        <f>1000</f>
        <v>1000</v>
      </c>
    </row>
    <row r="51" spans="2:61" x14ac:dyDescent="0.25">
      <c r="B51" s="16"/>
      <c r="C51" s="102" t="s">
        <v>78</v>
      </c>
      <c r="D51" s="333">
        <v>0</v>
      </c>
      <c r="E51" s="333">
        <v>0</v>
      </c>
      <c r="F51" s="104">
        <f t="shared" si="1"/>
        <v>1125</v>
      </c>
      <c r="G51" s="255">
        <f t="shared" si="8"/>
        <v>1125</v>
      </c>
      <c r="H51" s="255">
        <f t="shared" si="3"/>
        <v>0</v>
      </c>
      <c r="I51" s="2"/>
      <c r="J51" s="42"/>
      <c r="K51" s="19"/>
      <c r="L51" s="19"/>
      <c r="M51" s="19"/>
      <c r="N51" s="19"/>
      <c r="O51" s="88">
        <v>0</v>
      </c>
      <c r="P51" s="2"/>
      <c r="Q51" s="2"/>
      <c r="R51" s="2"/>
      <c r="S51" s="2"/>
      <c r="T51" s="2"/>
      <c r="U51" s="2"/>
      <c r="V51" s="2"/>
      <c r="W51" s="2"/>
      <c r="X51" s="2"/>
      <c r="Y51" s="2"/>
      <c r="Z51" s="2"/>
      <c r="AA51" s="2"/>
      <c r="AB51" s="2"/>
      <c r="AC51" s="2"/>
      <c r="AD51" s="2"/>
      <c r="AE51" s="2"/>
      <c r="AF51" s="2"/>
      <c r="AG51" s="2"/>
      <c r="AH51" s="2"/>
      <c r="AI51" s="2"/>
      <c r="AJ51" s="2"/>
      <c r="AK51" s="2"/>
      <c r="AL51" s="113">
        <f>1125</f>
        <v>1125</v>
      </c>
      <c r="AM51" s="2"/>
      <c r="AN51" s="28"/>
      <c r="AO51" s="2"/>
      <c r="AP51" s="2"/>
      <c r="AQ51" s="2"/>
      <c r="AR51" s="2"/>
      <c r="AS51" s="2"/>
      <c r="AT51" s="2"/>
      <c r="AU51" s="2"/>
      <c r="AV51" s="2"/>
      <c r="AW51" s="2"/>
      <c r="AX51" s="2"/>
      <c r="BA51" s="77"/>
    </row>
    <row r="52" spans="2:61" x14ac:dyDescent="0.25">
      <c r="B52" s="16"/>
      <c r="C52" s="102" t="s">
        <v>79</v>
      </c>
      <c r="D52" s="333">
        <v>0</v>
      </c>
      <c r="E52" s="333">
        <v>0</v>
      </c>
      <c r="F52" s="104">
        <f t="shared" si="1"/>
        <v>5000</v>
      </c>
      <c r="G52" s="255">
        <f t="shared" si="8"/>
        <v>5000</v>
      </c>
      <c r="H52" s="255">
        <f t="shared" si="3"/>
        <v>0</v>
      </c>
      <c r="I52" s="2"/>
      <c r="J52" s="42"/>
      <c r="K52" s="19"/>
      <c r="L52" s="19"/>
      <c r="M52" s="19"/>
      <c r="N52" s="19"/>
      <c r="O52" s="88">
        <v>0</v>
      </c>
      <c r="P52" s="2"/>
      <c r="Q52" s="2"/>
      <c r="R52" s="2"/>
      <c r="S52" s="2"/>
      <c r="T52" s="2"/>
      <c r="U52" s="2"/>
      <c r="V52" s="2"/>
      <c r="W52" s="2"/>
      <c r="X52" s="2"/>
      <c r="Y52" s="2"/>
      <c r="Z52" s="2"/>
      <c r="AA52" s="2"/>
      <c r="AB52" s="2"/>
      <c r="AC52" s="2"/>
      <c r="AD52" s="2"/>
      <c r="AE52" s="2"/>
      <c r="AF52" s="2"/>
      <c r="AG52" s="2"/>
      <c r="AH52" s="113">
        <v>5000</v>
      </c>
      <c r="AI52" s="2"/>
      <c r="AJ52" s="2"/>
      <c r="AK52" s="2"/>
      <c r="AL52" s="2"/>
      <c r="AM52" s="2"/>
      <c r="AN52" s="28"/>
      <c r="AO52" s="2"/>
      <c r="AP52" s="2"/>
      <c r="AQ52" s="2"/>
      <c r="AR52" s="2"/>
      <c r="AS52" s="2"/>
      <c r="AT52" s="2"/>
      <c r="AU52" s="2"/>
      <c r="AV52" s="2"/>
      <c r="AW52" s="2"/>
      <c r="AX52" s="2"/>
      <c r="BA52" s="77"/>
    </row>
    <row r="53" spans="2:61" x14ac:dyDescent="0.25">
      <c r="B53" s="16"/>
      <c r="C53" t="s">
        <v>80</v>
      </c>
      <c r="D53" s="334">
        <v>0</v>
      </c>
      <c r="E53" s="334">
        <v>0</v>
      </c>
      <c r="F53" s="104">
        <f t="shared" si="1"/>
        <v>20000</v>
      </c>
      <c r="G53" s="255">
        <f t="shared" si="8"/>
        <v>10000</v>
      </c>
      <c r="H53" s="255">
        <f t="shared" si="3"/>
        <v>10000</v>
      </c>
      <c r="I53" s="2"/>
      <c r="J53" s="42"/>
      <c r="K53" s="19"/>
      <c r="L53" s="19"/>
      <c r="M53" s="19"/>
      <c r="N53" s="19"/>
      <c r="O53" s="88">
        <v>0</v>
      </c>
      <c r="P53" s="2"/>
      <c r="Q53" s="2"/>
      <c r="R53" s="2"/>
      <c r="S53" s="2"/>
      <c r="T53" s="2"/>
      <c r="U53" s="2"/>
      <c r="V53" s="2"/>
      <c r="W53" s="2"/>
      <c r="X53" s="2"/>
      <c r="Y53" s="2"/>
      <c r="Z53" s="2"/>
      <c r="AA53" s="2"/>
      <c r="AB53" s="2"/>
      <c r="AC53" s="2"/>
      <c r="AD53" s="2"/>
      <c r="AE53" s="2"/>
      <c r="AF53" s="2"/>
      <c r="AG53" s="2"/>
      <c r="AH53" s="2"/>
      <c r="AI53" s="113">
        <v>10000</v>
      </c>
      <c r="AJ53" s="2"/>
      <c r="AK53" s="2"/>
      <c r="AL53" s="2"/>
      <c r="AM53" s="2"/>
      <c r="AN53" s="28"/>
      <c r="AO53" s="2"/>
      <c r="AP53" s="2"/>
      <c r="AQ53" s="2"/>
      <c r="AR53" s="2"/>
      <c r="AS53" s="2"/>
      <c r="AT53" s="113">
        <f>10000</f>
        <v>10000</v>
      </c>
      <c r="AU53" s="2"/>
      <c r="AV53" s="2"/>
      <c r="AW53" s="2"/>
      <c r="AX53" s="2"/>
      <c r="BA53" s="77"/>
    </row>
    <row r="54" spans="2:61" x14ac:dyDescent="0.25">
      <c r="B54" s="16"/>
      <c r="C54" s="102" t="s">
        <v>81</v>
      </c>
      <c r="D54" s="334">
        <v>0</v>
      </c>
      <c r="E54" s="334">
        <v>0</v>
      </c>
      <c r="F54" s="104">
        <f t="shared" si="1"/>
        <v>87000</v>
      </c>
      <c r="G54" s="255">
        <f t="shared" si="8"/>
        <v>30000</v>
      </c>
      <c r="H54" s="255">
        <f t="shared" si="3"/>
        <v>57000</v>
      </c>
      <c r="I54" s="2"/>
      <c r="J54" s="42"/>
      <c r="K54" s="19"/>
      <c r="L54" s="19"/>
      <c r="M54" s="19"/>
      <c r="N54" s="19"/>
      <c r="O54" s="88">
        <v>0</v>
      </c>
      <c r="P54" s="2"/>
      <c r="Q54" s="2"/>
      <c r="R54" s="2"/>
      <c r="S54" s="2"/>
      <c r="T54" s="2"/>
      <c r="U54" s="2"/>
      <c r="V54" s="2"/>
      <c r="W54" s="2"/>
      <c r="X54" s="2"/>
      <c r="Y54" s="2"/>
      <c r="Z54" s="2"/>
      <c r="AA54" s="2"/>
      <c r="AB54" s="2"/>
      <c r="AC54" s="2"/>
      <c r="AD54" s="2"/>
      <c r="AE54" s="2"/>
      <c r="AF54" s="2"/>
      <c r="AG54" s="2"/>
      <c r="AH54" s="2"/>
      <c r="AI54" s="113">
        <v>30000</v>
      </c>
      <c r="AJ54" s="2"/>
      <c r="AK54" s="2"/>
      <c r="AL54" s="2"/>
      <c r="AM54" s="2"/>
      <c r="AN54" s="28"/>
      <c r="AO54" s="2"/>
      <c r="AP54" s="113">
        <f>30000</f>
        <v>30000</v>
      </c>
      <c r="AQ54" s="2"/>
      <c r="AR54" s="2"/>
      <c r="AT54" s="113"/>
      <c r="AU54" s="2"/>
      <c r="AV54" s="2"/>
      <c r="AW54" s="113"/>
      <c r="AX54" s="113"/>
      <c r="AY54" s="57"/>
      <c r="AZ54" s="57"/>
      <c r="BA54" s="431">
        <f>2000</f>
        <v>2000</v>
      </c>
      <c r="BB54" s="57"/>
      <c r="BC54" s="57"/>
      <c r="BD54" s="57"/>
      <c r="BE54" s="57">
        <f>25000</f>
        <v>25000</v>
      </c>
    </row>
    <row r="55" spans="2:61" x14ac:dyDescent="0.25">
      <c r="B55" s="16"/>
      <c r="C55" s="102" t="s">
        <v>82</v>
      </c>
      <c r="D55" s="334">
        <v>0</v>
      </c>
      <c r="E55" s="334">
        <v>0</v>
      </c>
      <c r="F55" s="104">
        <f>SUM(O55:BZ55)</f>
        <v>0</v>
      </c>
      <c r="G55" s="255">
        <f t="shared" si="8"/>
        <v>0</v>
      </c>
      <c r="H55" s="255">
        <f t="shared" si="3"/>
        <v>0</v>
      </c>
      <c r="I55" s="2"/>
      <c r="J55" s="42"/>
      <c r="K55" s="19"/>
      <c r="L55" s="19"/>
      <c r="M55" s="19"/>
      <c r="N55" s="19"/>
      <c r="O55" s="88">
        <v>0</v>
      </c>
      <c r="P55" s="2"/>
      <c r="Q55" s="2"/>
      <c r="R55" s="2"/>
      <c r="S55" s="2"/>
      <c r="T55" s="2"/>
      <c r="U55" s="2"/>
      <c r="V55" s="2"/>
      <c r="W55" s="2"/>
      <c r="X55" s="2"/>
      <c r="Y55" s="2"/>
      <c r="Z55" s="2"/>
      <c r="AA55" s="2"/>
      <c r="AB55" s="2"/>
      <c r="AC55" s="2"/>
      <c r="AD55" s="2"/>
      <c r="AE55" s="2"/>
      <c r="AF55" s="2"/>
      <c r="AG55" s="2"/>
      <c r="AH55" s="2"/>
      <c r="AI55" s="2"/>
      <c r="AJ55" s="2"/>
      <c r="AK55" s="2"/>
      <c r="AL55" s="2"/>
      <c r="AM55" s="2"/>
      <c r="AN55" s="28"/>
      <c r="AO55" s="2"/>
      <c r="AP55" s="2"/>
      <c r="AQ55" s="113">
        <v>0</v>
      </c>
      <c r="AR55" s="2"/>
      <c r="AS55" s="2"/>
      <c r="AT55" s="2"/>
      <c r="AU55" s="2"/>
      <c r="AV55" s="2"/>
      <c r="AW55" s="2"/>
      <c r="AX55" s="2"/>
      <c r="BA55" s="77"/>
    </row>
    <row r="56" spans="2:61" x14ac:dyDescent="0.25">
      <c r="B56" s="16"/>
      <c r="C56" s="102" t="s">
        <v>83</v>
      </c>
      <c r="D56" s="334">
        <v>0</v>
      </c>
      <c r="E56" s="334">
        <v>0</v>
      </c>
      <c r="F56" s="104">
        <f t="shared" si="1"/>
        <v>1075.03</v>
      </c>
      <c r="G56" s="255">
        <f t="shared" si="8"/>
        <v>1075.03</v>
      </c>
      <c r="H56" s="255">
        <f t="shared" si="3"/>
        <v>0</v>
      </c>
      <c r="I56" s="2"/>
      <c r="J56" s="42"/>
      <c r="K56" s="19"/>
      <c r="L56" s="19"/>
      <c r="M56" s="19"/>
      <c r="N56" s="19"/>
      <c r="O56" s="88">
        <v>0</v>
      </c>
      <c r="P56" s="2"/>
      <c r="Q56" s="2"/>
      <c r="R56" s="2"/>
      <c r="S56" s="2"/>
      <c r="T56" s="2"/>
      <c r="U56" s="2"/>
      <c r="V56" s="2"/>
      <c r="W56" s="2"/>
      <c r="X56" s="2"/>
      <c r="Y56" s="2"/>
      <c r="Z56" s="2"/>
      <c r="AA56" s="2"/>
      <c r="AB56" s="2"/>
      <c r="AC56" s="2"/>
      <c r="AD56" s="2"/>
      <c r="AE56" s="2"/>
      <c r="AF56" s="2"/>
      <c r="AG56" s="2"/>
      <c r="AH56" s="2"/>
      <c r="AI56" s="2"/>
      <c r="AJ56" s="2"/>
      <c r="AK56" s="113">
        <v>1075.03</v>
      </c>
      <c r="AL56" s="2"/>
      <c r="AM56" s="2"/>
      <c r="AN56" s="28"/>
      <c r="AO56" s="2"/>
      <c r="AP56" s="2"/>
      <c r="AQ56" s="2"/>
      <c r="AR56" s="2"/>
      <c r="AS56" s="2"/>
      <c r="AT56" s="2"/>
      <c r="AU56" s="2"/>
      <c r="AV56" s="2"/>
      <c r="AW56" s="2"/>
      <c r="AX56" s="2"/>
      <c r="BA56" s="77"/>
    </row>
    <row r="57" spans="2:61" x14ac:dyDescent="0.25">
      <c r="B57" s="16"/>
      <c r="C57" s="102" t="s">
        <v>84</v>
      </c>
      <c r="D57" s="334">
        <v>0</v>
      </c>
      <c r="E57" s="334">
        <v>0</v>
      </c>
      <c r="F57" s="104">
        <f t="shared" si="1"/>
        <v>12721.95</v>
      </c>
      <c r="G57" s="255">
        <f t="shared" si="8"/>
        <v>0</v>
      </c>
      <c r="H57" s="255">
        <f t="shared" si="3"/>
        <v>12721.95</v>
      </c>
      <c r="I57" s="2"/>
      <c r="J57" s="42"/>
      <c r="K57" s="19"/>
      <c r="L57" s="19"/>
      <c r="M57" s="19"/>
      <c r="N57" s="19"/>
      <c r="O57" s="88"/>
      <c r="P57" s="2"/>
      <c r="Q57" s="2"/>
      <c r="R57" s="2"/>
      <c r="S57" s="2"/>
      <c r="T57" s="2"/>
      <c r="U57" s="2"/>
      <c r="V57" s="2"/>
      <c r="W57" s="2"/>
      <c r="X57" s="2"/>
      <c r="Y57" s="2"/>
      <c r="Z57" s="2"/>
      <c r="AA57" s="2"/>
      <c r="AB57" s="2"/>
      <c r="AC57" s="2"/>
      <c r="AD57" s="2"/>
      <c r="AE57" s="2"/>
      <c r="AF57" s="2"/>
      <c r="AG57" s="2"/>
      <c r="AH57" s="2"/>
      <c r="AI57" s="2"/>
      <c r="AJ57" s="2"/>
      <c r="AK57" s="113"/>
      <c r="AL57" s="2"/>
      <c r="AM57" s="2"/>
      <c r="AN57" s="28"/>
      <c r="AO57" s="2"/>
      <c r="AP57" s="2"/>
      <c r="AQ57" s="2"/>
      <c r="AR57" s="2"/>
      <c r="AS57" s="2"/>
      <c r="AT57" s="2"/>
      <c r="AU57" s="2"/>
      <c r="AV57" s="2"/>
      <c r="AW57" s="2"/>
      <c r="AX57" s="113">
        <f>1400+600</f>
        <v>2000</v>
      </c>
      <c r="AY57" s="113">
        <f>2200</f>
        <v>2200</v>
      </c>
      <c r="AZ57" s="113">
        <f>1600+121.95+400+800</f>
        <v>2921.95</v>
      </c>
      <c r="BA57" s="5">
        <f>5600</f>
        <v>5600</v>
      </c>
    </row>
    <row r="58" spans="2:61" x14ac:dyDescent="0.25">
      <c r="B58" s="16"/>
      <c r="C58" t="s">
        <v>85</v>
      </c>
      <c r="D58" s="334"/>
      <c r="E58" s="334">
        <v>0</v>
      </c>
      <c r="F58" s="104">
        <f t="shared" si="1"/>
        <v>0</v>
      </c>
      <c r="G58" s="255">
        <f t="shared" si="8"/>
        <v>0</v>
      </c>
      <c r="H58" s="255">
        <f t="shared" si="3"/>
        <v>0</v>
      </c>
      <c r="I58" s="2"/>
      <c r="J58" s="42"/>
      <c r="K58" s="19"/>
      <c r="L58" s="19"/>
      <c r="M58" s="19"/>
      <c r="N58" s="19"/>
      <c r="O58" s="88">
        <v>0</v>
      </c>
      <c r="P58" s="2"/>
      <c r="Q58" s="2"/>
      <c r="R58" s="2"/>
      <c r="S58" s="2"/>
      <c r="T58" s="2"/>
      <c r="U58" s="2"/>
      <c r="V58" s="2"/>
      <c r="W58" s="2"/>
      <c r="X58" s="2"/>
      <c r="Y58" s="2"/>
      <c r="Z58" s="2"/>
      <c r="AA58" s="2"/>
      <c r="AB58" s="2"/>
      <c r="AC58" s="2"/>
      <c r="AD58" s="2"/>
      <c r="AE58" s="2"/>
      <c r="AF58" s="2"/>
      <c r="AG58" s="2"/>
      <c r="AH58" s="2"/>
      <c r="AI58" s="2"/>
      <c r="AJ58" s="2"/>
      <c r="AK58" s="2"/>
      <c r="AL58" s="2"/>
      <c r="AM58" s="2"/>
      <c r="AN58" s="28"/>
      <c r="AO58" s="2"/>
      <c r="AP58" s="2"/>
      <c r="AQ58" s="2"/>
      <c r="AR58" s="2"/>
      <c r="AS58" s="2"/>
      <c r="AT58" s="2"/>
      <c r="AU58" s="2"/>
      <c r="AV58" s="2"/>
      <c r="AW58" s="2"/>
      <c r="AX58" s="2"/>
      <c r="BA58" s="77"/>
    </row>
    <row r="59" spans="2:61" x14ac:dyDescent="0.25">
      <c r="B59" s="16"/>
      <c r="C59" t="s">
        <v>86</v>
      </c>
      <c r="D59" s="334">
        <v>19000</v>
      </c>
      <c r="E59" s="334">
        <v>19000</v>
      </c>
      <c r="F59" s="19">
        <f t="shared" si="1"/>
        <v>19306</v>
      </c>
      <c r="G59" s="19">
        <f t="shared" si="8"/>
        <v>19306</v>
      </c>
      <c r="H59" s="19">
        <f t="shared" si="3"/>
        <v>0</v>
      </c>
      <c r="I59" s="2">
        <f t="shared" si="5"/>
        <v>-306</v>
      </c>
      <c r="J59" s="19"/>
      <c r="K59" s="19"/>
      <c r="L59" s="19"/>
      <c r="M59" s="19"/>
      <c r="N59" s="19"/>
      <c r="O59" s="88">
        <v>19000</v>
      </c>
      <c r="P59" s="2"/>
      <c r="Q59" s="2"/>
      <c r="R59" s="2"/>
      <c r="S59" s="2"/>
      <c r="T59" s="2"/>
      <c r="U59" s="2"/>
      <c r="V59" s="2"/>
      <c r="W59" s="2"/>
      <c r="X59" s="2"/>
      <c r="Y59" s="2"/>
      <c r="Z59" s="2"/>
      <c r="AA59" s="2">
        <f>36+126+144</f>
        <v>306</v>
      </c>
      <c r="AB59" s="2"/>
      <c r="AC59" s="2"/>
      <c r="AD59" s="2"/>
      <c r="AE59" s="2"/>
      <c r="AF59" s="2"/>
      <c r="AG59" s="2"/>
      <c r="AH59" s="2"/>
      <c r="AI59" s="2"/>
      <c r="AJ59" s="2"/>
      <c r="AK59" s="2"/>
      <c r="AL59" s="2"/>
      <c r="AM59" s="2"/>
      <c r="AN59" s="28"/>
      <c r="AO59" s="2"/>
      <c r="AP59" s="2"/>
      <c r="AQ59" s="2"/>
      <c r="AR59" s="2"/>
      <c r="AS59" s="2"/>
      <c r="AT59" s="2"/>
      <c r="AU59" s="2"/>
      <c r="AV59" s="2"/>
      <c r="AW59" s="2"/>
      <c r="AX59" s="2"/>
      <c r="BA59" s="5"/>
    </row>
    <row r="60" spans="2:61" x14ac:dyDescent="0.25">
      <c r="B60" s="16"/>
      <c r="C60" s="102" t="s">
        <v>87</v>
      </c>
      <c r="D60" s="334">
        <v>0</v>
      </c>
      <c r="E60" s="334">
        <v>0</v>
      </c>
      <c r="F60" s="19">
        <f t="shared" si="1"/>
        <v>-7938.87</v>
      </c>
      <c r="G60" s="19">
        <f t="shared" si="8"/>
        <v>0</v>
      </c>
      <c r="H60" s="19">
        <f t="shared" si="3"/>
        <v>-7938.87</v>
      </c>
      <c r="I60" s="2"/>
      <c r="J60" s="19"/>
      <c r="K60" s="19"/>
      <c r="L60" s="19"/>
      <c r="M60" s="19"/>
      <c r="N60" s="19"/>
      <c r="O60" s="88">
        <v>0</v>
      </c>
      <c r="P60" s="2"/>
      <c r="Q60" s="2"/>
      <c r="R60" s="2"/>
      <c r="S60" s="2"/>
      <c r="T60" s="2"/>
      <c r="U60" s="2"/>
      <c r="V60" s="2"/>
      <c r="W60" s="2"/>
      <c r="X60" s="2"/>
      <c r="Y60" s="2"/>
      <c r="Z60" s="2"/>
      <c r="AA60" s="2"/>
      <c r="AB60" s="2"/>
      <c r="AC60" s="2"/>
      <c r="AD60" s="2"/>
      <c r="AE60" s="2"/>
      <c r="AF60" s="2"/>
      <c r="AG60" s="2"/>
      <c r="AH60" s="2"/>
      <c r="AI60" s="2"/>
      <c r="AJ60" s="2"/>
      <c r="AK60" s="2"/>
      <c r="AL60" s="2"/>
      <c r="AM60" s="2"/>
      <c r="AN60" s="28"/>
      <c r="AO60" s="2"/>
      <c r="AP60" s="2"/>
      <c r="AQ60" s="2"/>
      <c r="AR60" s="2"/>
      <c r="AS60" s="2"/>
      <c r="AT60" s="2"/>
      <c r="AU60" s="2"/>
      <c r="AV60" s="2"/>
      <c r="AW60" s="2"/>
      <c r="AX60" s="2"/>
      <c r="AZ60" s="57">
        <f>-7938.87</f>
        <v>-7938.87</v>
      </c>
      <c r="BA60" s="5"/>
    </row>
    <row r="61" spans="2:61" x14ac:dyDescent="0.25">
      <c r="B61" s="257" t="s">
        <v>88</v>
      </c>
      <c r="C61" s="258" t="s">
        <v>89</v>
      </c>
      <c r="D61" s="341">
        <v>394544</v>
      </c>
      <c r="E61" s="341">
        <v>128939.18</v>
      </c>
      <c r="F61" s="259">
        <f t="shared" ref="F61:F68" si="12">SUM(O61:BZ61)</f>
        <v>298131.76000000007</v>
      </c>
      <c r="G61" s="259">
        <f>SUM(O61:AN61)</f>
        <v>219977.78000000003</v>
      </c>
      <c r="H61" s="259">
        <f>SUM(AO61:BZ61)</f>
        <v>78153.98</v>
      </c>
      <c r="I61" s="2">
        <f>D61-F61</f>
        <v>96412.239999999932</v>
      </c>
      <c r="J61" s="42">
        <f>88727.61+3669+650+(46840/2)+12472</f>
        <v>128938.61</v>
      </c>
      <c r="K61" s="19">
        <v>145000</v>
      </c>
      <c r="L61" s="19"/>
      <c r="M61" s="19"/>
      <c r="N61" s="19">
        <f>J61</f>
        <v>128938.61</v>
      </c>
      <c r="O61" s="88">
        <f>2437.7+11906.48</f>
        <v>14344.18</v>
      </c>
      <c r="P61" s="2"/>
      <c r="Q61" s="2"/>
      <c r="R61" s="2"/>
      <c r="S61" s="2"/>
      <c r="T61" s="2"/>
      <c r="U61" s="2"/>
      <c r="V61" s="2"/>
      <c r="W61" s="2"/>
      <c r="X61" s="2"/>
      <c r="Y61" s="113">
        <f>19505.53</f>
        <v>19505.53</v>
      </c>
      <c r="Z61" s="113">
        <v>7197.7</v>
      </c>
      <c r="AA61" s="113">
        <v>5528.75</v>
      </c>
      <c r="AB61" s="113">
        <f>9938.75</f>
        <v>9938.75</v>
      </c>
      <c r="AC61" s="113">
        <v>13498</v>
      </c>
      <c r="AD61" s="113">
        <v>4460</v>
      </c>
      <c r="AE61" s="113">
        <v>11104.49</v>
      </c>
      <c r="AF61" s="113">
        <v>11748.97</v>
      </c>
      <c r="AG61" s="113">
        <v>27690.720000000001</v>
      </c>
      <c r="AH61" s="113">
        <v>11690.25</v>
      </c>
      <c r="AI61" s="113">
        <v>6899.76</v>
      </c>
      <c r="AJ61" s="113">
        <f>3712.03</f>
        <v>3712.03</v>
      </c>
      <c r="AK61" s="113">
        <v>8537.1200000000008</v>
      </c>
      <c r="AL61" s="113">
        <f>2783.15</f>
        <v>2783.15</v>
      </c>
      <c r="AM61" s="113">
        <f>18247.71</f>
        <v>18247.71</v>
      </c>
      <c r="AN61" s="113">
        <f>27978.75+15111.92</f>
        <v>43090.67</v>
      </c>
      <c r="AO61" s="2"/>
      <c r="AP61" s="113">
        <v>4129.3500000000004</v>
      </c>
      <c r="AQ61" s="113">
        <f>6319.55</f>
        <v>6319.55</v>
      </c>
      <c r="AR61" s="113">
        <f>1695.35</f>
        <v>1695.35</v>
      </c>
      <c r="AS61" s="113">
        <f>1121.25</f>
        <v>1121.25</v>
      </c>
      <c r="AT61" s="113">
        <f>1952.25</f>
        <v>1952.25</v>
      </c>
      <c r="AU61" s="113">
        <f>1751.75</f>
        <v>1751.75</v>
      </c>
      <c r="AV61" s="113">
        <f>4513.5</f>
        <v>4513.5</v>
      </c>
      <c r="AW61" s="113">
        <f>6884.01</f>
        <v>6884.01</v>
      </c>
      <c r="AX61" s="113">
        <f>5287.04</f>
        <v>5287.04</v>
      </c>
      <c r="AY61" s="113">
        <f>9489.11</f>
        <v>9489.11</v>
      </c>
      <c r="AZ61" s="113">
        <f>5782.06</f>
        <v>5782.06</v>
      </c>
      <c r="BA61" s="364">
        <f>2158.81</f>
        <v>2158.81</v>
      </c>
      <c r="BB61" s="113">
        <f>7647.42</f>
        <v>7647.42</v>
      </c>
      <c r="BC61" s="113">
        <f>1422.53</f>
        <v>1422.53</v>
      </c>
      <c r="BD61">
        <v>8000</v>
      </c>
      <c r="BI61">
        <f>7300+2700</f>
        <v>10000</v>
      </c>
    </row>
    <row r="62" spans="2:61" ht="17.649999999999999" customHeight="1" x14ac:dyDescent="0.25">
      <c r="B62" s="8"/>
      <c r="C62" t="s">
        <v>90</v>
      </c>
      <c r="D62" s="334">
        <v>0</v>
      </c>
      <c r="E62" s="334">
        <v>150000</v>
      </c>
      <c r="F62" s="19">
        <f t="shared" si="12"/>
        <v>172982.57</v>
      </c>
      <c r="G62" s="19">
        <f t="shared" si="8"/>
        <v>59609.41</v>
      </c>
      <c r="H62" s="19">
        <f>SUM(AO62:BZ62)</f>
        <v>113373.16</v>
      </c>
      <c r="I62" s="2">
        <f>D62-F62</f>
        <v>-172982.57</v>
      </c>
      <c r="J62" s="42"/>
      <c r="K62" s="19"/>
      <c r="L62" s="19"/>
      <c r="M62" s="19"/>
      <c r="N62" s="19"/>
      <c r="O62" s="88">
        <v>0</v>
      </c>
      <c r="P62" s="2"/>
      <c r="Q62" s="2"/>
      <c r="R62" s="2"/>
      <c r="S62" s="2"/>
      <c r="T62" s="2"/>
      <c r="U62" s="2"/>
      <c r="V62" s="2"/>
      <c r="W62" s="2"/>
      <c r="X62" s="2"/>
      <c r="Y62" s="2"/>
      <c r="Z62" s="2"/>
      <c r="AA62" s="2"/>
      <c r="AB62" s="2"/>
      <c r="AC62" s="113">
        <v>14974.37</v>
      </c>
      <c r="AD62" s="113">
        <v>8357.5</v>
      </c>
      <c r="AE62" s="113">
        <v>7500.1</v>
      </c>
      <c r="AF62" s="113">
        <v>5306.35</v>
      </c>
      <c r="AG62" s="113">
        <v>3729.5</v>
      </c>
      <c r="AH62" s="113">
        <v>1681.25</v>
      </c>
      <c r="AI62" s="113">
        <f>2408.75</f>
        <v>2408.75</v>
      </c>
      <c r="AJ62" s="113">
        <f>3000+1957.5</f>
        <v>4957.5</v>
      </c>
      <c r="AK62" s="113">
        <f>1335</f>
        <v>1335</v>
      </c>
      <c r="AL62" s="113">
        <f>792.5</f>
        <v>792.5</v>
      </c>
      <c r="AM62" s="113">
        <f>451.25+1211.65</f>
        <v>1662.9</v>
      </c>
      <c r="AN62" s="113">
        <f>6903.69</f>
        <v>6903.69</v>
      </c>
      <c r="AO62" s="113">
        <f>5898.75</f>
        <v>5898.75</v>
      </c>
      <c r="AP62" s="113">
        <f>4356.5</f>
        <v>4356.5</v>
      </c>
      <c r="AQ62" s="113">
        <f>4900.25</f>
        <v>4900.25</v>
      </c>
      <c r="AR62" s="113">
        <f>6160.5</f>
        <v>6160.5</v>
      </c>
      <c r="AS62" s="113">
        <f>5160</f>
        <v>5160</v>
      </c>
      <c r="AT62" s="113">
        <f>7191.25</f>
        <v>7191.25</v>
      </c>
      <c r="AU62" s="113">
        <f>5752.5</f>
        <v>5752.5</v>
      </c>
      <c r="AV62" s="113">
        <f>4387</f>
        <v>4387</v>
      </c>
      <c r="AW62" s="113">
        <f>7578.75</f>
        <v>7578.75</v>
      </c>
      <c r="AX62" s="113">
        <f>2208.75</f>
        <v>2208.75</v>
      </c>
      <c r="AY62" s="113">
        <f>7889+3</f>
        <v>7892</v>
      </c>
      <c r="AZ62" s="113">
        <f>6990.75-5387.34</f>
        <v>1603.4099999999999</v>
      </c>
      <c r="BA62" s="364">
        <f>3269</f>
        <v>3269</v>
      </c>
      <c r="BB62" s="113">
        <f>1840</f>
        <v>1840</v>
      </c>
      <c r="BC62" s="113">
        <f>1922.5</f>
        <v>1922.5</v>
      </c>
      <c r="BD62" s="2">
        <f>3132.75+119.25</f>
        <v>3252</v>
      </c>
      <c r="BE62" s="2">
        <v>10000</v>
      </c>
      <c r="BF62" s="2">
        <v>10000</v>
      </c>
      <c r="BG62" s="2">
        <v>10000</v>
      </c>
      <c r="BH62" s="2">
        <v>10000</v>
      </c>
    </row>
    <row r="63" spans="2:61" x14ac:dyDescent="0.25">
      <c r="B63" s="16"/>
      <c r="C63" t="s">
        <v>91</v>
      </c>
      <c r="D63" s="334">
        <v>0</v>
      </c>
      <c r="E63" s="334">
        <v>525000</v>
      </c>
      <c r="F63" s="19">
        <f t="shared" si="12"/>
        <v>538675.1</v>
      </c>
      <c r="G63" s="19">
        <f>SUM(O63:AN63)</f>
        <v>13500</v>
      </c>
      <c r="H63" s="19">
        <f>SUM(AO63:BZ63)</f>
        <v>525175.1</v>
      </c>
      <c r="I63" s="2">
        <f>D63-F63</f>
        <v>-538675.1</v>
      </c>
      <c r="J63" s="42"/>
      <c r="K63" s="19"/>
      <c r="L63" s="19"/>
      <c r="M63" s="19"/>
      <c r="N63" s="19"/>
      <c r="O63" s="88">
        <v>0</v>
      </c>
      <c r="P63" s="2"/>
      <c r="Q63" s="2"/>
      <c r="R63" s="2"/>
      <c r="S63" s="2"/>
      <c r="T63" s="2"/>
      <c r="U63" s="2"/>
      <c r="V63" s="2"/>
      <c r="W63" s="2"/>
      <c r="X63" s="2"/>
      <c r="Y63" s="2"/>
      <c r="Z63" s="2"/>
      <c r="AA63" s="2"/>
      <c r="AB63" s="2"/>
      <c r="AC63" s="113">
        <v>10000</v>
      </c>
      <c r="AD63" s="2"/>
      <c r="AE63" s="2"/>
      <c r="AF63" s="2"/>
      <c r="AG63" s="2"/>
      <c r="AH63" s="2"/>
      <c r="AI63" s="2"/>
      <c r="AJ63" s="113">
        <v>3000</v>
      </c>
      <c r="AK63" s="2"/>
      <c r="AL63" s="2"/>
      <c r="AM63" s="2"/>
      <c r="AN63" s="113">
        <v>500</v>
      </c>
      <c r="AO63" s="2"/>
      <c r="AP63" s="2"/>
      <c r="AQ63" s="113">
        <f>500</f>
        <v>500</v>
      </c>
      <c r="AR63" s="2"/>
      <c r="AS63" s="2"/>
      <c r="AT63" s="2"/>
      <c r="AU63" s="113">
        <f>1200</f>
        <v>1200</v>
      </c>
      <c r="AV63" s="2"/>
      <c r="AW63" s="2"/>
      <c r="AX63" s="113">
        <f>1418.85+56.25</f>
        <v>1475.1</v>
      </c>
      <c r="AY63" s="113">
        <f>1000+1000</f>
        <v>2000</v>
      </c>
      <c r="BA63" s="5"/>
      <c r="BC63" s="429">
        <v>300000</v>
      </c>
      <c r="BD63" s="429">
        <v>220000</v>
      </c>
    </row>
    <row r="64" spans="2:61" x14ac:dyDescent="0.25">
      <c r="B64" s="17"/>
      <c r="C64" s="6" t="s">
        <v>92</v>
      </c>
      <c r="D64" s="335">
        <v>0</v>
      </c>
      <c r="E64" s="335">
        <v>105000</v>
      </c>
      <c r="F64" s="20">
        <f t="shared" si="12"/>
        <v>66657</v>
      </c>
      <c r="G64" s="20">
        <f>SUM(O64:AN64)</f>
        <v>0</v>
      </c>
      <c r="H64" s="20">
        <f>SUM(AO64:BZ64)</f>
        <v>66657</v>
      </c>
      <c r="I64" s="2">
        <f>D64-F64</f>
        <v>-66657</v>
      </c>
      <c r="J64" s="42"/>
      <c r="K64" s="19"/>
      <c r="L64" s="19"/>
      <c r="M64" s="19"/>
      <c r="N64" s="19"/>
      <c r="O64" s="88">
        <v>0</v>
      </c>
      <c r="P64" s="2"/>
      <c r="Q64" s="2"/>
      <c r="R64" s="2"/>
      <c r="S64" s="2"/>
      <c r="T64" s="2"/>
      <c r="U64" s="2"/>
      <c r="V64" s="2"/>
      <c r="W64" s="2"/>
      <c r="X64" s="2"/>
      <c r="Y64" s="2"/>
      <c r="Z64" s="2"/>
      <c r="AA64" s="2"/>
      <c r="AB64" s="2"/>
      <c r="AC64" s="2"/>
      <c r="AD64" s="2"/>
      <c r="AE64" s="2"/>
      <c r="AF64" s="2"/>
      <c r="AG64" s="2"/>
      <c r="AH64" s="2"/>
      <c r="AI64" s="2"/>
      <c r="AJ64" s="2"/>
      <c r="AK64" s="2"/>
      <c r="AL64" s="2"/>
      <c r="AM64" s="2"/>
      <c r="AN64" s="28"/>
      <c r="AO64" s="2"/>
      <c r="AP64" s="2"/>
      <c r="AQ64" s="113">
        <f>3300</f>
        <v>3300</v>
      </c>
      <c r="AR64" s="2"/>
      <c r="AS64" s="2"/>
      <c r="AT64" s="2"/>
      <c r="AU64" s="2"/>
      <c r="AV64" s="2"/>
      <c r="AW64" s="2"/>
      <c r="AX64" s="2"/>
      <c r="AY64" s="2"/>
      <c r="AZ64" s="113">
        <f>6500+52+105</f>
        <v>6657</v>
      </c>
      <c r="BA64" s="5">
        <f>3500</f>
        <v>3500</v>
      </c>
      <c r="BB64">
        <v>20000</v>
      </c>
      <c r="BC64" s="2">
        <v>20000</v>
      </c>
      <c r="BD64" s="2">
        <v>13200</v>
      </c>
    </row>
    <row r="65" spans="2:54" x14ac:dyDescent="0.25">
      <c r="B65" s="13" t="s">
        <v>93</v>
      </c>
      <c r="C65" s="6" t="s">
        <v>94</v>
      </c>
      <c r="D65" s="342">
        <v>390489</v>
      </c>
      <c r="E65" s="342">
        <v>344717.39799999993</v>
      </c>
      <c r="F65" s="20">
        <f t="shared" si="12"/>
        <v>0</v>
      </c>
      <c r="G65" s="20">
        <v>0</v>
      </c>
      <c r="H65" s="20">
        <f t="shared" si="3"/>
        <v>0</v>
      </c>
      <c r="I65" s="2">
        <f t="shared" si="5"/>
        <v>390489</v>
      </c>
      <c r="K65" s="19"/>
      <c r="L65" s="19"/>
      <c r="M65" s="19"/>
      <c r="N65" s="19">
        <f>SUM(N16:N59)*0.1</f>
        <v>153976.65</v>
      </c>
      <c r="O65" s="88">
        <v>0</v>
      </c>
      <c r="P65" s="2">
        <f t="shared" ref="P65:X65" si="13">SUM(P14:P59)*0.1</f>
        <v>0</v>
      </c>
      <c r="Q65" s="2">
        <f t="shared" si="13"/>
        <v>0</v>
      </c>
      <c r="R65" s="2">
        <f t="shared" si="13"/>
        <v>0</v>
      </c>
      <c r="S65" s="2">
        <f t="shared" si="13"/>
        <v>0</v>
      </c>
      <c r="T65" s="2">
        <f t="shared" si="13"/>
        <v>0</v>
      </c>
      <c r="U65" s="2">
        <f t="shared" si="13"/>
        <v>0</v>
      </c>
      <c r="V65" s="2">
        <f t="shared" si="13"/>
        <v>0</v>
      </c>
      <c r="W65" s="2">
        <f t="shared" si="13"/>
        <v>0</v>
      </c>
      <c r="X65" s="2">
        <f t="shared" si="13"/>
        <v>0</v>
      </c>
      <c r="Y65" s="2">
        <v>0</v>
      </c>
      <c r="Z65" s="2">
        <v>0</v>
      </c>
      <c r="AA65" s="2">
        <v>0</v>
      </c>
      <c r="AB65" s="2">
        <v>0</v>
      </c>
      <c r="AC65" s="2">
        <v>0</v>
      </c>
      <c r="AD65" s="2">
        <v>0</v>
      </c>
      <c r="AE65" s="2">
        <v>0</v>
      </c>
      <c r="AF65" s="2">
        <v>0</v>
      </c>
      <c r="AG65" s="2">
        <v>0</v>
      </c>
      <c r="AH65" s="2">
        <v>0</v>
      </c>
      <c r="AI65" s="2">
        <v>0</v>
      </c>
      <c r="AJ65" s="2">
        <v>0</v>
      </c>
      <c r="AK65" s="2">
        <v>0</v>
      </c>
      <c r="AL65" s="2">
        <v>0</v>
      </c>
      <c r="AM65" s="2">
        <v>0</v>
      </c>
      <c r="AN65" s="28">
        <v>0</v>
      </c>
      <c r="AO65" s="2">
        <v>0</v>
      </c>
      <c r="AP65" s="2">
        <v>0</v>
      </c>
      <c r="AQ65" s="2">
        <v>0</v>
      </c>
      <c r="AR65" s="2">
        <v>0</v>
      </c>
      <c r="AS65" s="2">
        <v>0</v>
      </c>
      <c r="AT65" s="2">
        <v>0</v>
      </c>
      <c r="AU65" s="2">
        <v>0</v>
      </c>
      <c r="AV65" s="2">
        <v>0</v>
      </c>
      <c r="AW65" s="2">
        <v>0</v>
      </c>
      <c r="AX65" s="2">
        <v>0</v>
      </c>
      <c r="AY65" s="2">
        <v>0</v>
      </c>
      <c r="AZ65" s="2">
        <v>0</v>
      </c>
      <c r="BA65" s="5">
        <v>0</v>
      </c>
    </row>
    <row r="66" spans="2:54" x14ac:dyDescent="0.25">
      <c r="B66" s="14" t="s">
        <v>95</v>
      </c>
      <c r="C66" s="15"/>
      <c r="D66" s="336">
        <f>SUM(O66:BA66)</f>
        <v>30000</v>
      </c>
      <c r="E66" s="336">
        <v>30000</v>
      </c>
      <c r="F66" s="21">
        <f t="shared" si="12"/>
        <v>30000</v>
      </c>
      <c r="G66" s="19">
        <f t="shared" si="8"/>
        <v>0</v>
      </c>
      <c r="H66" s="21">
        <f t="shared" si="3"/>
        <v>30000</v>
      </c>
      <c r="I66" s="2">
        <f t="shared" si="5"/>
        <v>0</v>
      </c>
      <c r="J66" s="19"/>
      <c r="K66" s="19"/>
      <c r="L66" s="19"/>
      <c r="M66" s="19"/>
      <c r="N66" s="19"/>
      <c r="O66" s="88"/>
      <c r="P66" s="2"/>
      <c r="Q66" s="2"/>
      <c r="R66" s="2"/>
      <c r="S66" s="2"/>
      <c r="T66" s="2"/>
      <c r="U66" s="2"/>
      <c r="V66" s="2"/>
      <c r="W66" s="2"/>
      <c r="X66" s="2"/>
      <c r="Y66" s="2"/>
      <c r="Z66" s="2"/>
      <c r="AA66" s="2"/>
      <c r="AB66" s="2"/>
      <c r="AC66" s="2"/>
      <c r="AD66" s="2"/>
      <c r="AE66" s="2"/>
      <c r="AF66" s="2"/>
      <c r="AG66" s="2"/>
      <c r="AH66" s="2"/>
      <c r="AI66" s="2"/>
      <c r="AJ66" s="2"/>
      <c r="AK66" s="2"/>
      <c r="AL66" s="2"/>
      <c r="AM66" s="2"/>
      <c r="AN66" s="28"/>
      <c r="AO66" s="2"/>
      <c r="AP66" s="2"/>
      <c r="AQ66" s="2"/>
      <c r="AR66" s="2"/>
      <c r="AS66" s="2"/>
      <c r="AT66" s="2"/>
      <c r="AU66" s="2"/>
      <c r="AV66" s="2"/>
      <c r="AW66" s="2"/>
      <c r="AX66" s="2"/>
      <c r="AY66" s="2">
        <v>20000</v>
      </c>
      <c r="AZ66" s="2">
        <v>10000</v>
      </c>
      <c r="BA66" s="5"/>
    </row>
    <row r="67" spans="2:54" x14ac:dyDescent="0.25">
      <c r="B67" s="14" t="s">
        <v>96</v>
      </c>
      <c r="C67" s="15"/>
      <c r="D67" s="336">
        <f>SUM(O67:BA67)</f>
        <v>7661</v>
      </c>
      <c r="E67" s="350">
        <v>30000</v>
      </c>
      <c r="F67" s="21">
        <f t="shared" si="12"/>
        <v>30000</v>
      </c>
      <c r="G67" s="21">
        <f t="shared" si="8"/>
        <v>2761</v>
      </c>
      <c r="H67" s="21">
        <f t="shared" si="3"/>
        <v>27239</v>
      </c>
      <c r="I67" s="2">
        <f t="shared" si="5"/>
        <v>-22339</v>
      </c>
      <c r="J67" s="76"/>
      <c r="K67" s="76"/>
      <c r="L67" s="19"/>
      <c r="M67" s="19"/>
      <c r="N67" s="19"/>
      <c r="O67" s="88">
        <v>1735</v>
      </c>
      <c r="P67" s="2"/>
      <c r="Q67" s="2"/>
      <c r="R67" s="2"/>
      <c r="S67" s="2"/>
      <c r="T67" s="2"/>
      <c r="U67" s="2"/>
      <c r="V67" s="2"/>
      <c r="W67" s="2"/>
      <c r="X67" s="2"/>
      <c r="Y67" s="2"/>
      <c r="Z67" s="113">
        <v>513</v>
      </c>
      <c r="AA67" s="2"/>
      <c r="AB67" s="2"/>
      <c r="AC67" s="2"/>
      <c r="AD67" s="2"/>
      <c r="AE67" s="2"/>
      <c r="AF67" s="2"/>
      <c r="AG67" s="2"/>
      <c r="AH67" s="2"/>
      <c r="AI67" s="2"/>
      <c r="AJ67" s="2"/>
      <c r="AK67" s="2"/>
      <c r="AL67" s="2"/>
      <c r="AM67" s="113">
        <f>500+13</f>
        <v>513</v>
      </c>
      <c r="AN67" s="28"/>
      <c r="AO67" s="2"/>
      <c r="AP67" s="2"/>
      <c r="AQ67" s="2"/>
      <c r="AR67" s="2"/>
      <c r="AS67" s="2"/>
      <c r="AT67" s="2"/>
      <c r="AU67" s="2"/>
      <c r="AV67" s="2"/>
      <c r="AW67" s="2"/>
      <c r="AX67" s="113">
        <f>900</f>
        <v>900</v>
      </c>
      <c r="AY67">
        <v>750</v>
      </c>
      <c r="AZ67">
        <v>1375</v>
      </c>
      <c r="BA67" s="5">
        <v>1875</v>
      </c>
      <c r="BB67">
        <v>22339</v>
      </c>
    </row>
    <row r="68" spans="2:54" s="72" customFormat="1" ht="15.75" thickBot="1" x14ac:dyDescent="0.3">
      <c r="B68" s="168" t="s">
        <v>97</v>
      </c>
      <c r="C68" s="169"/>
      <c r="D68" s="343">
        <f>SUM(I68:AZ68)</f>
        <v>30000</v>
      </c>
      <c r="E68" s="351">
        <v>30000</v>
      </c>
      <c r="F68" s="167">
        <f t="shared" si="12"/>
        <v>30000</v>
      </c>
      <c r="G68" s="167">
        <f t="shared" si="8"/>
        <v>0</v>
      </c>
      <c r="H68" s="167">
        <f t="shared" si="3"/>
        <v>30000</v>
      </c>
      <c r="I68" s="74"/>
      <c r="J68" s="73"/>
      <c r="K68" s="73"/>
      <c r="L68" s="73"/>
      <c r="M68" s="73"/>
      <c r="N68" s="73"/>
      <c r="O68" s="89"/>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5"/>
      <c r="AO68" s="74"/>
      <c r="AP68" s="74"/>
      <c r="AQ68" s="74"/>
      <c r="AR68" s="74"/>
      <c r="AS68" s="74">
        <v>5000</v>
      </c>
      <c r="AT68" s="74">
        <v>5000</v>
      </c>
      <c r="AU68" s="74">
        <v>5000</v>
      </c>
      <c r="AV68" s="74">
        <v>5000</v>
      </c>
      <c r="AW68" s="74">
        <v>5000</v>
      </c>
      <c r="AX68" s="74">
        <v>5000</v>
      </c>
      <c r="BA68" s="5"/>
    </row>
    <row r="69" spans="2:54" ht="15.75" thickBot="1" x14ac:dyDescent="0.3">
      <c r="B69" s="11" t="s">
        <v>98</v>
      </c>
      <c r="C69" s="12"/>
      <c r="D69" s="344">
        <v>4295388</v>
      </c>
      <c r="E69" s="344">
        <f>SUM(E5:E67)</f>
        <v>5133808.2780000009</v>
      </c>
      <c r="F69" s="22">
        <f>SUM(F5:F67)</f>
        <v>7298344.6199999992</v>
      </c>
      <c r="G69" s="22">
        <f>SUM(G5:G67)</f>
        <v>3758309.6500000004</v>
      </c>
      <c r="H69" s="22">
        <f>SUM(H5:H67)</f>
        <v>3540034.97</v>
      </c>
      <c r="I69" s="2"/>
      <c r="J69" s="2"/>
      <c r="K69" s="2"/>
      <c r="L69" s="2"/>
      <c r="M69" s="2"/>
      <c r="N69" s="2">
        <f t="shared" ref="N69:AX69" si="14">SUM(N5:N68)</f>
        <v>1867706.76</v>
      </c>
      <c r="O69" s="88">
        <f t="shared" si="14"/>
        <v>911607.86</v>
      </c>
      <c r="P69" s="2">
        <f t="shared" si="14"/>
        <v>0</v>
      </c>
      <c r="Q69" s="2">
        <f t="shared" si="14"/>
        <v>0</v>
      </c>
      <c r="R69" s="2">
        <f t="shared" si="14"/>
        <v>0</v>
      </c>
      <c r="S69" s="2">
        <f t="shared" si="14"/>
        <v>0</v>
      </c>
      <c r="T69" s="2">
        <f t="shared" si="14"/>
        <v>0</v>
      </c>
      <c r="U69" s="2">
        <f t="shared" si="14"/>
        <v>0</v>
      </c>
      <c r="V69" s="2">
        <f t="shared" si="14"/>
        <v>0</v>
      </c>
      <c r="W69" s="2">
        <f t="shared" si="14"/>
        <v>0</v>
      </c>
      <c r="X69" s="2">
        <f t="shared" si="14"/>
        <v>0</v>
      </c>
      <c r="Y69" s="2">
        <f t="shared" si="14"/>
        <v>54040.2</v>
      </c>
      <c r="Z69" s="2">
        <f t="shared" si="14"/>
        <v>135108.06</v>
      </c>
      <c r="AA69" s="2">
        <f t="shared" si="14"/>
        <v>93387.430000000008</v>
      </c>
      <c r="AB69" s="2">
        <f t="shared" si="14"/>
        <v>25288.02</v>
      </c>
      <c r="AC69" s="2">
        <f t="shared" si="14"/>
        <v>155365.70000000001</v>
      </c>
      <c r="AD69" s="2">
        <f t="shared" si="14"/>
        <v>122442.97</v>
      </c>
      <c r="AE69" s="2">
        <f t="shared" si="14"/>
        <v>233968.99</v>
      </c>
      <c r="AF69" s="2">
        <f t="shared" si="14"/>
        <v>115797.67000000001</v>
      </c>
      <c r="AG69" s="2">
        <f t="shared" si="14"/>
        <v>383876.30000000005</v>
      </c>
      <c r="AH69" s="2">
        <f t="shared" si="14"/>
        <v>347944.02</v>
      </c>
      <c r="AI69" s="2">
        <f t="shared" si="14"/>
        <v>197649.98000000004</v>
      </c>
      <c r="AJ69" s="2">
        <f t="shared" si="14"/>
        <v>129131.18</v>
      </c>
      <c r="AK69" s="2">
        <f t="shared" si="14"/>
        <v>58346.15</v>
      </c>
      <c r="AL69" s="2">
        <f t="shared" si="14"/>
        <v>102277.15</v>
      </c>
      <c r="AM69" s="2">
        <f t="shared" si="14"/>
        <v>187034.61</v>
      </c>
      <c r="AN69" s="28">
        <f t="shared" si="14"/>
        <v>505043.35999999993</v>
      </c>
      <c r="AO69" s="2">
        <f t="shared" si="14"/>
        <v>117555.2</v>
      </c>
      <c r="AP69" s="2">
        <f t="shared" si="14"/>
        <v>92390.87000000001</v>
      </c>
      <c r="AQ69" s="2">
        <f t="shared" si="14"/>
        <v>105800.8</v>
      </c>
      <c r="AR69" s="2">
        <f t="shared" si="14"/>
        <v>59798.049999999996</v>
      </c>
      <c r="AS69" s="2">
        <f t="shared" si="14"/>
        <v>103257.54999999999</v>
      </c>
      <c r="AT69" s="2">
        <f t="shared" si="14"/>
        <v>235724.92</v>
      </c>
      <c r="AU69" s="2">
        <f t="shared" si="14"/>
        <v>80370.25</v>
      </c>
      <c r="AV69" s="2">
        <f t="shared" si="14"/>
        <v>309052.84999999998</v>
      </c>
      <c r="AW69" s="2">
        <f t="shared" si="14"/>
        <v>152564.89000000001</v>
      </c>
      <c r="AX69" s="2">
        <f t="shared" si="14"/>
        <v>123620.22000000002</v>
      </c>
      <c r="BA69" s="5"/>
    </row>
    <row r="70" spans="2:54" ht="15.75" thickBot="1" x14ac:dyDescent="0.3">
      <c r="B70" s="9" t="s">
        <v>99</v>
      </c>
      <c r="C70" s="38">
        <v>624</v>
      </c>
      <c r="D70" s="345"/>
      <c r="E70" s="345"/>
      <c r="F70" s="36"/>
      <c r="G70" s="36"/>
      <c r="H70" s="36"/>
      <c r="I70" s="2"/>
      <c r="J70" s="2"/>
      <c r="K70" s="2"/>
      <c r="L70" s="2"/>
      <c r="M70" s="2"/>
      <c r="N70" s="2"/>
      <c r="O70" s="88"/>
      <c r="P70" s="2"/>
      <c r="Q70" s="2"/>
      <c r="R70" s="2"/>
      <c r="S70" s="2"/>
      <c r="T70" s="2"/>
      <c r="U70" s="2"/>
      <c r="V70" s="2"/>
      <c r="W70" s="2"/>
      <c r="X70" s="2"/>
      <c r="Y70" s="2"/>
      <c r="Z70" s="2"/>
      <c r="AA70" s="2"/>
      <c r="AB70" s="2"/>
      <c r="AC70" s="2"/>
      <c r="AD70" s="2"/>
      <c r="AE70" s="2"/>
      <c r="AF70" s="2"/>
      <c r="AG70" s="2"/>
      <c r="AH70" s="2"/>
      <c r="AI70" s="2"/>
      <c r="AJ70" s="2"/>
      <c r="AK70" s="2"/>
      <c r="AL70" s="2"/>
      <c r="AM70" s="2"/>
      <c r="AN70" s="28"/>
      <c r="AO70" s="2"/>
      <c r="AP70" s="2"/>
      <c r="AQ70" s="2"/>
      <c r="AR70" s="2"/>
      <c r="AS70" s="2"/>
      <c r="AT70" s="2"/>
      <c r="AU70" s="2"/>
      <c r="AV70" s="2"/>
      <c r="AW70" s="2"/>
      <c r="AX70" s="2"/>
      <c r="BA70" s="5"/>
    </row>
    <row r="71" spans="2:54" ht="15.75" thickBot="1" x14ac:dyDescent="0.3">
      <c r="B71" s="35" t="s">
        <v>100</v>
      </c>
      <c r="C71" s="10"/>
      <c r="D71" s="345">
        <f>D69/C70</f>
        <v>6883.6346153846152</v>
      </c>
      <c r="E71" s="345">
        <f>E69/C70</f>
        <v>8227.2568557692321</v>
      </c>
      <c r="F71" s="23">
        <f>F69/C70</f>
        <v>11696.065096153845</v>
      </c>
      <c r="G71" s="23"/>
      <c r="H71" s="23"/>
      <c r="I71" s="69"/>
      <c r="J71" s="69"/>
      <c r="K71" s="69"/>
      <c r="L71" s="69"/>
      <c r="M71" s="69"/>
      <c r="N71" s="69"/>
      <c r="O71" s="90"/>
      <c r="P71" s="6"/>
      <c r="Q71" s="6"/>
      <c r="R71" s="6"/>
      <c r="S71" s="6"/>
      <c r="T71" s="6"/>
      <c r="U71" s="6"/>
      <c r="V71" s="6"/>
      <c r="W71" s="6"/>
      <c r="X71" s="6"/>
      <c r="Y71" s="6"/>
      <c r="Z71" s="6"/>
      <c r="AA71" s="6"/>
      <c r="AB71" s="6"/>
      <c r="AC71" s="6"/>
      <c r="AD71" s="6"/>
      <c r="AE71" s="6"/>
      <c r="AF71" s="6"/>
      <c r="AG71" s="6"/>
      <c r="AH71" s="6"/>
      <c r="AI71" s="6"/>
      <c r="AJ71" s="6"/>
      <c r="AK71" s="6"/>
      <c r="AL71" s="6"/>
      <c r="AM71" s="6"/>
      <c r="AN71" s="29"/>
      <c r="AO71" s="6"/>
      <c r="AP71" s="6"/>
      <c r="AQ71" s="6"/>
      <c r="AR71" s="6"/>
      <c r="AS71" s="6"/>
      <c r="AT71" s="6"/>
      <c r="AU71" s="6"/>
      <c r="AV71" s="6"/>
      <c r="AW71" s="6"/>
      <c r="AX71" s="6"/>
      <c r="AY71" s="6"/>
      <c r="AZ71" s="6"/>
      <c r="BA71" s="7"/>
    </row>
    <row r="72" spans="2:54" x14ac:dyDescent="0.25">
      <c r="AB72" s="34" t="s">
        <v>101</v>
      </c>
      <c r="AC72" s="2">
        <f>SUM(O69:AC69)</f>
        <v>1374797.2699999998</v>
      </c>
    </row>
    <row r="73" spans="2:54" x14ac:dyDescent="0.25">
      <c r="C73" t="s">
        <v>102</v>
      </c>
      <c r="F73">
        <v>3904899</v>
      </c>
      <c r="AV73" s="2"/>
    </row>
    <row r="74" spans="2:54" x14ac:dyDescent="0.25">
      <c r="C74" t="s">
        <v>103</v>
      </c>
      <c r="F74" s="2">
        <f>F73-F69</f>
        <v>-3393445.6199999992</v>
      </c>
      <c r="G74" s="2"/>
      <c r="H74" s="2"/>
    </row>
    <row r="75" spans="2:54" x14ac:dyDescent="0.25">
      <c r="H75" s="2">
        <f>+F69</f>
        <v>7298344.6199999992</v>
      </c>
      <c r="T75" s="2"/>
      <c r="U75" s="2"/>
      <c r="V75" s="2"/>
      <c r="W75" s="2"/>
      <c r="X75" s="2"/>
      <c r="Y75" s="2"/>
      <c r="Z75" s="2"/>
      <c r="AA75" s="2"/>
      <c r="AB75" s="2"/>
      <c r="AC75" s="2"/>
      <c r="AD75" s="2"/>
      <c r="AE75" s="2"/>
      <c r="AF75" s="2"/>
      <c r="AG75" s="2"/>
      <c r="AH75" s="2"/>
      <c r="AI75" s="2"/>
      <c r="AJ75" s="2"/>
      <c r="AK75" s="2"/>
      <c r="AL75" s="2"/>
      <c r="AM75" s="2"/>
      <c r="AN75" s="28"/>
      <c r="AO75" s="2"/>
      <c r="AP75" s="2"/>
      <c r="AQ75" s="2"/>
      <c r="AR75" s="2"/>
      <c r="AS75" s="2"/>
      <c r="AT75" s="2"/>
      <c r="AU75" s="2"/>
      <c r="AV75" s="2"/>
      <c r="AW75" s="2"/>
      <c r="AX75" s="5"/>
      <c r="AY75" s="451"/>
      <c r="AZ75" s="451"/>
      <c r="BA75" s="451"/>
    </row>
    <row r="76" spans="2:54" hidden="1" x14ac:dyDescent="0.25">
      <c r="D76" s="330">
        <f>SUM(D5:D59,D67,D66)</f>
        <v>3488016.04</v>
      </c>
    </row>
    <row r="77" spans="2:54" hidden="1" x14ac:dyDescent="0.25">
      <c r="D77" s="330">
        <f>D69-D65</f>
        <v>3904899</v>
      </c>
    </row>
    <row r="78" spans="2:54" x14ac:dyDescent="0.25">
      <c r="C78" s="1" t="s">
        <v>104</v>
      </c>
      <c r="H78" s="2">
        <v>650000</v>
      </c>
    </row>
    <row r="79" spans="2:54" x14ac:dyDescent="0.25">
      <c r="C79" t="s">
        <v>105</v>
      </c>
      <c r="F79" s="20">
        <f t="shared" ref="F79" si="15">SUM(O79:BA79)</f>
        <v>26221.74</v>
      </c>
      <c r="G79" s="2"/>
      <c r="H79" s="2">
        <f>SUM(H75:H78)</f>
        <v>7948344.6199999992</v>
      </c>
      <c r="O79" s="88">
        <v>26221.74</v>
      </c>
    </row>
    <row r="80" spans="2:54" x14ac:dyDescent="0.25">
      <c r="C80" t="s">
        <v>106</v>
      </c>
      <c r="F80">
        <v>1000</v>
      </c>
      <c r="H80" s="2"/>
    </row>
    <row r="81" spans="4:8" x14ac:dyDescent="0.25">
      <c r="D81" s="330">
        <f>D77-D76</f>
        <v>416882.95999999996</v>
      </c>
      <c r="H81" s="2"/>
    </row>
    <row r="84" spans="4:8" x14ac:dyDescent="0.25">
      <c r="E84" s="330">
        <f>+E66+E65+SUM(E14:E61)-E38+E11+E8+E6+E5</f>
        <v>2481808.2780000004</v>
      </c>
    </row>
  </sheetData>
  <autoFilter ref="B4:BA74" xr:uid="{EEFEFFCB-842E-4927-A5CA-CB458B596008}"/>
  <phoneticPr fontId="5" type="noConversion"/>
  <pageMargins left="0.25" right="0.25" top="0.75" bottom="0.75" header="0.3" footer="0.3"/>
  <pageSetup paperSize="9" scale="14"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D925-8E75-4BFE-8B57-2F7F63F0277D}">
  <sheetPr>
    <pageSetUpPr autoPageBreaks="0"/>
  </sheetPr>
  <dimension ref="B1:BK89"/>
  <sheetViews>
    <sheetView showGridLines="0" zoomScale="80" zoomScaleNormal="80" workbookViewId="0">
      <pane xSplit="9" ySplit="4" topLeftCell="J5" activePane="bottomRight" state="frozen"/>
      <selection pane="topRight" activeCell="I1" sqref="I1"/>
      <selection pane="bottomLeft" activeCell="A5" sqref="A5"/>
      <selection pane="bottomRight" activeCell="A30" sqref="A30:XFD30"/>
    </sheetView>
  </sheetViews>
  <sheetFormatPr defaultRowHeight="15" x14ac:dyDescent="0.25"/>
  <cols>
    <col min="1" max="1" width="4.42578125" customWidth="1"/>
    <col min="2" max="2" width="44.5703125" bestFit="1" customWidth="1"/>
    <col min="3" max="3" width="28.42578125" customWidth="1"/>
    <col min="4" max="4" width="37.5703125" customWidth="1"/>
    <col min="5" max="6" width="25.5703125" hidden="1" customWidth="1"/>
    <col min="7" max="8" width="25.5703125" customWidth="1"/>
    <col min="9" max="9" width="25.7109375" customWidth="1"/>
    <col min="10" max="12" width="27.5703125" customWidth="1"/>
    <col min="13" max="13" width="14.42578125" customWidth="1"/>
    <col min="14" max="14" width="12.5703125" customWidth="1"/>
    <col min="15" max="16" width="11" customWidth="1"/>
    <col min="17" max="17" width="20.5703125" customWidth="1"/>
    <col min="18" max="18" width="14" style="86" customWidth="1"/>
    <col min="20" max="20" width="9.42578125" customWidth="1"/>
    <col min="22" max="22" width="8.5703125" style="30"/>
    <col min="29" max="29" width="8.5703125" customWidth="1"/>
    <col min="39" max="39" width="15" bestFit="1" customWidth="1"/>
    <col min="42" max="42" width="15" style="26" bestFit="1" customWidth="1"/>
  </cols>
  <sheetData>
    <row r="1" spans="2:62" x14ac:dyDescent="0.25">
      <c r="AP1" s="26">
        <v>2023</v>
      </c>
    </row>
    <row r="2" spans="2:62" x14ac:dyDescent="0.25">
      <c r="B2" s="1" t="s">
        <v>107</v>
      </c>
      <c r="C2" s="1"/>
      <c r="R2" s="70">
        <v>44197</v>
      </c>
      <c r="S2" s="70">
        <v>44228</v>
      </c>
      <c r="T2" s="70">
        <v>44256</v>
      </c>
      <c r="U2" s="70">
        <v>44287</v>
      </c>
      <c r="V2" s="70">
        <v>44317</v>
      </c>
      <c r="W2" s="71">
        <v>44377</v>
      </c>
      <c r="X2" s="71">
        <v>44408</v>
      </c>
      <c r="Y2" s="71">
        <v>44439</v>
      </c>
      <c r="Z2" s="71">
        <v>44469</v>
      </c>
      <c r="AA2" s="71">
        <v>44500</v>
      </c>
      <c r="AB2" s="71">
        <v>44530</v>
      </c>
      <c r="AC2" s="71">
        <v>44561</v>
      </c>
      <c r="AD2" s="71">
        <v>44592</v>
      </c>
      <c r="AE2" s="71">
        <v>44620</v>
      </c>
      <c r="AF2" s="71">
        <v>44651</v>
      </c>
      <c r="AG2" s="71">
        <v>44681</v>
      </c>
      <c r="AH2" s="71">
        <v>44712</v>
      </c>
      <c r="AI2" s="71">
        <v>44742</v>
      </c>
      <c r="AJ2" s="71">
        <v>44773</v>
      </c>
      <c r="AK2" s="71">
        <v>44804</v>
      </c>
      <c r="AL2" s="71">
        <v>44834</v>
      </c>
      <c r="AM2" s="71">
        <v>44865</v>
      </c>
      <c r="AN2" s="71">
        <v>44895</v>
      </c>
      <c r="AO2" s="71">
        <v>44926</v>
      </c>
      <c r="AP2" s="71">
        <v>44957</v>
      </c>
      <c r="AQ2" s="71">
        <v>44985</v>
      </c>
      <c r="AR2" s="71">
        <v>45016</v>
      </c>
      <c r="AS2" s="71">
        <v>45046</v>
      </c>
      <c r="AT2" s="71">
        <v>45077</v>
      </c>
      <c r="AU2" s="71">
        <v>45107</v>
      </c>
      <c r="AV2" s="71">
        <v>45138</v>
      </c>
      <c r="AW2" s="71">
        <v>45169</v>
      </c>
      <c r="AX2" s="71">
        <v>45199</v>
      </c>
      <c r="AY2" s="71">
        <v>45230</v>
      </c>
      <c r="AZ2" s="71">
        <v>45260</v>
      </c>
      <c r="BA2" s="71">
        <v>45291</v>
      </c>
      <c r="BB2" s="71">
        <v>45322</v>
      </c>
      <c r="BC2" s="71">
        <v>45351</v>
      </c>
      <c r="BD2" s="71">
        <v>45382</v>
      </c>
      <c r="BE2" s="71">
        <v>45412</v>
      </c>
      <c r="BF2" s="71">
        <v>45443</v>
      </c>
      <c r="BG2" s="71">
        <v>45473</v>
      </c>
      <c r="BH2" s="71">
        <v>45504</v>
      </c>
      <c r="BI2" s="71">
        <v>45535</v>
      </c>
      <c r="BJ2" s="71">
        <v>45565</v>
      </c>
    </row>
    <row r="3" spans="2:62" ht="15.75" thickBot="1" x14ac:dyDescent="0.3">
      <c r="S3" t="s">
        <v>14</v>
      </c>
      <c r="V3" s="30" t="s">
        <v>108</v>
      </c>
      <c r="AP3" s="26" t="s">
        <v>15</v>
      </c>
      <c r="BD3" t="s">
        <v>109</v>
      </c>
      <c r="BJ3" t="s">
        <v>110</v>
      </c>
    </row>
    <row r="4" spans="2:62" ht="30.75" thickBot="1" x14ac:dyDescent="0.3">
      <c r="B4" s="11" t="s">
        <v>16</v>
      </c>
      <c r="C4" s="12" t="s">
        <v>111</v>
      </c>
      <c r="D4" s="12" t="s">
        <v>17</v>
      </c>
      <c r="E4" s="51" t="s">
        <v>112</v>
      </c>
      <c r="F4" s="12" t="s">
        <v>113</v>
      </c>
      <c r="G4" s="18" t="s">
        <v>114</v>
      </c>
      <c r="H4" s="18" t="s">
        <v>19</v>
      </c>
      <c r="I4" s="18" t="s">
        <v>20</v>
      </c>
      <c r="J4" s="18" t="s">
        <v>21</v>
      </c>
      <c r="K4" s="18" t="s">
        <v>22</v>
      </c>
      <c r="L4" s="93" t="s">
        <v>115</v>
      </c>
      <c r="M4" s="18" t="s">
        <v>24</v>
      </c>
      <c r="N4" s="18" t="s">
        <v>25</v>
      </c>
      <c r="O4" s="18" t="s">
        <v>26</v>
      </c>
      <c r="P4" s="18" t="s">
        <v>27</v>
      </c>
      <c r="Q4" s="93" t="s">
        <v>28</v>
      </c>
      <c r="R4" s="96" t="s">
        <v>116</v>
      </c>
      <c r="S4" s="3">
        <v>1</v>
      </c>
      <c r="T4" s="3">
        <v>2</v>
      </c>
      <c r="U4" s="3">
        <v>3</v>
      </c>
      <c r="V4" s="31">
        <v>4</v>
      </c>
      <c r="W4" s="3">
        <v>5</v>
      </c>
      <c r="X4" s="3">
        <v>6</v>
      </c>
      <c r="Y4" s="3">
        <v>7</v>
      </c>
      <c r="Z4" s="3">
        <v>8</v>
      </c>
      <c r="AA4" s="3">
        <v>9</v>
      </c>
      <c r="AB4" s="3">
        <v>10</v>
      </c>
      <c r="AC4" s="3">
        <v>11</v>
      </c>
      <c r="AD4" s="3">
        <v>12</v>
      </c>
      <c r="AE4" s="3">
        <v>13</v>
      </c>
      <c r="AF4" s="3">
        <v>14</v>
      </c>
      <c r="AG4" s="3">
        <v>15</v>
      </c>
      <c r="AH4" s="3">
        <v>16</v>
      </c>
      <c r="AI4" s="3">
        <v>17</v>
      </c>
      <c r="AJ4" s="3">
        <v>18</v>
      </c>
      <c r="AK4" s="3">
        <v>19</v>
      </c>
      <c r="AL4" s="3">
        <v>20</v>
      </c>
      <c r="AM4" s="3">
        <v>21</v>
      </c>
      <c r="AN4" s="3">
        <v>22</v>
      </c>
      <c r="AO4" s="3">
        <v>23</v>
      </c>
      <c r="AP4" s="27">
        <v>24</v>
      </c>
      <c r="AQ4" s="3">
        <v>25</v>
      </c>
      <c r="AR4" s="3">
        <v>26</v>
      </c>
      <c r="AS4" s="3">
        <v>27</v>
      </c>
      <c r="AT4" s="3">
        <v>28</v>
      </c>
      <c r="AU4" s="3">
        <v>29</v>
      </c>
      <c r="AV4" s="3">
        <v>30</v>
      </c>
      <c r="AW4" s="3">
        <v>31</v>
      </c>
      <c r="AX4" s="3">
        <v>32</v>
      </c>
      <c r="AY4" s="3">
        <v>33</v>
      </c>
      <c r="AZ4" s="3">
        <v>34</v>
      </c>
      <c r="BA4" s="3">
        <v>35</v>
      </c>
      <c r="BB4" s="4">
        <v>36</v>
      </c>
    </row>
    <row r="5" spans="2:62" x14ac:dyDescent="0.25">
      <c r="B5" s="8" t="s">
        <v>29</v>
      </c>
      <c r="D5" t="s">
        <v>30</v>
      </c>
      <c r="E5" s="52"/>
      <c r="G5" s="67">
        <v>65000</v>
      </c>
      <c r="H5" s="67">
        <v>115000</v>
      </c>
      <c r="I5" s="19">
        <f>SUM(R5:CB5)</f>
        <v>65400</v>
      </c>
      <c r="J5" s="19">
        <f>SUM(R5:AP5)</f>
        <v>65400</v>
      </c>
      <c r="K5" s="19">
        <f>SUM(AQ5:CD5)</f>
        <v>0</v>
      </c>
      <c r="L5" s="19">
        <f>G5-I5</f>
        <v>-400</v>
      </c>
      <c r="M5" s="19"/>
      <c r="N5" s="19"/>
      <c r="O5" s="19"/>
      <c r="P5" s="19"/>
      <c r="Q5" s="19"/>
      <c r="R5" s="88">
        <f>65400</f>
        <v>65400</v>
      </c>
      <c r="S5" s="2"/>
      <c r="T5" s="2"/>
      <c r="U5" s="2"/>
      <c r="V5" s="32"/>
      <c r="W5" s="2"/>
      <c r="X5" s="2"/>
      <c r="Y5" s="2"/>
      <c r="Z5" s="2"/>
      <c r="AA5" s="2"/>
      <c r="AB5" s="2"/>
      <c r="AC5" s="2"/>
      <c r="AD5" s="2"/>
      <c r="AE5" s="2"/>
      <c r="AF5" s="2"/>
      <c r="AG5" s="2"/>
      <c r="AH5" s="2"/>
      <c r="AI5" s="2"/>
      <c r="AJ5" s="2"/>
      <c r="AK5" s="2"/>
      <c r="AL5" s="2"/>
      <c r="AM5" s="2"/>
      <c r="AN5" s="2"/>
      <c r="AO5" s="2"/>
      <c r="AP5" s="28"/>
      <c r="AQ5" s="2"/>
      <c r="AR5" s="2"/>
      <c r="AS5" s="2"/>
      <c r="AT5" s="2"/>
      <c r="AU5" s="2"/>
      <c r="AV5" s="2"/>
      <c r="AW5" s="2"/>
      <c r="AX5" s="2"/>
      <c r="AY5" s="2"/>
      <c r="AZ5" s="2"/>
      <c r="BA5" s="2"/>
      <c r="BB5" s="5"/>
    </row>
    <row r="6" spans="2:62" x14ac:dyDescent="0.25">
      <c r="B6" s="8"/>
      <c r="C6" t="s">
        <v>117</v>
      </c>
      <c r="D6" s="102" t="s">
        <v>31</v>
      </c>
      <c r="E6" s="105"/>
      <c r="F6" s="102"/>
      <c r="G6" s="103">
        <v>25000</v>
      </c>
      <c r="H6" s="104">
        <v>31078.22</v>
      </c>
      <c r="I6" s="104">
        <f>SUM(R6:CB6)</f>
        <v>44669.939999999995</v>
      </c>
      <c r="J6" s="104">
        <f t="shared" ref="J6:J58" si="0">SUM(R6:AP6)</f>
        <v>42807.679999999986</v>
      </c>
      <c r="K6" s="104">
        <f t="shared" ref="K6:K8" si="1">SUM(AQ6:CD6)</f>
        <v>1862.26</v>
      </c>
      <c r="L6" s="19">
        <f t="shared" ref="L6:L64" si="2">G6-I6</f>
        <v>-19669.939999999995</v>
      </c>
      <c r="M6" s="42">
        <v>45025</v>
      </c>
      <c r="N6" s="19"/>
      <c r="O6" s="19"/>
      <c r="P6" s="19"/>
      <c r="Q6" s="19">
        <f>M6</f>
        <v>45025</v>
      </c>
      <c r="R6" s="88">
        <f>1964.41+2834.79+6922.05+11513.84+3377.52+3352.64+575.07</f>
        <v>30540.32</v>
      </c>
      <c r="S6" s="2"/>
      <c r="T6" s="2"/>
      <c r="U6" s="2"/>
      <c r="V6" s="32"/>
      <c r="W6" s="2"/>
      <c r="X6" s="2"/>
      <c r="Y6" s="2"/>
      <c r="Z6" s="2"/>
      <c r="AA6" s="2"/>
      <c r="AB6" s="2"/>
      <c r="AC6" s="2"/>
      <c r="AD6" s="113">
        <v>537.9</v>
      </c>
      <c r="AE6" s="113">
        <v>1235.21</v>
      </c>
      <c r="AF6" s="113">
        <v>621.27</v>
      </c>
      <c r="AG6" s="113">
        <v>892.34</v>
      </c>
      <c r="AH6" s="113">
        <v>621.27</v>
      </c>
      <c r="AI6" s="113">
        <v>613.95000000000005</v>
      </c>
      <c r="AJ6" s="113">
        <v>482.07</v>
      </c>
      <c r="AK6" s="113">
        <v>3932.72</v>
      </c>
      <c r="AL6" s="113">
        <v>1181.51</v>
      </c>
      <c r="AM6" s="113">
        <f>819.34</f>
        <v>819.34</v>
      </c>
      <c r="AN6" s="113">
        <v>1166.6500000000001</v>
      </c>
      <c r="AO6" s="2"/>
      <c r="AP6" s="113">
        <f>163.13</f>
        <v>163.13</v>
      </c>
      <c r="AQ6" s="2"/>
      <c r="AR6" s="113">
        <f>947.01</f>
        <v>947.01</v>
      </c>
      <c r="AS6" s="113">
        <f>113.25</f>
        <v>113.25</v>
      </c>
      <c r="AT6" s="113">
        <f>56.63</f>
        <v>56.63</v>
      </c>
      <c r="AU6" s="2"/>
      <c r="AV6" s="113">
        <f>459.3</f>
        <v>459.3</v>
      </c>
      <c r="AW6" s="113">
        <f>119.55</f>
        <v>119.55</v>
      </c>
      <c r="AX6" s="113">
        <f>56.63-6.3</f>
        <v>50.330000000000005</v>
      </c>
      <c r="AY6" s="2"/>
      <c r="AZ6" s="2"/>
      <c r="BA6" s="2"/>
      <c r="BB6" s="5"/>
      <c r="BC6" s="57">
        <v>116.19</v>
      </c>
    </row>
    <row r="7" spans="2:62" x14ac:dyDescent="0.25">
      <c r="B7" s="8"/>
      <c r="C7" t="s">
        <v>118</v>
      </c>
      <c r="D7" t="s">
        <v>32</v>
      </c>
      <c r="E7" s="52"/>
      <c r="G7" s="67">
        <v>25000</v>
      </c>
      <c r="H7" s="19">
        <v>25000</v>
      </c>
      <c r="I7" s="19">
        <f t="shared" ref="I7:I58" si="3">SUM(R7:CB7)</f>
        <v>18000</v>
      </c>
      <c r="J7" s="19">
        <f t="shared" si="0"/>
        <v>53737.5</v>
      </c>
      <c r="K7" s="19">
        <f t="shared" si="1"/>
        <v>-35737.5</v>
      </c>
      <c r="L7" s="19">
        <f t="shared" si="2"/>
        <v>7000</v>
      </c>
      <c r="M7" s="42"/>
      <c r="N7" s="19"/>
      <c r="O7" s="19"/>
      <c r="P7" s="19"/>
      <c r="Q7" s="19"/>
      <c r="R7" s="88">
        <v>0</v>
      </c>
      <c r="S7" s="2"/>
      <c r="T7" s="2"/>
      <c r="U7" s="2"/>
      <c r="V7" s="32"/>
      <c r="W7" s="2"/>
      <c r="X7" s="2"/>
      <c r="Y7" s="2"/>
      <c r="Z7" s="2"/>
      <c r="AA7" s="2"/>
      <c r="AB7" s="2"/>
      <c r="AC7" s="2"/>
      <c r="AD7" s="113">
        <v>3000</v>
      </c>
      <c r="AE7" s="2"/>
      <c r="AF7" s="2"/>
      <c r="AG7" s="2"/>
      <c r="AH7" s="113">
        <f>60885/1.2</f>
        <v>50737.5</v>
      </c>
      <c r="AI7" s="2"/>
      <c r="AJ7" s="2"/>
      <c r="AK7" s="2"/>
      <c r="AL7" s="2"/>
      <c r="AM7" s="2"/>
      <c r="AN7" s="2"/>
      <c r="AO7" s="2"/>
      <c r="AP7" s="28"/>
      <c r="AQ7" s="2"/>
      <c r="AR7" s="2"/>
      <c r="AS7" s="113">
        <f>-50737.5</f>
        <v>-50737.5</v>
      </c>
      <c r="AT7" s="2"/>
      <c r="AU7" s="2"/>
      <c r="AV7" s="2"/>
      <c r="AW7" s="2"/>
      <c r="AX7" s="2"/>
      <c r="AY7" s="2"/>
      <c r="AZ7" s="2"/>
      <c r="BA7" s="2"/>
      <c r="BB7" s="5"/>
      <c r="BE7" s="2">
        <v>15000</v>
      </c>
    </row>
    <row r="8" spans="2:62" x14ac:dyDescent="0.25">
      <c r="B8" s="8"/>
      <c r="D8" t="s">
        <v>33</v>
      </c>
      <c r="E8" s="52"/>
      <c r="G8" s="67">
        <v>0</v>
      </c>
      <c r="H8" s="19">
        <f>1220*3</f>
        <v>3660</v>
      </c>
      <c r="I8" s="19">
        <f t="shared" si="3"/>
        <v>53700</v>
      </c>
      <c r="J8" s="19">
        <f t="shared" si="0"/>
        <v>900</v>
      </c>
      <c r="K8" s="19">
        <f t="shared" si="1"/>
        <v>52800</v>
      </c>
      <c r="L8" s="19">
        <f t="shared" si="2"/>
        <v>-53700</v>
      </c>
      <c r="M8" s="42"/>
      <c r="N8" s="19"/>
      <c r="O8" s="19"/>
      <c r="P8" s="19"/>
      <c r="Q8" s="19"/>
      <c r="R8" s="88">
        <v>0</v>
      </c>
      <c r="S8" s="2"/>
      <c r="T8" s="2"/>
      <c r="U8" s="2"/>
      <c r="V8" s="32"/>
      <c r="W8" s="2"/>
      <c r="X8" s="2"/>
      <c r="Y8" s="2"/>
      <c r="Z8" s="2"/>
      <c r="AA8" s="2"/>
      <c r="AB8" s="2"/>
      <c r="AC8" s="2"/>
      <c r="AD8" s="2"/>
      <c r="AE8" s="2"/>
      <c r="AF8" s="2"/>
      <c r="AG8" s="2"/>
      <c r="AH8" s="2"/>
      <c r="AI8" s="2"/>
      <c r="AJ8" s="2"/>
      <c r="AK8" s="113">
        <v>300</v>
      </c>
      <c r="AL8" s="113">
        <f>300+300</f>
        <v>600</v>
      </c>
      <c r="AM8" s="2"/>
      <c r="AN8" s="2"/>
      <c r="AO8" s="2"/>
      <c r="AP8" s="28"/>
      <c r="AQ8" s="2"/>
      <c r="AR8" s="2"/>
      <c r="AS8" s="2"/>
      <c r="AT8" s="2"/>
      <c r="AU8" s="2"/>
      <c r="AV8" s="2"/>
      <c r="AW8" s="2"/>
      <c r="AX8" s="2"/>
      <c r="AY8" s="2"/>
      <c r="AZ8" s="2"/>
      <c r="BA8" s="2"/>
      <c r="BB8" s="5"/>
      <c r="BI8" s="2">
        <v>15000</v>
      </c>
      <c r="BJ8" s="2">
        <f>630*600*0.1</f>
        <v>37800</v>
      </c>
    </row>
    <row r="9" spans="2:62" x14ac:dyDescent="0.25">
      <c r="B9" s="13"/>
      <c r="C9" s="6" t="s">
        <v>119</v>
      </c>
      <c r="D9" s="6" t="s">
        <v>34</v>
      </c>
      <c r="E9" s="53"/>
      <c r="F9" s="6"/>
      <c r="G9" s="68">
        <v>0</v>
      </c>
      <c r="H9" s="67">
        <v>0</v>
      </c>
      <c r="I9" s="19">
        <f t="shared" si="3"/>
        <v>88760.73</v>
      </c>
      <c r="J9" s="19">
        <f t="shared" si="0"/>
        <v>23264.03</v>
      </c>
      <c r="K9" s="19">
        <f>SUM(AQ9:CD9)</f>
        <v>65496.7</v>
      </c>
      <c r="L9" s="19">
        <f>G9-I9</f>
        <v>-88760.73</v>
      </c>
      <c r="M9" s="20"/>
      <c r="N9" s="20"/>
      <c r="O9" s="20"/>
      <c r="P9" s="20"/>
      <c r="Q9" s="20"/>
      <c r="R9" s="88">
        <v>0</v>
      </c>
      <c r="S9" s="2"/>
      <c r="T9" s="2"/>
      <c r="U9" s="2"/>
      <c r="V9" s="32"/>
      <c r="W9" s="2"/>
      <c r="X9" s="2"/>
      <c r="Y9" s="2"/>
      <c r="Z9" s="2"/>
      <c r="AA9" s="2"/>
      <c r="AB9" s="2"/>
      <c r="AC9" s="2"/>
      <c r="AD9" s="2"/>
      <c r="AE9" s="2"/>
      <c r="AF9" s="2"/>
      <c r="AG9" s="2"/>
      <c r="AH9" s="2"/>
      <c r="AI9" s="2"/>
      <c r="AJ9" s="113">
        <v>14886.69</v>
      </c>
      <c r="AK9" s="2"/>
      <c r="AL9" s="113">
        <f>2977.34+1800+1800+1800</f>
        <v>8377.34</v>
      </c>
      <c r="AM9" s="2"/>
      <c r="AN9" s="2"/>
      <c r="AO9" s="2"/>
      <c r="AP9" s="28"/>
      <c r="AQ9" s="2"/>
      <c r="AR9" s="113">
        <f>29228.32</f>
        <v>29228.32</v>
      </c>
      <c r="AS9" s="2"/>
      <c r="AT9" s="2"/>
      <c r="AU9" s="2"/>
      <c r="AV9" s="2"/>
      <c r="AW9" s="2"/>
      <c r="AX9" s="113">
        <f>36268.38</f>
        <v>36268.379999999997</v>
      </c>
      <c r="AY9" s="2"/>
      <c r="AZ9" s="2"/>
      <c r="BA9" s="2"/>
      <c r="BB9" s="5"/>
    </row>
    <row r="10" spans="2:62" x14ac:dyDescent="0.25">
      <c r="B10" s="14" t="s">
        <v>35</v>
      </c>
      <c r="C10" s="15"/>
      <c r="D10" s="15"/>
      <c r="E10" s="54"/>
      <c r="F10" s="15"/>
      <c r="G10" s="21">
        <v>150000</v>
      </c>
      <c r="H10" s="21">
        <v>151500</v>
      </c>
      <c r="I10" s="21">
        <f t="shared" si="3"/>
        <v>166128.79999999999</v>
      </c>
      <c r="J10" s="21">
        <f t="shared" si="0"/>
        <v>160664.4</v>
      </c>
      <c r="K10" s="21">
        <f t="shared" ref="K10:K63" si="4">SUM(AQ10:CD10)</f>
        <v>5464.4</v>
      </c>
      <c r="L10" s="21">
        <f t="shared" si="2"/>
        <v>-16128.799999999988</v>
      </c>
      <c r="M10" s="21"/>
      <c r="N10" s="21"/>
      <c r="O10" s="21"/>
      <c r="P10" s="21"/>
      <c r="Q10" s="21"/>
      <c r="R10" s="88">
        <v>150000</v>
      </c>
      <c r="S10" s="2"/>
      <c r="T10" s="2"/>
      <c r="U10" s="2"/>
      <c r="V10" s="32"/>
      <c r="W10" s="2"/>
      <c r="X10" s="2"/>
      <c r="Y10" s="2"/>
      <c r="Z10" s="2"/>
      <c r="AA10" s="2"/>
      <c r="AB10" s="2"/>
      <c r="AC10" s="2"/>
      <c r="AD10" s="113">
        <v>1500</v>
      </c>
      <c r="AE10" s="2"/>
      <c r="AF10" s="113">
        <v>768</v>
      </c>
      <c r="AG10" s="113">
        <v>5306.8</v>
      </c>
      <c r="AH10" s="2"/>
      <c r="AI10" s="113">
        <v>1578.4</v>
      </c>
      <c r="AJ10" s="2"/>
      <c r="AK10" s="113">
        <v>1511.2</v>
      </c>
      <c r="AL10" s="2"/>
      <c r="AM10" s="2"/>
      <c r="AN10" s="2"/>
      <c r="AO10" s="2"/>
      <c r="AP10" s="28"/>
      <c r="AQ10" s="2"/>
      <c r="AR10" s="113">
        <f>5464.4</f>
        <v>5464.4</v>
      </c>
      <c r="AS10" s="2"/>
      <c r="AT10" s="2"/>
      <c r="AU10" s="2"/>
      <c r="AV10" s="2"/>
      <c r="AW10" s="2"/>
      <c r="AX10" s="2"/>
      <c r="AY10" s="2"/>
      <c r="AZ10" s="2"/>
      <c r="BA10" s="2"/>
      <c r="BB10" s="5"/>
    </row>
    <row r="11" spans="2:62" x14ac:dyDescent="0.25">
      <c r="B11" s="109" t="s">
        <v>40</v>
      </c>
      <c r="C11" s="110" t="s">
        <v>105</v>
      </c>
      <c r="D11" s="110"/>
      <c r="E11" s="111"/>
      <c r="F11" s="110">
        <v>128000</v>
      </c>
      <c r="G11" s="112">
        <v>400000</v>
      </c>
      <c r="H11" s="112">
        <v>410397</v>
      </c>
      <c r="I11" s="112">
        <f t="shared" si="3"/>
        <v>1156885.6233333331</v>
      </c>
      <c r="J11" s="112">
        <f t="shared" si="0"/>
        <v>551398.84</v>
      </c>
      <c r="K11" s="112">
        <f t="shared" si="4"/>
        <v>605486.78333333344</v>
      </c>
      <c r="L11" s="61">
        <f t="shared" si="2"/>
        <v>-756885.62333333306</v>
      </c>
      <c r="M11" s="21"/>
      <c r="N11" s="21"/>
      <c r="O11" s="21"/>
      <c r="P11" s="21"/>
      <c r="Q11" s="21">
        <f>I11</f>
        <v>1156885.6233333331</v>
      </c>
      <c r="R11" s="88">
        <v>146043</v>
      </c>
      <c r="S11" s="2"/>
      <c r="T11" s="2"/>
      <c r="U11" s="2"/>
      <c r="V11" s="32"/>
      <c r="W11" s="2"/>
      <c r="X11" s="2"/>
      <c r="Y11" s="2"/>
      <c r="Z11" s="2"/>
      <c r="AA11" s="2"/>
      <c r="AB11" s="2"/>
      <c r="AC11" s="113">
        <v>19685</v>
      </c>
      <c r="AD11" s="113">
        <v>19685</v>
      </c>
      <c r="AE11" s="113">
        <v>19685</v>
      </c>
      <c r="AF11" s="2"/>
      <c r="AG11" s="113">
        <f>17685+1377.38</f>
        <v>19062.38</v>
      </c>
      <c r="AH11" s="113">
        <f>19500+1635.55</f>
        <v>21135.55</v>
      </c>
      <c r="AI11" s="113">
        <f>19500+10300</f>
        <v>29800</v>
      </c>
      <c r="AJ11" s="113">
        <f>19500+548.86+2500</f>
        <v>22548.86</v>
      </c>
      <c r="AK11" s="113">
        <v>19500</v>
      </c>
      <c r="AL11" s="113">
        <f>19500+2200.17</f>
        <v>21700.17</v>
      </c>
      <c r="AM11" s="113">
        <f>19500+1105.08</f>
        <v>20605.080000000002</v>
      </c>
      <c r="AN11" s="113">
        <f>6612+34896.25</f>
        <v>41508.25</v>
      </c>
      <c r="AO11" s="113">
        <v>42804.75</v>
      </c>
      <c r="AP11" s="113">
        <f>52709.75+53899+1027.05</f>
        <v>107635.8</v>
      </c>
      <c r="AQ11" s="113">
        <f>5500</f>
        <v>5500</v>
      </c>
      <c r="AR11" s="113">
        <f>18895.5</f>
        <v>18895.5</v>
      </c>
      <c r="AS11" s="113">
        <f>9579.25</f>
        <v>9579.25</v>
      </c>
      <c r="AT11" s="113">
        <f>22580+4280.69</f>
        <v>26860.69</v>
      </c>
      <c r="AU11" s="113">
        <f>53054.5</f>
        <v>53054.5</v>
      </c>
      <c r="AV11" s="113">
        <f>55899.95</f>
        <v>55899.95</v>
      </c>
      <c r="AW11" s="113">
        <f>34147.45</f>
        <v>34147.449999999997</v>
      </c>
      <c r="AX11" s="113">
        <f>33157.5+1753.22</f>
        <v>34910.720000000001</v>
      </c>
      <c r="AY11" s="113">
        <f>55206</f>
        <v>55206</v>
      </c>
      <c r="AZ11" s="113">
        <f>65795.76</f>
        <v>65795.759999999995</v>
      </c>
      <c r="BA11" s="113">
        <f>55586</f>
        <v>55586</v>
      </c>
      <c r="BB11" s="364">
        <f>34736+376.2+17148.75</f>
        <v>52260.95</v>
      </c>
      <c r="BC11" s="113">
        <f>35030.18</f>
        <v>35030.18</v>
      </c>
      <c r="BD11" s="113">
        <f>50695+12835+7581</f>
        <v>71111</v>
      </c>
      <c r="BE11" s="113">
        <f>15329</f>
        <v>15329</v>
      </c>
      <c r="BF11" s="2"/>
      <c r="BG11" s="2"/>
      <c r="BH11" s="2"/>
      <c r="BI11" s="2">
        <f>2986.5+10000</f>
        <v>12986.5</v>
      </c>
      <c r="BJ11" s="2">
        <f t="shared" ref="BJ11" si="5">20000/6</f>
        <v>3333.3333333333335</v>
      </c>
    </row>
    <row r="12" spans="2:62" x14ac:dyDescent="0.25">
      <c r="B12" s="356" t="s">
        <v>41</v>
      </c>
      <c r="C12" s="102" t="s">
        <v>120</v>
      </c>
      <c r="D12" s="102"/>
      <c r="E12" s="333">
        <v>0</v>
      </c>
      <c r="F12" s="333">
        <v>0</v>
      </c>
      <c r="G12" s="112">
        <f>SUM(P12:CA12)</f>
        <v>0</v>
      </c>
      <c r="H12" s="112">
        <f>SUM(P12:AO12)</f>
        <v>0</v>
      </c>
      <c r="I12" s="255">
        <f>SUM(AP12:CA12)</f>
        <v>0</v>
      </c>
      <c r="J12" s="112">
        <f t="shared" si="0"/>
        <v>0</v>
      </c>
      <c r="K12" s="112">
        <f t="shared" si="4"/>
        <v>0</v>
      </c>
      <c r="L12" s="19">
        <f>G12-I12</f>
        <v>0</v>
      </c>
      <c r="M12" s="19"/>
      <c r="N12" s="19"/>
      <c r="O12" s="19"/>
      <c r="P12" s="21"/>
      <c r="Q12" s="2"/>
      <c r="R12" s="88">
        <v>0</v>
      </c>
      <c r="S12" s="2"/>
      <c r="T12" s="2"/>
      <c r="U12" s="2"/>
      <c r="V12" s="32"/>
      <c r="W12" s="2"/>
      <c r="X12" s="2"/>
      <c r="Y12" s="2"/>
      <c r="Z12" s="2"/>
      <c r="AA12" s="2"/>
      <c r="AB12" s="2"/>
      <c r="AC12" s="2"/>
      <c r="AD12" s="2"/>
      <c r="AE12" s="2"/>
      <c r="AF12" s="2"/>
      <c r="AG12" s="2"/>
      <c r="AH12" s="2"/>
      <c r="AI12" s="2"/>
      <c r="AJ12" s="2"/>
      <c r="AK12" s="2"/>
      <c r="AL12" s="2"/>
      <c r="AM12" s="2"/>
      <c r="AN12" s="2"/>
      <c r="AO12" s="2"/>
      <c r="AP12" s="28"/>
      <c r="AQ12" s="2"/>
      <c r="AR12" s="2"/>
      <c r="AS12" s="2"/>
      <c r="AT12" s="2"/>
      <c r="AU12" s="2"/>
      <c r="AV12" s="2"/>
      <c r="AW12" s="2"/>
      <c r="BA12" s="2"/>
      <c r="BB12" s="5"/>
      <c r="BC12" s="2"/>
      <c r="BD12" s="2"/>
      <c r="BE12" s="2"/>
      <c r="BF12" s="2"/>
      <c r="BG12" s="2"/>
      <c r="BH12" s="2"/>
      <c r="BI12" s="2"/>
    </row>
    <row r="13" spans="2:62" ht="24" customHeight="1" x14ac:dyDescent="0.25">
      <c r="B13" s="24" t="s">
        <v>37</v>
      </c>
      <c r="C13" s="97" t="s">
        <v>121</v>
      </c>
      <c r="D13" s="114" t="s">
        <v>38</v>
      </c>
      <c r="E13" s="116"/>
      <c r="F13" s="114"/>
      <c r="G13" s="115">
        <v>78000</v>
      </c>
      <c r="H13" s="115">
        <v>100000</v>
      </c>
      <c r="I13" s="115">
        <f t="shared" si="3"/>
        <v>162112.25</v>
      </c>
      <c r="J13" s="115">
        <f t="shared" si="0"/>
        <v>35197.25</v>
      </c>
      <c r="K13" s="115">
        <f t="shared" si="4"/>
        <v>126915</v>
      </c>
      <c r="L13" s="25">
        <f t="shared" si="2"/>
        <v>-84112.25</v>
      </c>
      <c r="M13" s="25"/>
      <c r="N13" s="25"/>
      <c r="O13" s="25"/>
      <c r="P13" s="21"/>
      <c r="Q13" s="25"/>
      <c r="R13" s="88">
        <v>0</v>
      </c>
      <c r="S13" s="2"/>
      <c r="T13" s="2"/>
      <c r="U13" s="2"/>
      <c r="V13" s="32"/>
      <c r="W13" s="2"/>
      <c r="X13" s="2"/>
      <c r="Y13" s="2"/>
      <c r="Z13" s="2"/>
      <c r="AA13" s="2"/>
      <c r="AB13" s="2"/>
      <c r="AC13" s="2"/>
      <c r="AD13" s="2"/>
      <c r="AE13" s="2"/>
      <c r="AF13" s="2"/>
      <c r="AG13" s="2"/>
      <c r="AH13" s="113">
        <v>6423.25</v>
      </c>
      <c r="AI13" s="2"/>
      <c r="AJ13" s="2"/>
      <c r="AK13" s="2"/>
      <c r="AL13" s="113">
        <v>9672</v>
      </c>
      <c r="AM13" s="2"/>
      <c r="AO13" s="2"/>
      <c r="AP13" s="113">
        <f>13437+5665</f>
        <v>19102</v>
      </c>
      <c r="AQ13" s="2"/>
      <c r="AR13" s="2"/>
      <c r="AS13" s="2"/>
      <c r="AT13" s="2"/>
      <c r="AU13" s="2"/>
      <c r="AV13" s="2"/>
      <c r="AW13" s="2"/>
      <c r="AX13" s="2"/>
      <c r="AY13" s="113">
        <f>23585</f>
        <v>23585</v>
      </c>
      <c r="AZ13" s="2"/>
      <c r="BA13" s="2"/>
      <c r="BB13" s="5"/>
      <c r="BD13" s="2"/>
      <c r="BE13" s="2"/>
      <c r="BF13" s="113">
        <f>33330</f>
        <v>33330</v>
      </c>
      <c r="BG13" s="2">
        <f>70000</f>
        <v>70000</v>
      </c>
    </row>
    <row r="14" spans="2:62" ht="23.25" customHeight="1" x14ac:dyDescent="0.25">
      <c r="B14" s="13"/>
      <c r="C14" s="6" t="s">
        <v>39</v>
      </c>
      <c r="D14" s="6" t="s">
        <v>39</v>
      </c>
      <c r="E14" s="53"/>
      <c r="F14" s="6"/>
      <c r="G14" s="20">
        <v>597000</v>
      </c>
      <c r="H14" s="20">
        <v>597000</v>
      </c>
      <c r="I14" s="20">
        <f t="shared" si="3"/>
        <v>502852</v>
      </c>
      <c r="J14" s="20">
        <f t="shared" si="0"/>
        <v>7488</v>
      </c>
      <c r="K14" s="20">
        <f t="shared" si="4"/>
        <v>495364</v>
      </c>
      <c r="L14" s="20">
        <f t="shared" si="2"/>
        <v>94148</v>
      </c>
      <c r="M14" s="20"/>
      <c r="N14" s="20"/>
      <c r="O14" s="20"/>
      <c r="P14" s="20"/>
      <c r="Q14" s="20"/>
      <c r="R14" s="88">
        <v>0</v>
      </c>
      <c r="S14" s="2"/>
      <c r="T14" s="2"/>
      <c r="U14" s="2"/>
      <c r="V14" s="32"/>
      <c r="W14" s="2"/>
      <c r="X14" s="2"/>
      <c r="Y14" s="2"/>
      <c r="Z14" s="2"/>
      <c r="AA14" s="2"/>
      <c r="AB14" s="2"/>
      <c r="AC14" s="2"/>
      <c r="AD14" s="2"/>
      <c r="AI14" s="2"/>
      <c r="AJ14" s="2"/>
      <c r="AK14" s="2"/>
      <c r="AL14" s="2"/>
      <c r="AM14" s="2"/>
      <c r="AN14" s="2"/>
      <c r="AO14" s="113">
        <v>7488</v>
      </c>
      <c r="AP14" s="28"/>
      <c r="AQ14" s="2"/>
      <c r="AR14" s="113">
        <f>35844</f>
        <v>35844</v>
      </c>
      <c r="AS14" s="2"/>
      <c r="AT14" s="2"/>
      <c r="AU14" s="2"/>
      <c r="AV14" s="2"/>
      <c r="AW14" s="2"/>
      <c r="AX14" s="113">
        <f>229760</f>
        <v>229760</v>
      </c>
      <c r="AY14" s="2"/>
      <c r="AZ14" s="2"/>
      <c r="BA14" s="2"/>
      <c r="BB14" s="5"/>
      <c r="BD14" s="113">
        <f>229760</f>
        <v>229760</v>
      </c>
    </row>
    <row r="15" spans="2:62" x14ac:dyDescent="0.25">
      <c r="B15" s="16" t="s">
        <v>42</v>
      </c>
      <c r="C15" s="370" t="s">
        <v>105</v>
      </c>
      <c r="D15" s="102" t="s">
        <v>43</v>
      </c>
      <c r="E15" s="105"/>
      <c r="F15" s="102">
        <v>4500</v>
      </c>
      <c r="G15" s="104">
        <v>30000</v>
      </c>
      <c r="H15" s="104">
        <v>23000</v>
      </c>
      <c r="I15" s="104">
        <f t="shared" si="3"/>
        <v>382401.86</v>
      </c>
      <c r="J15" s="104">
        <f t="shared" si="0"/>
        <v>205707.24000000002</v>
      </c>
      <c r="K15" s="104">
        <f t="shared" si="4"/>
        <v>176694.62</v>
      </c>
      <c r="L15" s="62">
        <f>G15-I15</f>
        <v>-352401.86</v>
      </c>
      <c r="M15" s="42">
        <v>23750</v>
      </c>
      <c r="N15" s="19"/>
      <c r="O15" s="19"/>
      <c r="P15" s="19"/>
      <c r="Q15" s="19">
        <f>M15</f>
        <v>23750</v>
      </c>
      <c r="R15" s="88">
        <v>15000</v>
      </c>
      <c r="S15" s="2"/>
      <c r="T15" s="2"/>
      <c r="U15" s="2"/>
      <c r="V15" s="32"/>
      <c r="W15" s="2"/>
      <c r="X15" s="2"/>
      <c r="Y15" s="2"/>
      <c r="Z15" s="2"/>
      <c r="AA15" s="2"/>
      <c r="AB15" s="2"/>
      <c r="AC15" s="2"/>
      <c r="AD15" s="113">
        <v>750</v>
      </c>
      <c r="AE15" s="2"/>
      <c r="AF15" s="113">
        <v>1943.75</v>
      </c>
      <c r="AG15" s="113">
        <v>3747.5</v>
      </c>
      <c r="AH15" s="113">
        <v>3750</v>
      </c>
      <c r="AI15" s="113">
        <v>17750</v>
      </c>
      <c r="AJ15" s="113">
        <f>1652.5+987.5+4475+119.33</f>
        <v>7234.33</v>
      </c>
      <c r="AK15" s="113">
        <f>3600+4500+3000</f>
        <v>11100</v>
      </c>
      <c r="AL15" s="113">
        <f>6037.5+24450</f>
        <v>30487.5</v>
      </c>
      <c r="AM15" s="113">
        <f>3000+4000+2500+3000</f>
        <v>12500</v>
      </c>
      <c r="AN15" s="113">
        <f>3000+1060+5500+6350+17485.5+1300</f>
        <v>34695.5</v>
      </c>
      <c r="AO15" s="113">
        <f>1173.75+4962.5+14947.5+5399.5+3985</f>
        <v>30468.25</v>
      </c>
      <c r="AP15" s="113">
        <f>487.5+17922.5+455+3900+3520.41+75+9920</f>
        <v>36280.410000000003</v>
      </c>
      <c r="AQ15" s="2"/>
      <c r="AR15" s="113">
        <v>3395</v>
      </c>
      <c r="AS15" s="113">
        <f>5437.5</f>
        <v>5437.5</v>
      </c>
      <c r="AT15" s="113">
        <f>8750</f>
        <v>8750</v>
      </c>
      <c r="AU15" s="113">
        <f>8750</f>
        <v>8750</v>
      </c>
      <c r="AV15" s="113">
        <f>18685</f>
        <v>18685</v>
      </c>
      <c r="AW15" s="113">
        <f>6825+13144.5</f>
        <v>19969.5</v>
      </c>
      <c r="AX15" s="113">
        <f>6654.75</f>
        <v>6654.75</v>
      </c>
      <c r="AY15" s="113">
        <f>6950</f>
        <v>6950</v>
      </c>
      <c r="AZ15" s="113">
        <f>8656+115.35</f>
        <v>8771.35</v>
      </c>
      <c r="BA15" s="113">
        <f>16197.5</f>
        <v>16197.5</v>
      </c>
      <c r="BB15" s="364">
        <f>27675+703.46</f>
        <v>28378.46</v>
      </c>
      <c r="BC15" s="113">
        <f>14535.06</f>
        <v>14535.06</v>
      </c>
      <c r="BD15" s="113">
        <f>11975</f>
        <v>11975</v>
      </c>
      <c r="BE15" s="113">
        <f>4090</f>
        <v>4090</v>
      </c>
      <c r="BF15" s="2"/>
      <c r="BG15" s="2"/>
      <c r="BH15" s="2">
        <f t="shared" ref="BH15:BJ15" si="6">28311/6</f>
        <v>4718.5</v>
      </c>
      <c r="BI15" s="2">
        <f t="shared" si="6"/>
        <v>4718.5</v>
      </c>
      <c r="BJ15" s="2">
        <f t="shared" si="6"/>
        <v>4718.5</v>
      </c>
    </row>
    <row r="16" spans="2:62" x14ac:dyDescent="0.25">
      <c r="B16" s="16"/>
      <c r="C16" s="370" t="s">
        <v>122</v>
      </c>
      <c r="D16" s="102" t="s">
        <v>44</v>
      </c>
      <c r="E16" s="105"/>
      <c r="F16" s="102">
        <v>3250</v>
      </c>
      <c r="G16" s="104">
        <v>45000</v>
      </c>
      <c r="H16" s="104">
        <v>34000</v>
      </c>
      <c r="I16" s="104">
        <f t="shared" si="3"/>
        <v>48648</v>
      </c>
      <c r="J16" s="104">
        <f t="shared" si="0"/>
        <v>38648</v>
      </c>
      <c r="K16" s="104">
        <f t="shared" si="4"/>
        <v>10000</v>
      </c>
      <c r="L16" s="19">
        <f t="shared" si="2"/>
        <v>-3648</v>
      </c>
      <c r="M16" s="19">
        <v>29100</v>
      </c>
      <c r="N16" s="19">
        <v>59537</v>
      </c>
      <c r="O16" s="19">
        <v>32850</v>
      </c>
      <c r="P16" s="42">
        <v>33375</v>
      </c>
      <c r="Q16" s="19">
        <f>M16</f>
        <v>29100</v>
      </c>
      <c r="R16" s="88">
        <v>20000</v>
      </c>
      <c r="S16" s="2"/>
      <c r="T16" s="2"/>
      <c r="U16" s="2"/>
      <c r="V16" s="32"/>
      <c r="W16" s="2"/>
      <c r="X16" s="2"/>
      <c r="Y16" s="2"/>
      <c r="Z16" s="2"/>
      <c r="AA16" s="2"/>
      <c r="AB16" s="2"/>
      <c r="AC16" s="2"/>
      <c r="AD16" s="2"/>
      <c r="AE16" s="2"/>
      <c r="AF16" s="113">
        <v>15840</v>
      </c>
      <c r="AG16" s="2"/>
      <c r="AH16" s="113">
        <f>800+1008</f>
        <v>1808</v>
      </c>
      <c r="AI16" s="113">
        <v>1000</v>
      </c>
      <c r="AJ16" s="2"/>
      <c r="AK16" s="2"/>
      <c r="AL16" s="2"/>
      <c r="AM16" s="2"/>
      <c r="AN16" s="2"/>
      <c r="AO16" s="2"/>
      <c r="AP16" s="28"/>
      <c r="AQ16" s="2"/>
      <c r="AR16" s="2"/>
      <c r="AS16" s="2"/>
      <c r="AT16" s="2"/>
      <c r="AU16" s="2"/>
      <c r="AV16" s="2"/>
      <c r="AW16" s="2"/>
      <c r="AX16" s="2"/>
      <c r="AY16" s="2"/>
      <c r="AZ16" s="2"/>
      <c r="BA16" s="2"/>
      <c r="BB16" s="5"/>
      <c r="BE16">
        <f>10000</f>
        <v>10000</v>
      </c>
    </row>
    <row r="17" spans="2:63" x14ac:dyDescent="0.25">
      <c r="B17" s="16"/>
      <c r="C17" s="370"/>
      <c r="D17" s="102" t="s">
        <v>45</v>
      </c>
      <c r="E17" s="105"/>
      <c r="F17" s="102"/>
      <c r="G17" s="104">
        <v>0</v>
      </c>
      <c r="H17" s="104">
        <v>0</v>
      </c>
      <c r="I17" s="104">
        <f t="shared" si="3"/>
        <v>8237.7000000000007</v>
      </c>
      <c r="J17" s="104">
        <f t="shared" si="0"/>
        <v>4000</v>
      </c>
      <c r="K17" s="104">
        <f t="shared" si="4"/>
        <v>4237.7</v>
      </c>
      <c r="L17" s="19"/>
      <c r="M17" s="19"/>
      <c r="N17" s="19"/>
      <c r="O17" s="19"/>
      <c r="P17" s="19"/>
      <c r="Q17" s="19"/>
      <c r="R17" s="88">
        <v>0</v>
      </c>
      <c r="S17" s="2"/>
      <c r="T17" s="2"/>
      <c r="U17" s="2"/>
      <c r="V17" s="32"/>
      <c r="W17" s="2"/>
      <c r="X17" s="2"/>
      <c r="Y17" s="2"/>
      <c r="Z17" s="2"/>
      <c r="AA17" s="2"/>
      <c r="AB17" s="2"/>
      <c r="AC17" s="2"/>
      <c r="AD17" s="2"/>
      <c r="AE17" s="2"/>
      <c r="AF17" s="2"/>
      <c r="AG17" s="2"/>
      <c r="AH17" s="2"/>
      <c r="AI17" s="2"/>
      <c r="AJ17" s="2"/>
      <c r="AK17" s="2"/>
      <c r="AL17" s="2"/>
      <c r="AM17" s="2"/>
      <c r="AN17" s="2"/>
      <c r="AO17" s="2"/>
      <c r="AP17" s="113">
        <f>4000</f>
        <v>4000</v>
      </c>
      <c r="AQ17" s="2"/>
      <c r="AR17" s="2"/>
      <c r="AS17" s="2"/>
      <c r="AT17" s="2"/>
      <c r="AU17" s="113">
        <f>4237.7</f>
        <v>4237.7</v>
      </c>
      <c r="AV17" s="2"/>
      <c r="AW17" s="2"/>
      <c r="AX17" s="2"/>
      <c r="AY17" s="2"/>
      <c r="AZ17" s="2"/>
      <c r="BA17" s="2"/>
      <c r="BB17" s="5"/>
    </row>
    <row r="18" spans="2:63" x14ac:dyDescent="0.25">
      <c r="B18" s="16"/>
      <c r="C18" s="370"/>
      <c r="D18" s="102" t="s">
        <v>46</v>
      </c>
      <c r="E18" s="105"/>
      <c r="F18" s="102">
        <v>5000</v>
      </c>
      <c r="G18" s="104">
        <v>45000</v>
      </c>
      <c r="H18" s="104">
        <v>62900.399999999994</v>
      </c>
      <c r="I18" s="104">
        <f t="shared" si="3"/>
        <v>65225.399999999994</v>
      </c>
      <c r="J18" s="104">
        <f t="shared" si="0"/>
        <v>65225.399999999994</v>
      </c>
      <c r="K18" s="104">
        <f t="shared" si="4"/>
        <v>0</v>
      </c>
      <c r="L18" s="19">
        <f t="shared" si="2"/>
        <v>-20225.399999999994</v>
      </c>
      <c r="M18" s="42">
        <f>44000+12000+3750</f>
        <v>59750</v>
      </c>
      <c r="N18" s="19">
        <v>31920</v>
      </c>
      <c r="O18" s="19">
        <f>9425+1250</f>
        <v>10675</v>
      </c>
      <c r="P18" s="19">
        <f>40790+7500</f>
        <v>48290</v>
      </c>
      <c r="Q18" s="19">
        <f>M18</f>
        <v>59750</v>
      </c>
      <c r="R18" s="88">
        <f>39811.38+6529.91</f>
        <v>46341.289999999994</v>
      </c>
      <c r="S18" s="2"/>
      <c r="T18" s="2"/>
      <c r="U18" s="2"/>
      <c r="V18" s="32"/>
      <c r="W18" s="2"/>
      <c r="X18" s="2"/>
      <c r="Y18" s="2"/>
      <c r="Z18" s="2"/>
      <c r="AA18" s="2"/>
      <c r="AB18" s="2"/>
      <c r="AC18" s="113">
        <v>3949.54</v>
      </c>
      <c r="AD18" s="113">
        <v>12609.57</v>
      </c>
      <c r="AE18" s="2"/>
      <c r="AF18" s="2"/>
      <c r="AG18" s="2"/>
      <c r="AH18" s="2"/>
      <c r="AI18" s="2"/>
      <c r="AJ18" s="113">
        <v>2325</v>
      </c>
      <c r="AK18" s="2"/>
      <c r="AL18" s="2"/>
      <c r="AM18" s="2"/>
      <c r="AN18" s="2"/>
      <c r="AO18" s="2"/>
      <c r="AP18" s="28"/>
      <c r="AQ18" s="2"/>
      <c r="AR18" s="2"/>
      <c r="AS18" s="2"/>
      <c r="AT18" s="2"/>
      <c r="AU18" s="2"/>
      <c r="AV18" s="2"/>
      <c r="AW18" s="2"/>
      <c r="AX18" s="2"/>
      <c r="AY18" s="2"/>
      <c r="AZ18" s="2"/>
      <c r="BA18" s="2"/>
      <c r="BB18" s="5"/>
    </row>
    <row r="19" spans="2:63" x14ac:dyDescent="0.25">
      <c r="B19" s="16"/>
      <c r="C19" s="370" t="s">
        <v>123</v>
      </c>
      <c r="D19" s="102" t="s">
        <v>47</v>
      </c>
      <c r="E19" s="105"/>
      <c r="F19" s="102">
        <v>4000</v>
      </c>
      <c r="G19" s="104">
        <v>50000</v>
      </c>
      <c r="H19" s="104">
        <v>16900</v>
      </c>
      <c r="I19" s="104">
        <f t="shared" si="3"/>
        <v>29230</v>
      </c>
      <c r="J19" s="104">
        <f t="shared" si="0"/>
        <v>18380</v>
      </c>
      <c r="K19" s="104">
        <f t="shared" si="4"/>
        <v>10850</v>
      </c>
      <c r="L19" s="19">
        <f t="shared" si="2"/>
        <v>20770</v>
      </c>
      <c r="M19" s="42">
        <v>26700</v>
      </c>
      <c r="N19" s="19">
        <v>12150</v>
      </c>
      <c r="O19" s="19"/>
      <c r="P19" s="19"/>
      <c r="Q19" s="19">
        <f>M19</f>
        <v>26700</v>
      </c>
      <c r="R19" s="88">
        <v>2250</v>
      </c>
      <c r="S19" s="2"/>
      <c r="T19" s="2"/>
      <c r="U19" s="2"/>
      <c r="V19" s="32"/>
      <c r="W19" s="2"/>
      <c r="X19" s="2"/>
      <c r="Y19" s="2"/>
      <c r="Z19" s="2"/>
      <c r="AA19" s="2"/>
      <c r="AB19" s="2"/>
      <c r="AC19" s="2"/>
      <c r="AD19" s="113">
        <v>3250</v>
      </c>
      <c r="AE19" s="2"/>
      <c r="AF19" s="2"/>
      <c r="AG19" s="2"/>
      <c r="AH19" s="2"/>
      <c r="AI19" s="113">
        <v>6960</v>
      </c>
      <c r="AJ19" s="113">
        <v>2000</v>
      </c>
      <c r="AK19" s="113">
        <f>1720</f>
        <v>1720</v>
      </c>
      <c r="AL19" s="2"/>
      <c r="AM19" s="2"/>
      <c r="AN19" s="2"/>
      <c r="AO19" s="2"/>
      <c r="AP19" s="113">
        <f>2200</f>
        <v>2200</v>
      </c>
      <c r="AQ19" s="113">
        <v>630</v>
      </c>
      <c r="AR19" s="2"/>
      <c r="AS19" s="2"/>
      <c r="AT19" s="2"/>
      <c r="AU19" s="2"/>
      <c r="AV19" s="113">
        <f>720</f>
        <v>720</v>
      </c>
      <c r="AW19" s="2"/>
      <c r="AX19" s="2"/>
      <c r="AY19" s="113">
        <v>2875</v>
      </c>
      <c r="AZ19" s="2"/>
      <c r="BA19" s="2"/>
      <c r="BB19" s="5"/>
      <c r="BF19" s="57">
        <f>3125</f>
        <v>3125</v>
      </c>
      <c r="BG19">
        <f>3500</f>
        <v>3500</v>
      </c>
    </row>
    <row r="20" spans="2:63" x14ac:dyDescent="0.25">
      <c r="B20" s="16"/>
      <c r="C20" s="370"/>
      <c r="D20" s="102" t="s">
        <v>48</v>
      </c>
      <c r="E20" s="105"/>
      <c r="F20" s="102"/>
      <c r="G20" s="104">
        <v>200000</v>
      </c>
      <c r="H20" s="104">
        <v>264897.75</v>
      </c>
      <c r="I20" s="104">
        <f t="shared" si="3"/>
        <v>343962.5</v>
      </c>
      <c r="J20" s="104">
        <f t="shared" si="0"/>
        <v>341937.5</v>
      </c>
      <c r="K20" s="104">
        <f t="shared" si="4"/>
        <v>2025</v>
      </c>
      <c r="L20" s="60">
        <f t="shared" si="2"/>
        <v>-143962.5</v>
      </c>
      <c r="M20" s="19">
        <v>246175</v>
      </c>
      <c r="N20" s="42">
        <v>264897</v>
      </c>
      <c r="O20" s="19"/>
      <c r="P20" s="19"/>
      <c r="Q20" s="19">
        <f>N20</f>
        <v>264897</v>
      </c>
      <c r="R20" s="88">
        <f>225202.5</f>
        <v>225202.5</v>
      </c>
      <c r="S20" s="2"/>
      <c r="T20" s="2"/>
      <c r="U20" s="2"/>
      <c r="V20" s="32"/>
      <c r="W20" s="2"/>
      <c r="X20" s="2"/>
      <c r="Y20" s="2"/>
      <c r="Z20" s="2"/>
      <c r="AA20" s="2"/>
      <c r="AB20" s="2"/>
      <c r="AC20" s="2"/>
      <c r="AD20" s="113">
        <v>3728.25</v>
      </c>
      <c r="AE20" s="113">
        <v>13169.25</v>
      </c>
      <c r="AF20" s="113">
        <v>31500</v>
      </c>
      <c r="AG20" s="113">
        <v>13950</v>
      </c>
      <c r="AH20" s="113">
        <v>2475</v>
      </c>
      <c r="AI20" s="113">
        <v>6844.5</v>
      </c>
      <c r="AJ20" s="113">
        <f>387.5+18805.5</f>
        <v>19193</v>
      </c>
      <c r="AK20" s="113">
        <v>14400</v>
      </c>
      <c r="AL20" s="2"/>
      <c r="AM20" s="113">
        <f>10800</f>
        <v>10800</v>
      </c>
      <c r="AN20" s="113">
        <v>675</v>
      </c>
      <c r="AO20" s="2"/>
      <c r="AQ20" s="2"/>
      <c r="AR20" s="2"/>
      <c r="AS20" s="2"/>
      <c r="AT20" s="2"/>
      <c r="AU20" s="2"/>
      <c r="AV20" s="2"/>
      <c r="AW20" s="2"/>
      <c r="AX20" s="2"/>
      <c r="AY20" s="2"/>
      <c r="AZ20" s="113">
        <f>2025</f>
        <v>2025</v>
      </c>
      <c r="BA20" s="2"/>
      <c r="BB20" s="5"/>
    </row>
    <row r="21" spans="2:63" x14ac:dyDescent="0.25">
      <c r="B21" s="16"/>
      <c r="C21" s="370"/>
      <c r="D21" s="102" t="s">
        <v>49</v>
      </c>
      <c r="E21" s="105"/>
      <c r="F21" s="102"/>
      <c r="G21" s="104">
        <v>0</v>
      </c>
      <c r="H21" s="104">
        <v>0</v>
      </c>
      <c r="I21" s="104">
        <f t="shared" si="3"/>
        <v>35281.42</v>
      </c>
      <c r="J21" s="104">
        <f t="shared" si="0"/>
        <v>35281.42</v>
      </c>
      <c r="K21" s="104">
        <f t="shared" si="4"/>
        <v>0</v>
      </c>
      <c r="L21" s="60"/>
      <c r="M21" s="19"/>
      <c r="N21" s="42"/>
      <c r="O21" s="19"/>
      <c r="P21" s="19"/>
      <c r="Q21" s="19"/>
      <c r="R21" s="88">
        <v>0</v>
      </c>
      <c r="S21" s="2"/>
      <c r="T21" s="2"/>
      <c r="U21" s="2"/>
      <c r="V21" s="32"/>
      <c r="W21" s="2"/>
      <c r="X21" s="2"/>
      <c r="Y21" s="2"/>
      <c r="Z21" s="2"/>
      <c r="AA21" s="2"/>
      <c r="AB21" s="2"/>
      <c r="AC21" s="2"/>
      <c r="AD21" s="2"/>
      <c r="AE21" s="2"/>
      <c r="AF21" s="2"/>
      <c r="AG21" s="113">
        <v>17104</v>
      </c>
      <c r="AH21" s="113">
        <v>1300</v>
      </c>
      <c r="AI21" s="2"/>
      <c r="AJ21" s="2"/>
      <c r="AK21" s="113">
        <v>2000</v>
      </c>
      <c r="AL21" s="2"/>
      <c r="AM21" s="113">
        <f>3700</f>
        <v>3700</v>
      </c>
      <c r="AN21" s="113">
        <v>675</v>
      </c>
      <c r="AO21" s="113">
        <f>10502.42</f>
        <v>10502.42</v>
      </c>
      <c r="AP21" s="28"/>
      <c r="AQ21" s="2"/>
      <c r="AR21" s="2"/>
      <c r="AS21" s="2"/>
      <c r="AT21" s="2"/>
      <c r="AU21" s="2"/>
      <c r="AV21" s="2"/>
      <c r="AW21" s="2"/>
      <c r="AX21" s="2"/>
      <c r="AY21" s="2"/>
      <c r="AZ21" s="2"/>
      <c r="BA21" s="2"/>
      <c r="BB21" s="5"/>
    </row>
    <row r="22" spans="2:63" x14ac:dyDescent="0.25">
      <c r="B22" s="16"/>
      <c r="C22" s="370"/>
      <c r="D22" s="102" t="s">
        <v>50</v>
      </c>
      <c r="E22" s="105"/>
      <c r="F22" s="102"/>
      <c r="G22" s="104">
        <v>150000</v>
      </c>
      <c r="H22" s="104">
        <v>160000</v>
      </c>
      <c r="I22" s="104">
        <f t="shared" si="3"/>
        <v>997574.38</v>
      </c>
      <c r="J22" s="104">
        <f t="shared" si="0"/>
        <v>831779.38</v>
      </c>
      <c r="K22" s="104">
        <f t="shared" si="4"/>
        <v>165795</v>
      </c>
      <c r="L22" s="19">
        <f t="shared" si="2"/>
        <v>-847574.38</v>
      </c>
      <c r="M22" s="19"/>
      <c r="N22" s="19"/>
      <c r="O22" s="19"/>
      <c r="P22" s="19"/>
      <c r="Q22" s="19"/>
      <c r="R22" s="88">
        <v>0</v>
      </c>
      <c r="S22" s="2"/>
      <c r="T22" s="2"/>
      <c r="U22" s="2"/>
      <c r="V22" s="32"/>
      <c r="W22" s="2"/>
      <c r="X22" s="2"/>
      <c r="Y22" s="2"/>
      <c r="Z22" s="2"/>
      <c r="AA22" s="2"/>
      <c r="AB22" s="2"/>
      <c r="AC22" s="2"/>
      <c r="AD22" s="2"/>
      <c r="AE22" s="2"/>
      <c r="AF22" s="2"/>
      <c r="AG22" s="2"/>
      <c r="AH22" s="2"/>
      <c r="AI22" s="2"/>
      <c r="AJ22" s="2"/>
      <c r="AK22" s="113">
        <f>208078.7+17600+80770.25</f>
        <v>306448.95</v>
      </c>
      <c r="AL22" s="113">
        <f>77952.75+15400+53476.33</f>
        <v>146829.08000000002</v>
      </c>
      <c r="AM22" s="113">
        <f>182849+3777.75+7700+1069.5</f>
        <v>195396.25</v>
      </c>
      <c r="AN22" s="113">
        <f>46161+6450+2050</f>
        <v>54661</v>
      </c>
      <c r="AO22" s="113">
        <f>22465+4400+3150+2050</f>
        <v>32065</v>
      </c>
      <c r="AP22" s="113">
        <f>75944.17+20434.93</f>
        <v>96379.1</v>
      </c>
      <c r="AQ22" s="2"/>
      <c r="AR22" s="2"/>
      <c r="AS22" s="2"/>
      <c r="AT22" s="2"/>
      <c r="AU22" s="2"/>
      <c r="AV22" s="2"/>
      <c r="AW22" s="2"/>
      <c r="AX22" s="2"/>
      <c r="AY22" s="113">
        <f>500</f>
        <v>500</v>
      </c>
      <c r="AZ22" s="2"/>
      <c r="BA22" s="2"/>
      <c r="BB22" s="364">
        <v>500</v>
      </c>
      <c r="BC22" s="2"/>
      <c r="BK22">
        <f>164795</f>
        <v>164795</v>
      </c>
    </row>
    <row r="23" spans="2:63" x14ac:dyDescent="0.25">
      <c r="B23" s="16"/>
      <c r="C23" s="370" t="s">
        <v>124</v>
      </c>
      <c r="D23" s="102" t="s">
        <v>51</v>
      </c>
      <c r="E23" s="105"/>
      <c r="F23" s="102">
        <v>2900</v>
      </c>
      <c r="G23" s="104">
        <v>5000</v>
      </c>
      <c r="H23" s="104">
        <v>4375</v>
      </c>
      <c r="I23" s="104">
        <f t="shared" si="3"/>
        <v>25575</v>
      </c>
      <c r="J23" s="104">
        <f t="shared" si="0"/>
        <v>6400</v>
      </c>
      <c r="K23" s="104">
        <f t="shared" si="4"/>
        <v>19175</v>
      </c>
      <c r="L23" s="19">
        <f t="shared" si="2"/>
        <v>-20575</v>
      </c>
      <c r="M23" s="42">
        <f>8750/2</f>
        <v>4375</v>
      </c>
      <c r="N23" s="19"/>
      <c r="O23" s="19"/>
      <c r="P23" s="19"/>
      <c r="Q23" s="19">
        <f>I23</f>
        <v>25575</v>
      </c>
      <c r="R23" s="88">
        <v>0</v>
      </c>
      <c r="S23" s="2"/>
      <c r="T23" s="2"/>
      <c r="U23" s="2"/>
      <c r="V23" s="32"/>
      <c r="W23" s="2"/>
      <c r="X23" s="2"/>
      <c r="Y23" s="2"/>
      <c r="Z23" s="2"/>
      <c r="AA23" s="2"/>
      <c r="AB23" s="2"/>
      <c r="AC23" s="113">
        <v>650</v>
      </c>
      <c r="AD23" s="2"/>
      <c r="AE23" s="2"/>
      <c r="AF23" s="2"/>
      <c r="AG23" s="2"/>
      <c r="AH23" s="113">
        <f>1650+2850</f>
        <v>4500</v>
      </c>
      <c r="AI23" s="2"/>
      <c r="AJ23" s="2"/>
      <c r="AK23" s="2"/>
      <c r="AL23" s="2"/>
      <c r="AM23" s="2"/>
      <c r="AN23" s="2"/>
      <c r="AO23" s="2"/>
      <c r="AP23" s="113">
        <v>1250</v>
      </c>
      <c r="AQ23" s="2"/>
      <c r="AR23" s="2"/>
      <c r="AS23" s="2"/>
      <c r="AT23" s="2"/>
      <c r="AU23" s="2"/>
      <c r="AV23" s="113">
        <f>1250</f>
        <v>1250</v>
      </c>
      <c r="AW23" s="2"/>
      <c r="AX23" s="2"/>
      <c r="AY23" s="113">
        <f>2450+3950+950</f>
        <v>7350</v>
      </c>
      <c r="AZ23" s="113">
        <f>3950</f>
        <v>3950</v>
      </c>
      <c r="BA23" s="113">
        <f>1250+1450</f>
        <v>2700</v>
      </c>
      <c r="BB23" s="5"/>
      <c r="BC23" s="2"/>
      <c r="BD23" s="113">
        <v>1950</v>
      </c>
      <c r="BF23" s="113">
        <f>1975</f>
        <v>1975</v>
      </c>
    </row>
    <row r="24" spans="2:63" x14ac:dyDescent="0.25">
      <c r="B24" s="16"/>
      <c r="C24" s="370" t="s">
        <v>125</v>
      </c>
      <c r="D24" s="102" t="s">
        <v>126</v>
      </c>
      <c r="E24" s="105"/>
      <c r="F24" s="102"/>
      <c r="G24" s="104">
        <v>0</v>
      </c>
      <c r="H24" s="104">
        <v>3750</v>
      </c>
      <c r="I24" s="104">
        <f t="shared" si="3"/>
        <v>8190</v>
      </c>
      <c r="J24" s="104">
        <f t="shared" si="0"/>
        <v>6480</v>
      </c>
      <c r="K24" s="104">
        <f t="shared" si="4"/>
        <v>1710</v>
      </c>
      <c r="L24" s="19">
        <f t="shared" si="2"/>
        <v>-8190</v>
      </c>
      <c r="M24" s="42">
        <v>3750</v>
      </c>
      <c r="N24" s="19"/>
      <c r="O24" s="19"/>
      <c r="P24" s="19"/>
      <c r="Q24" s="19">
        <f>M24</f>
        <v>3750</v>
      </c>
      <c r="R24" s="88">
        <v>2000</v>
      </c>
      <c r="S24" s="2"/>
      <c r="T24" s="2"/>
      <c r="U24" s="2"/>
      <c r="V24" s="32"/>
      <c r="W24" s="2"/>
      <c r="X24" s="2"/>
      <c r="Y24" s="2"/>
      <c r="Z24" s="2"/>
      <c r="AA24" s="2"/>
      <c r="AB24" s="2"/>
      <c r="AC24" s="2"/>
      <c r="AD24" s="2"/>
      <c r="AE24" s="2"/>
      <c r="AF24" s="2"/>
      <c r="AG24" s="2"/>
      <c r="AH24" s="2"/>
      <c r="AI24" s="113">
        <v>1520</v>
      </c>
      <c r="AJ24" s="2"/>
      <c r="AK24" s="2"/>
      <c r="AL24" s="2"/>
      <c r="AM24" s="2"/>
      <c r="AN24" s="2"/>
      <c r="AO24" s="113">
        <v>2720</v>
      </c>
      <c r="AP24" s="113">
        <f>240</f>
        <v>240</v>
      </c>
      <c r="AQ24" s="2"/>
      <c r="AR24" s="2"/>
      <c r="AS24" s="2"/>
      <c r="AT24" s="2"/>
      <c r="AU24" s="2"/>
      <c r="AV24" s="2"/>
      <c r="AW24" s="113">
        <f>665</f>
        <v>665</v>
      </c>
      <c r="AX24" s="2"/>
      <c r="AY24" s="2"/>
      <c r="AZ24" s="2"/>
      <c r="BA24" s="2"/>
      <c r="BB24" s="5"/>
      <c r="BE24" s="57">
        <f>1045</f>
        <v>1045</v>
      </c>
    </row>
    <row r="25" spans="2:63" x14ac:dyDescent="0.25">
      <c r="B25" s="16"/>
      <c r="C25" s="370"/>
      <c r="D25" s="102" t="s">
        <v>53</v>
      </c>
      <c r="E25" s="105"/>
      <c r="F25" s="102">
        <v>4900</v>
      </c>
      <c r="G25" s="104">
        <v>50000</v>
      </c>
      <c r="H25" s="104">
        <v>35000</v>
      </c>
      <c r="I25" s="104">
        <f t="shared" si="3"/>
        <v>0</v>
      </c>
      <c r="J25" s="104">
        <f t="shared" si="0"/>
        <v>0</v>
      </c>
      <c r="K25" s="104">
        <f t="shared" si="4"/>
        <v>0</v>
      </c>
      <c r="L25" s="62">
        <f t="shared" si="2"/>
        <v>50000</v>
      </c>
      <c r="M25" s="19"/>
      <c r="N25" s="19"/>
      <c r="O25" s="19"/>
      <c r="P25" s="19"/>
      <c r="Q25" s="19">
        <f>I25</f>
        <v>0</v>
      </c>
      <c r="R25" s="88">
        <v>0</v>
      </c>
      <c r="S25" s="2"/>
      <c r="T25" s="2"/>
      <c r="U25" s="2"/>
      <c r="V25" s="32"/>
      <c r="W25" s="2"/>
      <c r="Z25" s="2"/>
      <c r="AA25" s="2"/>
      <c r="AB25" s="2"/>
      <c r="AC25" s="2"/>
      <c r="AD25" s="2"/>
      <c r="AE25" s="2"/>
      <c r="AF25" s="2"/>
      <c r="AG25" s="2"/>
      <c r="AH25" s="2"/>
      <c r="AI25" s="2"/>
      <c r="AJ25" s="2"/>
      <c r="AK25" s="2"/>
      <c r="AL25" s="2"/>
      <c r="AM25" s="2"/>
      <c r="AN25" s="2"/>
      <c r="AO25" s="2"/>
      <c r="AP25" s="28"/>
      <c r="AQ25" s="2"/>
      <c r="AR25" s="2"/>
      <c r="AS25" s="2"/>
      <c r="AT25" s="2"/>
      <c r="AU25" s="2"/>
      <c r="AV25" s="2"/>
      <c r="AW25" s="2"/>
      <c r="AX25" s="2"/>
      <c r="AY25" s="2"/>
      <c r="AZ25" s="2"/>
      <c r="BA25" s="2"/>
      <c r="BB25" s="5"/>
    </row>
    <row r="26" spans="2:63" x14ac:dyDescent="0.25">
      <c r="B26" s="16"/>
      <c r="C26" s="370" t="s">
        <v>127</v>
      </c>
      <c r="D26" s="102" t="s">
        <v>54</v>
      </c>
      <c r="E26" s="105"/>
      <c r="F26" s="102">
        <v>3500</v>
      </c>
      <c r="G26" s="104">
        <v>40000</v>
      </c>
      <c r="H26" s="104">
        <v>57000</v>
      </c>
      <c r="I26" s="104">
        <f t="shared" si="3"/>
        <v>126226.27</v>
      </c>
      <c r="J26" s="104">
        <f t="shared" si="0"/>
        <v>94026.27</v>
      </c>
      <c r="K26" s="104">
        <f t="shared" si="4"/>
        <v>32200</v>
      </c>
      <c r="L26" s="19">
        <f t="shared" si="2"/>
        <v>-86226.27</v>
      </c>
      <c r="M26" s="19">
        <v>5950</v>
      </c>
      <c r="N26" s="19">
        <f>24700+1600</f>
        <v>26300</v>
      </c>
      <c r="O26" s="42">
        <f>37700+(4700/2)+1250+1700+1250+6200+1500+1050+2000+2000</f>
        <v>57000</v>
      </c>
      <c r="P26" s="19"/>
      <c r="Q26" s="19">
        <f>O26</f>
        <v>57000</v>
      </c>
      <c r="R26" s="88">
        <v>15700</v>
      </c>
      <c r="S26" s="2"/>
      <c r="T26" s="2"/>
      <c r="U26" s="2"/>
      <c r="V26" s="32"/>
      <c r="W26" s="2"/>
      <c r="X26" s="2"/>
      <c r="Y26" s="2"/>
      <c r="Z26" s="2"/>
      <c r="AA26" s="2"/>
      <c r="AB26" s="2"/>
      <c r="AC26" s="2"/>
      <c r="AD26" s="113">
        <v>2755</v>
      </c>
      <c r="AE26" s="113">
        <v>3522.5</v>
      </c>
      <c r="AF26" s="113">
        <f>3946.61+3001.25</f>
        <v>6947.8600000000006</v>
      </c>
      <c r="AG26" s="113">
        <v>1810</v>
      </c>
      <c r="AH26" s="113">
        <v>5985</v>
      </c>
      <c r="AI26" s="113">
        <f>3500+1697.5</f>
        <v>5197.5</v>
      </c>
      <c r="AJ26" s="2"/>
      <c r="AK26" s="113">
        <v>6000</v>
      </c>
      <c r="AL26" s="113">
        <f>2625+3375+2980</f>
        <v>8980</v>
      </c>
      <c r="AM26" s="113">
        <v>11002.5</v>
      </c>
      <c r="AN26" s="2"/>
      <c r="AO26" s="113">
        <v>8000</v>
      </c>
      <c r="AP26" s="113">
        <f>8005+10120.91</f>
        <v>18125.91</v>
      </c>
      <c r="AQ26" s="2"/>
      <c r="AS26" s="2"/>
      <c r="AT26" s="113">
        <f>1750</f>
        <v>1750</v>
      </c>
      <c r="AU26" s="113">
        <v>1250</v>
      </c>
      <c r="AV26" s="113">
        <f>2250</f>
        <v>2250</v>
      </c>
      <c r="AW26" s="2"/>
      <c r="AX26" s="113">
        <f>1750</f>
        <v>1750</v>
      </c>
      <c r="AY26" s="113">
        <f>1250</f>
        <v>1250</v>
      </c>
      <c r="AZ26" s="113">
        <f>4000</f>
        <v>4000</v>
      </c>
      <c r="BA26" s="113">
        <f>5000</f>
        <v>5000</v>
      </c>
      <c r="BB26" s="364">
        <f>6000</f>
        <v>6000</v>
      </c>
      <c r="BC26" s="113">
        <f>4000</f>
        <v>4000</v>
      </c>
      <c r="BD26" s="57">
        <f>2500</f>
        <v>2500</v>
      </c>
      <c r="BE26" s="113">
        <f>2450</f>
        <v>2450</v>
      </c>
      <c r="BF26" s="2"/>
    </row>
    <row r="27" spans="2:63" x14ac:dyDescent="0.25">
      <c r="B27" s="16"/>
      <c r="C27" s="370" t="s">
        <v>128</v>
      </c>
      <c r="D27" s="102" t="s">
        <v>55</v>
      </c>
      <c r="E27" s="105"/>
      <c r="F27" s="102"/>
      <c r="G27" s="104">
        <v>0</v>
      </c>
      <c r="H27" s="104">
        <v>7245</v>
      </c>
      <c r="I27" s="104">
        <f t="shared" si="3"/>
        <v>45211.63</v>
      </c>
      <c r="J27" s="104">
        <f t="shared" si="0"/>
        <v>18723.099999999999</v>
      </c>
      <c r="K27" s="104">
        <f t="shared" si="4"/>
        <v>26488.530000000002</v>
      </c>
      <c r="L27" s="19"/>
      <c r="M27" s="19">
        <f>14490/2</f>
        <v>7245</v>
      </c>
      <c r="N27" s="19"/>
      <c r="O27" s="42"/>
      <c r="P27" s="19"/>
      <c r="Q27" s="19"/>
      <c r="R27" s="88">
        <v>0</v>
      </c>
      <c r="S27" s="2"/>
      <c r="T27" s="2"/>
      <c r="U27" s="2"/>
      <c r="V27" s="32"/>
      <c r="W27" s="2"/>
      <c r="X27" s="2"/>
      <c r="Y27" s="2"/>
      <c r="Z27" s="2"/>
      <c r="AA27" s="2"/>
      <c r="AB27" s="2"/>
      <c r="AC27" s="2"/>
      <c r="AD27" s="2"/>
      <c r="AE27" s="2"/>
      <c r="AF27" s="113">
        <v>1025.25</v>
      </c>
      <c r="AG27" s="113">
        <v>2182.5</v>
      </c>
      <c r="AH27" s="113">
        <v>1912.5</v>
      </c>
      <c r="AI27" s="113">
        <v>1912.5</v>
      </c>
      <c r="AJ27" s="2"/>
      <c r="AK27" s="2"/>
      <c r="AL27" s="113">
        <v>2260</v>
      </c>
      <c r="AM27" s="113">
        <f>3925.35</f>
        <v>3925.35</v>
      </c>
      <c r="AN27" s="113">
        <v>2996.25</v>
      </c>
      <c r="AO27" s="2"/>
      <c r="AP27" s="113">
        <f>337.5+2171.25</f>
        <v>2508.75</v>
      </c>
      <c r="AQ27" s="2"/>
      <c r="AR27" s="113">
        <f>1425</f>
        <v>1425</v>
      </c>
      <c r="AS27" s="2"/>
      <c r="AT27" s="113">
        <f>1500+6095+112.5</f>
        <v>7707.5</v>
      </c>
      <c r="AU27" s="113">
        <f>3120.52</f>
        <v>3120.52</v>
      </c>
      <c r="AV27" s="113">
        <f>5200.87</f>
        <v>5200.87</v>
      </c>
      <c r="AW27" s="113">
        <f>4334.06</f>
        <v>4334.0600000000004</v>
      </c>
      <c r="AX27" s="113">
        <f>2600.43</f>
        <v>2600.4299999999998</v>
      </c>
      <c r="AY27" s="2"/>
      <c r="AZ27" s="113">
        <f>1213.54</f>
        <v>1213.54</v>
      </c>
      <c r="BA27" s="2"/>
      <c r="BB27" s="5"/>
      <c r="BE27" s="57">
        <f>886.61</f>
        <v>886.61</v>
      </c>
    </row>
    <row r="28" spans="2:63" x14ac:dyDescent="0.25">
      <c r="B28" s="16"/>
      <c r="C28" s="370" t="s">
        <v>129</v>
      </c>
      <c r="D28" s="102" t="s">
        <v>56</v>
      </c>
      <c r="E28" s="105"/>
      <c r="F28" s="102">
        <v>43500</v>
      </c>
      <c r="G28" s="104">
        <v>175000</v>
      </c>
      <c r="H28" s="104">
        <v>306137.15000000002</v>
      </c>
      <c r="I28" s="104">
        <f t="shared" si="3"/>
        <v>331402.15000000002</v>
      </c>
      <c r="J28" s="104">
        <f t="shared" si="0"/>
        <v>306821.15000000002</v>
      </c>
      <c r="K28" s="104">
        <f t="shared" si="4"/>
        <v>24581</v>
      </c>
      <c r="L28" s="60">
        <f t="shared" si="2"/>
        <v>-156402.15000000002</v>
      </c>
      <c r="M28" s="42">
        <v>306137</v>
      </c>
      <c r="N28" s="19"/>
      <c r="O28" s="19"/>
      <c r="P28" s="19"/>
      <c r="Q28" s="19">
        <f>M28</f>
        <v>306137</v>
      </c>
      <c r="R28" s="88">
        <f>7290+210.15+1925+875+150+435+4760+4500+18387+18387+8652.5+7762.5+11340+7812.5+7102.5+7102.5+7102.5+9300+7340</f>
        <v>130434.15</v>
      </c>
      <c r="S28" s="2"/>
      <c r="T28" s="2"/>
      <c r="U28" s="2"/>
      <c r="V28" s="32"/>
      <c r="W28" s="2"/>
      <c r="X28" s="2"/>
      <c r="Y28" s="2"/>
      <c r="Z28" s="2"/>
      <c r="AA28" s="2"/>
      <c r="AB28" s="2"/>
      <c r="AC28" s="2"/>
      <c r="AD28" s="113">
        <f>23287.5+721</f>
        <v>24008.5</v>
      </c>
      <c r="AE28" s="2"/>
      <c r="AF28" s="113">
        <f>7762.5+247.5</f>
        <v>8010</v>
      </c>
      <c r="AG28" s="113">
        <v>8334.5</v>
      </c>
      <c r="AH28" s="113">
        <f>17066+6975</f>
        <v>24041</v>
      </c>
      <c r="AI28" s="113">
        <f>31876+6050+1950</f>
        <v>39876</v>
      </c>
      <c r="AJ28" s="113">
        <f>11390+4360+442+315+60+375+7500</f>
        <v>24442</v>
      </c>
      <c r="AK28" s="113">
        <f>2200+2465+2800+870+3750+5695+2180</f>
        <v>19960</v>
      </c>
      <c r="AL28" s="2"/>
      <c r="AM28" s="2"/>
      <c r="AN28" s="2"/>
      <c r="AO28" s="113">
        <f>3750+2275+3700+2950+4500+2800+645+3220</f>
        <v>23840</v>
      </c>
      <c r="AP28" s="113">
        <f>1500+1300+1075</f>
        <v>3875</v>
      </c>
      <c r="AQ28" s="2"/>
      <c r="AR28" s="2"/>
      <c r="AS28" s="2"/>
      <c r="AT28" s="2"/>
      <c r="AU28" s="113">
        <f>1125+1125+500+500+1000+385+860+860</f>
        <v>6355</v>
      </c>
      <c r="AV28" s="113">
        <f>1000+800+287.5+287.5</f>
        <v>2375</v>
      </c>
      <c r="AW28" s="2"/>
      <c r="AX28" s="2"/>
      <c r="AY28" s="2"/>
      <c r="AZ28" s="113">
        <f>212+106+212+980+980+212+5100</f>
        <v>7802</v>
      </c>
      <c r="BA28" s="2"/>
      <c r="BB28" s="364">
        <f>5293</f>
        <v>5293</v>
      </c>
      <c r="BD28" s="2"/>
      <c r="BE28" s="113">
        <f>2756</f>
        <v>2756</v>
      </c>
    </row>
    <row r="29" spans="2:63" x14ac:dyDescent="0.25">
      <c r="B29" s="16"/>
      <c r="C29" s="370"/>
      <c r="D29" s="102" t="s">
        <v>57</v>
      </c>
      <c r="E29" s="105"/>
      <c r="F29" s="102"/>
      <c r="G29" s="104">
        <v>18000</v>
      </c>
      <c r="H29" s="104">
        <v>17236</v>
      </c>
      <c r="I29" s="104">
        <f t="shared" si="3"/>
        <v>31592.5</v>
      </c>
      <c r="J29" s="104">
        <f t="shared" si="0"/>
        <v>31592.5</v>
      </c>
      <c r="K29" s="104">
        <f t="shared" si="4"/>
        <v>0</v>
      </c>
      <c r="L29" s="62">
        <f t="shared" si="2"/>
        <v>-13592.5</v>
      </c>
      <c r="M29" s="42">
        <v>25000</v>
      </c>
      <c r="N29" s="19"/>
      <c r="O29" s="19"/>
      <c r="P29" s="19"/>
      <c r="Q29" s="19">
        <f>M29</f>
        <v>25000</v>
      </c>
      <c r="R29" s="88">
        <v>8665</v>
      </c>
      <c r="S29" s="2"/>
      <c r="T29" s="2"/>
      <c r="U29" s="2"/>
      <c r="V29" s="32"/>
      <c r="W29" s="2"/>
      <c r="X29" s="2"/>
      <c r="Y29" s="2"/>
      <c r="Z29" s="2"/>
      <c r="AA29" s="2"/>
      <c r="AB29" s="2"/>
      <c r="AC29" s="2"/>
      <c r="AD29" s="2"/>
      <c r="AE29" s="2"/>
      <c r="AF29" s="2"/>
      <c r="AG29" s="2"/>
      <c r="AH29" s="113">
        <v>857.5</v>
      </c>
      <c r="AI29" s="113">
        <v>2500</v>
      </c>
      <c r="AJ29" s="113">
        <v>1087.5</v>
      </c>
      <c r="AK29" s="113">
        <v>1125</v>
      </c>
      <c r="AL29" s="113">
        <f>6000+4500</f>
        <v>10500</v>
      </c>
      <c r="AM29" s="2"/>
      <c r="AN29" s="113">
        <v>1000</v>
      </c>
      <c r="AO29" s="113">
        <f>3727.5</f>
        <v>3727.5</v>
      </c>
      <c r="AP29" s="113">
        <f>2130</f>
        <v>2130</v>
      </c>
      <c r="AQ29" s="2"/>
      <c r="AR29" s="2"/>
      <c r="AS29" s="2"/>
      <c r="AT29" s="2"/>
      <c r="AU29" s="2"/>
      <c r="AV29" s="2"/>
      <c r="AW29" s="2"/>
      <c r="AX29" s="2"/>
      <c r="AY29" s="2"/>
      <c r="AZ29" s="2"/>
      <c r="BA29" s="2"/>
      <c r="BB29" s="5"/>
    </row>
    <row r="30" spans="2:63" x14ac:dyDescent="0.25">
      <c r="B30" s="16"/>
      <c r="C30" s="370" t="s">
        <v>105</v>
      </c>
      <c r="D30" s="102" t="s">
        <v>58</v>
      </c>
      <c r="E30" s="105"/>
      <c r="F30" s="102">
        <v>5600</v>
      </c>
      <c r="G30" s="104">
        <v>145000</v>
      </c>
      <c r="H30" s="104">
        <v>141317</v>
      </c>
      <c r="I30" s="104">
        <f t="shared" si="3"/>
        <v>612346.19999999995</v>
      </c>
      <c r="J30" s="104">
        <f t="shared" si="0"/>
        <v>409559.17999999993</v>
      </c>
      <c r="K30" s="104">
        <f t="shared" si="4"/>
        <v>202787.02000000002</v>
      </c>
      <c r="L30" s="62">
        <f t="shared" si="2"/>
        <v>-467346.19999999995</v>
      </c>
      <c r="M30" s="42">
        <v>143000</v>
      </c>
      <c r="N30" s="19"/>
      <c r="O30" s="19"/>
      <c r="P30" s="19"/>
      <c r="Q30" s="19">
        <f>M30</f>
        <v>143000</v>
      </c>
      <c r="R30" s="88">
        <v>14950</v>
      </c>
      <c r="S30" s="2"/>
      <c r="T30" s="2"/>
      <c r="U30" s="2"/>
      <c r="V30" s="32"/>
      <c r="W30" s="2"/>
      <c r="X30" s="2"/>
      <c r="Y30" s="2"/>
      <c r="Z30" s="2"/>
      <c r="AA30" s="2"/>
      <c r="AB30" s="2"/>
      <c r="AC30" s="2"/>
      <c r="AD30" s="2"/>
      <c r="AE30" s="113">
        <v>7905</v>
      </c>
      <c r="AF30" s="113">
        <v>2500</v>
      </c>
      <c r="AG30" s="113">
        <v>13998</v>
      </c>
      <c r="AH30" s="113">
        <f>7915+4572.25+380+2000+300</f>
        <v>15167.25</v>
      </c>
      <c r="AI30" s="113">
        <f>6800+1250</f>
        <v>8050</v>
      </c>
      <c r="AJ30" s="113">
        <f>7617.5+2895+5675+851.25+322.23</f>
        <v>17360.98</v>
      </c>
      <c r="AK30" s="113">
        <f>12575+5683+700+488.75</f>
        <v>19446.75</v>
      </c>
      <c r="AL30" s="113">
        <f>17500+6500</f>
        <v>24000</v>
      </c>
      <c r="AM30" s="113">
        <f>2700+2000+10000+11500+4000+4000</f>
        <v>34200</v>
      </c>
      <c r="AN30" s="113">
        <f>6872.05+2942.5+30107.5+3325+27250</f>
        <v>70497.05</v>
      </c>
      <c r="AO30" s="113">
        <f>6439+35565+1640+2875</f>
        <v>46519</v>
      </c>
      <c r="AP30" s="113">
        <f>7110+16882.5+51713.75+2742.5+47865.15+2485+3421.25+2745</f>
        <v>134965.15</v>
      </c>
      <c r="AQ30" s="2"/>
      <c r="AR30" s="113">
        <f>3450+4370+3375</f>
        <v>11195</v>
      </c>
      <c r="AS30" s="113">
        <f>1552.5</f>
        <v>1552.5</v>
      </c>
      <c r="AT30" s="113">
        <f>12318.75</f>
        <v>12318.75</v>
      </c>
      <c r="AU30" s="113">
        <f>13256.25</f>
        <v>13256.25</v>
      </c>
      <c r="AV30" s="113">
        <f>13123+2300</f>
        <v>15423</v>
      </c>
      <c r="AW30" s="113">
        <f>8895.75+3749-600</f>
        <v>12044.75</v>
      </c>
      <c r="AX30" s="113">
        <f>11060</f>
        <v>11060</v>
      </c>
      <c r="AY30" s="113">
        <f>8453</f>
        <v>8453</v>
      </c>
      <c r="AZ30" s="113">
        <f>13566.88</f>
        <v>13566.88</v>
      </c>
      <c r="BA30" s="113">
        <f>9443</f>
        <v>9443</v>
      </c>
      <c r="BB30" s="364">
        <f>16142.5+27884+6242.5+1567.5+907.5+1569.78</f>
        <v>54313.78</v>
      </c>
      <c r="BC30" s="113">
        <f>5000+7500+155+2257.5+367.61</f>
        <v>15280.11</v>
      </c>
      <c r="BD30" s="113">
        <f>8600</f>
        <v>8600</v>
      </c>
      <c r="BE30" s="113">
        <v>5000</v>
      </c>
      <c r="BF30" s="2"/>
      <c r="BG30" s="2"/>
      <c r="BH30">
        <f>3760</f>
        <v>3760</v>
      </c>
      <c r="BI30" s="2">
        <f>3760</f>
        <v>3760</v>
      </c>
      <c r="BJ30" s="2">
        <f>3760</f>
        <v>3760</v>
      </c>
    </row>
    <row r="31" spans="2:63" x14ac:dyDescent="0.25">
      <c r="B31" s="16"/>
      <c r="C31" s="370"/>
      <c r="D31" s="102" t="s">
        <v>59</v>
      </c>
      <c r="E31" s="105"/>
      <c r="F31" s="102"/>
      <c r="G31" s="104">
        <v>37500</v>
      </c>
      <c r="H31" s="104">
        <v>0</v>
      </c>
      <c r="I31" s="104">
        <f t="shared" si="3"/>
        <v>0</v>
      </c>
      <c r="J31" s="104">
        <f t="shared" si="0"/>
        <v>0</v>
      </c>
      <c r="K31" s="104">
        <f t="shared" si="4"/>
        <v>0</v>
      </c>
      <c r="L31" s="19">
        <f t="shared" si="2"/>
        <v>37500</v>
      </c>
      <c r="M31" s="42">
        <v>0</v>
      </c>
      <c r="N31" s="19"/>
      <c r="O31" s="19"/>
      <c r="P31" s="19"/>
      <c r="Q31" s="19">
        <f>I31</f>
        <v>0</v>
      </c>
      <c r="R31" s="88">
        <v>0</v>
      </c>
      <c r="S31" s="2"/>
      <c r="T31" s="2"/>
      <c r="U31" s="2"/>
      <c r="V31" s="32"/>
      <c r="W31" s="2"/>
      <c r="X31" s="2"/>
      <c r="Y31" s="2"/>
      <c r="Z31" s="2"/>
      <c r="AA31" s="2"/>
      <c r="AB31" s="2"/>
      <c r="AC31" s="2"/>
      <c r="AD31" s="2"/>
      <c r="AE31" s="2"/>
      <c r="AF31" s="2"/>
      <c r="AG31" s="2"/>
      <c r="AH31" s="2"/>
      <c r="AI31" s="2"/>
      <c r="AJ31" s="2"/>
      <c r="AK31" s="2"/>
      <c r="AL31" s="2"/>
      <c r="AM31" s="2"/>
      <c r="AN31" s="2"/>
      <c r="AO31" s="2"/>
      <c r="AP31" s="28"/>
      <c r="AQ31" s="2"/>
      <c r="AR31" s="2"/>
      <c r="AS31" s="2"/>
      <c r="AT31" s="2"/>
      <c r="AU31" s="2"/>
      <c r="AV31" s="2"/>
      <c r="AW31" s="2"/>
      <c r="AX31" s="2"/>
      <c r="AY31" s="2"/>
      <c r="AZ31" s="2"/>
      <c r="BA31" s="2"/>
      <c r="BB31" s="5"/>
    </row>
    <row r="32" spans="2:63" x14ac:dyDescent="0.25">
      <c r="B32" s="16"/>
      <c r="C32" s="370" t="s">
        <v>124</v>
      </c>
      <c r="D32" s="102" t="s">
        <v>60</v>
      </c>
      <c r="E32" s="105"/>
      <c r="F32" s="102"/>
      <c r="G32" s="104">
        <v>13000</v>
      </c>
      <c r="H32" s="104">
        <v>10625</v>
      </c>
      <c r="I32" s="104">
        <f t="shared" si="3"/>
        <v>36705</v>
      </c>
      <c r="J32" s="104">
        <f t="shared" si="0"/>
        <v>18520</v>
      </c>
      <c r="K32" s="104">
        <f t="shared" si="4"/>
        <v>18185</v>
      </c>
      <c r="L32" s="19">
        <f t="shared" si="2"/>
        <v>-23705</v>
      </c>
      <c r="M32" s="42">
        <f>17450/2+650+1250</f>
        <v>10625</v>
      </c>
      <c r="N32" s="19"/>
      <c r="O32" s="19"/>
      <c r="P32" s="19"/>
      <c r="Q32" s="19">
        <f>M32</f>
        <v>10625</v>
      </c>
      <c r="R32" s="88">
        <f>3500</f>
        <v>3500</v>
      </c>
      <c r="S32" s="2"/>
      <c r="T32" s="2"/>
      <c r="U32" s="2"/>
      <c r="V32" s="32"/>
      <c r="W32" s="2"/>
      <c r="X32" s="2"/>
      <c r="Y32" s="2"/>
      <c r="Z32" s="2"/>
      <c r="AA32" s="2"/>
      <c r="AB32" s="2"/>
      <c r="AC32" s="113">
        <v>2350</v>
      </c>
      <c r="AD32" s="2"/>
      <c r="AE32" s="2"/>
      <c r="AF32" s="2"/>
      <c r="AG32" s="2"/>
      <c r="AH32" s="113">
        <f>1650+1450+3150+425</f>
        <v>6675</v>
      </c>
      <c r="AI32" s="2"/>
      <c r="AJ32" s="2"/>
      <c r="AK32" s="2"/>
      <c r="AL32" s="2"/>
      <c r="AM32" s="2"/>
      <c r="AN32" s="2"/>
      <c r="AO32" s="2"/>
      <c r="AP32" s="113">
        <f>595+1250+1250+2900</f>
        <v>5995</v>
      </c>
      <c r="AQ32" s="2"/>
      <c r="AR32" s="2"/>
      <c r="AS32" s="2"/>
      <c r="AT32" s="2"/>
      <c r="AU32" s="2"/>
      <c r="AV32" s="2"/>
      <c r="AW32" s="2"/>
      <c r="AX32" s="2"/>
      <c r="AY32" s="2"/>
      <c r="AZ32" s="113">
        <v>3950</v>
      </c>
      <c r="BA32" s="113">
        <f>3850</f>
        <v>3850</v>
      </c>
      <c r="BB32" s="113">
        <f>950+4550</f>
        <v>5500</v>
      </c>
      <c r="BC32" s="380"/>
      <c r="BD32" s="113">
        <f>960+1950</f>
        <v>2910</v>
      </c>
      <c r="BE32" s="2"/>
      <c r="BF32" s="113">
        <f>1975</f>
        <v>1975</v>
      </c>
    </row>
    <row r="33" spans="2:60" x14ac:dyDescent="0.25">
      <c r="B33" s="16"/>
      <c r="C33" s="370"/>
      <c r="D33" s="102" t="s">
        <v>61</v>
      </c>
      <c r="E33" s="105"/>
      <c r="F33" s="102"/>
      <c r="G33" s="104">
        <v>45000</v>
      </c>
      <c r="H33" s="104">
        <v>0</v>
      </c>
      <c r="I33" s="104">
        <f t="shared" si="3"/>
        <v>38238</v>
      </c>
      <c r="J33" s="104">
        <f t="shared" si="0"/>
        <v>38238</v>
      </c>
      <c r="K33" s="104">
        <f t="shared" si="4"/>
        <v>0</v>
      </c>
      <c r="L33" s="19">
        <f t="shared" si="2"/>
        <v>6762</v>
      </c>
      <c r="M33" s="19"/>
      <c r="N33" s="19"/>
      <c r="O33" s="19"/>
      <c r="P33" s="19"/>
      <c r="Q33" s="19">
        <v>0</v>
      </c>
      <c r="R33" s="88">
        <v>0</v>
      </c>
      <c r="S33" s="2"/>
      <c r="T33" s="2"/>
      <c r="U33" s="2"/>
      <c r="V33" s="32"/>
      <c r="W33" s="2"/>
      <c r="X33" s="2"/>
      <c r="Y33" s="2"/>
      <c r="Z33" s="2"/>
      <c r="AB33" s="2"/>
      <c r="AC33" s="2"/>
      <c r="AD33" s="2"/>
      <c r="AE33" s="2"/>
      <c r="AF33" s="2"/>
      <c r="AG33" s="2"/>
      <c r="AH33" s="2"/>
      <c r="AI33" s="2"/>
      <c r="AJ33" s="2"/>
      <c r="AK33" s="2"/>
      <c r="AL33" s="113">
        <v>6000</v>
      </c>
      <c r="AM33" s="113">
        <f>23000</f>
        <v>23000</v>
      </c>
      <c r="AN33" s="113">
        <f>5750+613</f>
        <v>6363</v>
      </c>
      <c r="AO33" s="113">
        <f>2875</f>
        <v>2875</v>
      </c>
      <c r="AP33" s="28"/>
      <c r="AQ33" s="2"/>
      <c r="AR33" s="2"/>
      <c r="AS33" s="2"/>
      <c r="AT33" s="2"/>
      <c r="AU33" s="2"/>
      <c r="AV33" s="2"/>
      <c r="AW33" s="2"/>
      <c r="AX33" s="2"/>
      <c r="AY33" s="2"/>
      <c r="AZ33" s="2"/>
      <c r="BA33" s="2"/>
      <c r="BB33" s="5"/>
    </row>
    <row r="34" spans="2:60" x14ac:dyDescent="0.25">
      <c r="B34" s="16"/>
      <c r="C34" s="370"/>
      <c r="D34" s="102" t="s">
        <v>62</v>
      </c>
      <c r="E34" s="105"/>
      <c r="F34" s="102"/>
      <c r="G34" s="104">
        <v>6500</v>
      </c>
      <c r="H34" s="104">
        <v>0</v>
      </c>
      <c r="I34" s="104">
        <f t="shared" si="3"/>
        <v>0</v>
      </c>
      <c r="J34" s="104">
        <f t="shared" si="0"/>
        <v>0</v>
      </c>
      <c r="K34" s="104">
        <f t="shared" si="4"/>
        <v>0</v>
      </c>
      <c r="L34" s="19">
        <f t="shared" si="2"/>
        <v>6500</v>
      </c>
      <c r="M34" s="19"/>
      <c r="N34" s="19"/>
      <c r="O34" s="19"/>
      <c r="P34" s="19"/>
      <c r="Q34" s="19">
        <v>0</v>
      </c>
      <c r="R34" s="88">
        <v>0</v>
      </c>
      <c r="S34" s="2"/>
      <c r="T34" s="2"/>
      <c r="U34" s="2"/>
      <c r="V34" s="32"/>
      <c r="W34" s="2"/>
      <c r="X34" s="2"/>
      <c r="Y34" s="2"/>
      <c r="Z34" s="2"/>
      <c r="AA34" s="2"/>
      <c r="AB34" s="2"/>
      <c r="AC34" s="2"/>
      <c r="AD34" s="2"/>
      <c r="AE34" s="2"/>
      <c r="AF34" s="2"/>
      <c r="AG34" s="2"/>
      <c r="AH34" s="2"/>
      <c r="AI34" s="2"/>
      <c r="AJ34" s="2"/>
      <c r="AK34" s="2"/>
      <c r="AL34" s="2"/>
      <c r="AM34" s="2"/>
      <c r="AN34" s="2"/>
      <c r="AO34" s="2"/>
      <c r="AP34" s="28"/>
      <c r="AQ34" s="2"/>
      <c r="AR34" s="2"/>
      <c r="AS34" s="2"/>
      <c r="AT34" s="2"/>
      <c r="AU34" s="2"/>
      <c r="AV34" s="2"/>
      <c r="AW34" s="2"/>
      <c r="AX34" s="2"/>
      <c r="AY34" s="2"/>
      <c r="AZ34" s="2"/>
      <c r="BA34" s="2"/>
      <c r="BB34" s="5"/>
    </row>
    <row r="35" spans="2:60" x14ac:dyDescent="0.25">
      <c r="B35" s="16"/>
      <c r="C35" s="370"/>
      <c r="D35" s="102" t="s">
        <v>63</v>
      </c>
      <c r="E35" s="105"/>
      <c r="F35" s="102"/>
      <c r="G35" s="104">
        <v>13000</v>
      </c>
      <c r="H35" s="104">
        <v>0</v>
      </c>
      <c r="I35" s="104">
        <f t="shared" si="3"/>
        <v>0</v>
      </c>
      <c r="J35" s="104">
        <f t="shared" si="0"/>
        <v>0</v>
      </c>
      <c r="K35" s="104">
        <f t="shared" si="4"/>
        <v>0</v>
      </c>
      <c r="L35" s="19">
        <f t="shared" si="2"/>
        <v>13000</v>
      </c>
      <c r="M35" s="42">
        <v>0</v>
      </c>
      <c r="N35" s="19"/>
      <c r="O35" s="19"/>
      <c r="P35" s="19"/>
      <c r="Q35" s="19">
        <v>0</v>
      </c>
      <c r="R35" s="88">
        <v>0</v>
      </c>
      <c r="S35" s="2"/>
      <c r="T35" s="2"/>
      <c r="U35" s="2"/>
      <c r="V35" s="32"/>
      <c r="W35" s="2"/>
      <c r="X35" s="2"/>
      <c r="Y35" s="2"/>
      <c r="Z35" s="2"/>
      <c r="AA35" s="2"/>
      <c r="AB35" s="2"/>
      <c r="AC35" s="2"/>
      <c r="AD35" s="2"/>
      <c r="AE35" s="2"/>
      <c r="AF35" s="2"/>
      <c r="AG35" s="2"/>
      <c r="AH35" s="2"/>
      <c r="AI35" s="2"/>
      <c r="AJ35" s="2"/>
      <c r="AK35" s="2"/>
      <c r="AL35" s="2"/>
      <c r="AM35" s="2"/>
      <c r="AN35" s="2"/>
      <c r="AO35" s="2"/>
      <c r="AP35" s="28"/>
      <c r="AQ35" s="2"/>
      <c r="AR35" s="2"/>
      <c r="AS35" s="2"/>
      <c r="AT35" s="2"/>
      <c r="AU35" s="2"/>
      <c r="AV35" s="2"/>
      <c r="AW35" s="2"/>
      <c r="AX35" s="2"/>
      <c r="AY35" s="2"/>
      <c r="AZ35" s="2"/>
      <c r="BA35" s="2"/>
      <c r="BB35" s="5"/>
    </row>
    <row r="36" spans="2:60" x14ac:dyDescent="0.25">
      <c r="B36" s="16"/>
      <c r="C36" s="370" t="s">
        <v>130</v>
      </c>
      <c r="D36" s="102" t="s">
        <v>64</v>
      </c>
      <c r="E36" s="105"/>
      <c r="F36" s="102"/>
      <c r="G36" s="104">
        <v>28000</v>
      </c>
      <c r="H36" s="104">
        <v>24222.2</v>
      </c>
      <c r="I36" s="104">
        <f t="shared" si="3"/>
        <v>36139.699999999997</v>
      </c>
      <c r="J36" s="104">
        <f t="shared" si="0"/>
        <v>27194.7</v>
      </c>
      <c r="K36" s="104">
        <f t="shared" si="4"/>
        <v>8945</v>
      </c>
      <c r="L36" s="19">
        <f t="shared" si="2"/>
        <v>-8139.6999999999971</v>
      </c>
      <c r="M36" s="42">
        <f>18750+420</f>
        <v>19170</v>
      </c>
      <c r="N36" s="19"/>
      <c r="O36" s="19"/>
      <c r="P36" s="19"/>
      <c r="Q36" s="19">
        <f>M36</f>
        <v>19170</v>
      </c>
      <c r="R36" s="88">
        <f>1260+118.2+1260+266</f>
        <v>2904.2</v>
      </c>
      <c r="S36" s="2"/>
      <c r="T36" s="2"/>
      <c r="U36" s="2"/>
      <c r="V36" s="32"/>
      <c r="W36" s="2"/>
      <c r="X36" s="2"/>
      <c r="Y36" s="2"/>
      <c r="Z36" s="2"/>
      <c r="AA36" s="2"/>
      <c r="AB36" s="2"/>
      <c r="AC36" s="2"/>
      <c r="AD36" s="113">
        <v>177</v>
      </c>
      <c r="AE36" s="2"/>
      <c r="AF36" s="2"/>
      <c r="AG36" s="113">
        <f>8738+217.2</f>
        <v>8955.2000000000007</v>
      </c>
      <c r="AH36" s="113">
        <v>656</v>
      </c>
      <c r="AI36" s="113">
        <v>354.6</v>
      </c>
      <c r="AJ36" s="113">
        <v>88.65</v>
      </c>
      <c r="AK36" s="2"/>
      <c r="AL36" s="2"/>
      <c r="AM36" s="113">
        <f>2726+9275</f>
        <v>12001</v>
      </c>
      <c r="AN36" s="2"/>
      <c r="AO36" s="2"/>
      <c r="AP36" s="113">
        <f>2058.05</f>
        <v>2058.0500000000002</v>
      </c>
      <c r="AQ36" s="2"/>
      <c r="AR36" s="2"/>
      <c r="AS36" s="113">
        <f>662.5</f>
        <v>662.5</v>
      </c>
      <c r="AT36" s="113">
        <f>662.5+995</f>
        <v>1657.5</v>
      </c>
      <c r="AU36" s="113">
        <v>1325</v>
      </c>
      <c r="AV36" s="113">
        <f>993.75</f>
        <v>993.75</v>
      </c>
      <c r="AW36" s="113">
        <f>331.25</f>
        <v>331.25</v>
      </c>
      <c r="AX36" s="2"/>
      <c r="AY36" s="2"/>
      <c r="AZ36" s="2"/>
      <c r="BA36" s="2"/>
      <c r="BB36" s="364">
        <f>1987.5</f>
        <v>1987.5</v>
      </c>
      <c r="BC36" s="2">
        <f>3975-1987.5</f>
        <v>1987.5</v>
      </c>
    </row>
    <row r="37" spans="2:60" x14ac:dyDescent="0.25">
      <c r="B37" s="16"/>
      <c r="C37" s="370" t="s">
        <v>120</v>
      </c>
      <c r="D37" s="102" t="s">
        <v>65</v>
      </c>
      <c r="E37" s="105"/>
      <c r="F37" s="102">
        <v>150000</v>
      </c>
      <c r="G37" s="104">
        <v>350000</v>
      </c>
      <c r="H37" s="104">
        <v>350000</v>
      </c>
      <c r="I37" s="104">
        <f t="shared" si="3"/>
        <v>548083.46</v>
      </c>
      <c r="J37" s="104">
        <f t="shared" si="0"/>
        <v>328004.7</v>
      </c>
      <c r="K37" s="104">
        <f t="shared" si="4"/>
        <v>220078.75999999998</v>
      </c>
      <c r="L37" s="60">
        <f t="shared" si="2"/>
        <v>-198083.45999999996</v>
      </c>
      <c r="M37" s="19"/>
      <c r="N37" s="19"/>
      <c r="O37" s="19"/>
      <c r="P37" s="19"/>
      <c r="Q37" s="19">
        <f>I37</f>
        <v>548083.46</v>
      </c>
      <c r="R37" s="88">
        <v>36001.800000000003</v>
      </c>
      <c r="S37" s="2"/>
      <c r="T37" s="2"/>
      <c r="U37" s="2"/>
      <c r="V37" s="32"/>
      <c r="W37" s="2"/>
      <c r="X37" s="2"/>
      <c r="Y37" s="2"/>
      <c r="Z37" s="2"/>
      <c r="AA37" s="2"/>
      <c r="AB37" s="2"/>
      <c r="AC37" s="2"/>
      <c r="AD37" s="2"/>
      <c r="AE37" s="113">
        <v>1665.5</v>
      </c>
      <c r="AF37" s="2"/>
      <c r="AG37" s="113">
        <v>4295.5</v>
      </c>
      <c r="AH37" s="113">
        <v>4521.6000000000004</v>
      </c>
      <c r="AI37" s="113">
        <v>7694.4</v>
      </c>
      <c r="AJ37" s="113">
        <v>9476.4</v>
      </c>
      <c r="AK37" s="113">
        <v>4794</v>
      </c>
      <c r="AL37" s="2"/>
      <c r="AM37" s="113">
        <f>31556.8</f>
        <v>31556.799999999999</v>
      </c>
      <c r="AN37" s="113">
        <f>32775.2+5087.6</f>
        <v>37862.799999999996</v>
      </c>
      <c r="AO37" s="113">
        <f>34276</f>
        <v>34276</v>
      </c>
      <c r="AP37" s="113">
        <f>116060.8+39799.1</f>
        <v>155859.9</v>
      </c>
      <c r="AQ37" s="2"/>
      <c r="AR37" s="2"/>
      <c r="AS37" s="113">
        <f>6556.8+326.25</f>
        <v>6883.05</v>
      </c>
      <c r="AT37" s="113">
        <f>9099.2</f>
        <v>9099.2000000000007</v>
      </c>
      <c r="AU37" s="2"/>
      <c r="AV37" s="2"/>
      <c r="AW37" s="2"/>
      <c r="AX37" s="2"/>
      <c r="AY37" s="2"/>
      <c r="AZ37" s="2"/>
      <c r="BA37" s="2"/>
      <c r="BB37" s="5"/>
      <c r="BC37" s="2"/>
      <c r="BD37" s="113">
        <f>200000+2356+50+215.83+920.12+554.56</f>
        <v>204096.50999999998</v>
      </c>
    </row>
    <row r="38" spans="2:60" x14ac:dyDescent="0.25">
      <c r="B38" s="16"/>
      <c r="C38" s="370" t="s">
        <v>131</v>
      </c>
      <c r="D38" s="106" t="s">
        <v>132</v>
      </c>
      <c r="E38" s="108"/>
      <c r="F38" s="106"/>
      <c r="G38" s="107">
        <v>340000</v>
      </c>
      <c r="H38" s="107">
        <v>340000</v>
      </c>
      <c r="I38" s="107">
        <f t="shared" si="3"/>
        <v>109120.06</v>
      </c>
      <c r="J38" s="107">
        <f t="shared" si="0"/>
        <v>0</v>
      </c>
      <c r="K38" s="107">
        <f t="shared" si="4"/>
        <v>109120.06</v>
      </c>
      <c r="L38" s="65">
        <f t="shared" si="2"/>
        <v>230879.94</v>
      </c>
      <c r="M38" s="19"/>
      <c r="N38" s="19"/>
      <c r="O38" s="19"/>
      <c r="P38" s="19"/>
      <c r="Q38" s="19"/>
      <c r="R38" s="88">
        <v>0</v>
      </c>
      <c r="S38" s="2"/>
      <c r="T38" s="2"/>
      <c r="U38" s="2"/>
      <c r="V38" s="32"/>
      <c r="W38" s="2"/>
      <c r="X38" s="2"/>
      <c r="Y38" s="2"/>
      <c r="Z38" s="2"/>
      <c r="AA38" s="2"/>
      <c r="AB38" s="2"/>
      <c r="AC38" s="2"/>
      <c r="AD38" s="2"/>
      <c r="AE38" s="2"/>
      <c r="AF38" s="2"/>
      <c r="AG38" s="2"/>
      <c r="AH38" s="2"/>
      <c r="AI38" s="2"/>
      <c r="AJ38" s="2"/>
      <c r="AK38" s="2"/>
      <c r="AM38" s="2"/>
      <c r="AN38" s="2"/>
      <c r="AP38" s="28"/>
      <c r="AQ38" s="2"/>
      <c r="AT38" s="2"/>
      <c r="AU38" s="2"/>
      <c r="AV38" s="2"/>
      <c r="AW38" s="2"/>
      <c r="AX38" s="113">
        <f>4806.5+2884.56</f>
        <v>7691.0599999999995</v>
      </c>
      <c r="AY38" s="113">
        <f>25700</f>
        <v>25700</v>
      </c>
      <c r="AZ38" s="2"/>
      <c r="BB38" s="364">
        <f>4183+3892+1996+50681</f>
        <v>60752</v>
      </c>
      <c r="BC38" s="113">
        <v>165</v>
      </c>
      <c r="BD38" s="113">
        <f>14812</f>
        <v>14812</v>
      </c>
    </row>
    <row r="39" spans="2:60" x14ac:dyDescent="0.25">
      <c r="B39" s="16"/>
      <c r="C39" s="370" t="s">
        <v>131</v>
      </c>
      <c r="D39" s="102" t="s">
        <v>67</v>
      </c>
      <c r="E39" s="105"/>
      <c r="F39" s="102">
        <v>56000</v>
      </c>
      <c r="G39" s="104">
        <v>227000</v>
      </c>
      <c r="H39" s="104">
        <v>189194.35</v>
      </c>
      <c r="I39" s="104">
        <f t="shared" si="3"/>
        <v>356556</v>
      </c>
      <c r="J39" s="104">
        <f t="shared" si="0"/>
        <v>197944.95999999999</v>
      </c>
      <c r="K39" s="104">
        <f t="shared" si="4"/>
        <v>158611.03999999998</v>
      </c>
      <c r="L39" s="60">
        <f t="shared" si="2"/>
        <v>-129556</v>
      </c>
      <c r="M39" s="42">
        <f>164802.5+32000</f>
        <v>196802.5</v>
      </c>
      <c r="N39" s="19"/>
      <c r="O39" s="19"/>
      <c r="P39" s="19"/>
      <c r="Q39" s="19">
        <f>M39</f>
        <v>196802.5</v>
      </c>
      <c r="R39" s="88">
        <v>45154.35</v>
      </c>
      <c r="S39" s="2"/>
      <c r="T39" s="2"/>
      <c r="U39" s="2"/>
      <c r="V39" s="32"/>
      <c r="W39" s="2"/>
      <c r="X39" s="2"/>
      <c r="Y39" s="2"/>
      <c r="Z39" s="2"/>
      <c r="AA39" s="2"/>
      <c r="AB39" s="2"/>
      <c r="AC39" s="113">
        <v>4035.21</v>
      </c>
      <c r="AD39" s="113">
        <v>3520</v>
      </c>
      <c r="AE39" s="113">
        <v>7580</v>
      </c>
      <c r="AF39" s="2"/>
      <c r="AG39" s="113">
        <v>4220</v>
      </c>
      <c r="AH39" s="113">
        <v>9553.17</v>
      </c>
      <c r="AI39" s="113">
        <f>41703</f>
        <v>41703</v>
      </c>
      <c r="AJ39" s="2"/>
      <c r="AK39" s="113">
        <f>4020+595+3500+4000+2500+5500+375+8845+9460+1500+41.4+283.63+4020+2000+275+34.2</f>
        <v>46949.229999999996</v>
      </c>
      <c r="AL39" s="113">
        <v>4020</v>
      </c>
      <c r="AM39" s="113">
        <f>4020+4500</f>
        <v>8520</v>
      </c>
      <c r="AN39" s="113">
        <v>7580</v>
      </c>
      <c r="AO39" s="113">
        <f>4020</f>
        <v>4020</v>
      </c>
      <c r="AP39" s="113">
        <f>2010+9080</f>
        <v>11090</v>
      </c>
      <c r="AQ39" s="113">
        <v>47174</v>
      </c>
      <c r="AR39" s="113">
        <f>2564</f>
        <v>2564</v>
      </c>
      <c r="AS39" s="113">
        <f>2564</f>
        <v>2564</v>
      </c>
      <c r="AT39" s="113">
        <v>3964</v>
      </c>
      <c r="AU39" s="113">
        <f>2564</f>
        <v>2564</v>
      </c>
      <c r="AV39" s="113">
        <f>2564+2568+8150</f>
        <v>13282</v>
      </c>
      <c r="AW39" s="2"/>
      <c r="AX39" s="113">
        <f>2564+2600+93.65</f>
        <v>5257.65</v>
      </c>
      <c r="AY39" s="113">
        <f>2564+2100+21.9</f>
        <v>4685.8999999999996</v>
      </c>
      <c r="AZ39" s="113">
        <f>2564</f>
        <v>2564</v>
      </c>
      <c r="BA39" s="113">
        <f>3044+8745</f>
        <v>11789</v>
      </c>
      <c r="BB39" s="364">
        <f>2564+3828+195.49</f>
        <v>6587.49</v>
      </c>
      <c r="BC39" s="113">
        <f>2948+37950</f>
        <v>40898</v>
      </c>
      <c r="BD39" s="113">
        <f>2566+8250</f>
        <v>10816</v>
      </c>
      <c r="BE39" s="57">
        <f>2566</f>
        <v>2566</v>
      </c>
      <c r="BF39" s="434">
        <v>1335</v>
      </c>
      <c r="BG39" s="433"/>
    </row>
    <row r="40" spans="2:60" x14ac:dyDescent="0.25">
      <c r="B40" s="16"/>
      <c r="C40" s="370" t="s">
        <v>133</v>
      </c>
      <c r="D40" s="102" t="s">
        <v>68</v>
      </c>
      <c r="E40" s="105"/>
      <c r="F40" s="102"/>
      <c r="G40" s="104">
        <v>0</v>
      </c>
      <c r="H40" s="104">
        <v>11520</v>
      </c>
      <c r="I40" s="104">
        <f t="shared" si="3"/>
        <v>13650</v>
      </c>
      <c r="J40" s="104">
        <f t="shared" si="0"/>
        <v>8550</v>
      </c>
      <c r="K40" s="104">
        <f t="shared" si="4"/>
        <v>5100</v>
      </c>
      <c r="L40" s="60">
        <f t="shared" si="2"/>
        <v>-13650</v>
      </c>
      <c r="M40" s="42">
        <v>11520</v>
      </c>
      <c r="N40" s="19"/>
      <c r="O40" s="19"/>
      <c r="P40" s="19"/>
      <c r="Q40" s="19">
        <f>M40</f>
        <v>11520</v>
      </c>
      <c r="R40" s="88">
        <f>1140+1320</f>
        <v>2460</v>
      </c>
      <c r="S40" s="2"/>
      <c r="T40" s="2"/>
      <c r="U40" s="2"/>
      <c r="V40" s="32"/>
      <c r="W40" s="2"/>
      <c r="X40" s="2"/>
      <c r="Y40" s="2"/>
      <c r="AA40" s="2"/>
      <c r="AB40" s="2"/>
      <c r="AC40" s="2"/>
      <c r="AD40" s="2"/>
      <c r="AE40" s="2"/>
      <c r="AF40" s="2"/>
      <c r="AG40" s="2"/>
      <c r="AH40" s="2"/>
      <c r="AI40" s="113">
        <v>2250</v>
      </c>
      <c r="AJ40" s="2"/>
      <c r="AK40" s="2"/>
      <c r="AL40" s="2"/>
      <c r="AM40" s="2"/>
      <c r="AN40" s="2"/>
      <c r="AO40" s="113">
        <v>3840</v>
      </c>
      <c r="AP40" s="28"/>
      <c r="AQ40" s="2"/>
      <c r="AR40" s="2"/>
      <c r="AS40" s="2"/>
      <c r="AT40" s="2"/>
      <c r="AU40" s="2"/>
      <c r="AV40" s="2"/>
      <c r="AW40" s="2"/>
      <c r="AX40" s="113">
        <f>1320</f>
        <v>1320</v>
      </c>
      <c r="AY40" s="2"/>
      <c r="AZ40" s="2"/>
      <c r="BA40" s="113">
        <f>1920</f>
        <v>1920</v>
      </c>
      <c r="BB40" s="5"/>
      <c r="BC40" s="57">
        <f>1860</f>
        <v>1860</v>
      </c>
    </row>
    <row r="41" spans="2:60" x14ac:dyDescent="0.25">
      <c r="B41" s="16"/>
      <c r="C41" s="370"/>
      <c r="D41" s="102" t="s">
        <v>69</v>
      </c>
      <c r="E41" s="105"/>
      <c r="F41" s="102"/>
      <c r="G41" s="104">
        <v>0</v>
      </c>
      <c r="H41" s="104">
        <v>9975</v>
      </c>
      <c r="I41" s="104">
        <f t="shared" si="3"/>
        <v>9975</v>
      </c>
      <c r="J41" s="104">
        <f t="shared" si="0"/>
        <v>9975</v>
      </c>
      <c r="K41" s="104">
        <f t="shared" si="4"/>
        <v>0</v>
      </c>
      <c r="L41" s="60">
        <f t="shared" si="2"/>
        <v>-9975</v>
      </c>
      <c r="M41" s="42">
        <f>4500+750+75+2750+950+950</f>
        <v>9975</v>
      </c>
      <c r="N41" s="19"/>
      <c r="O41" s="19"/>
      <c r="P41" s="19"/>
      <c r="Q41" s="19">
        <f>M41</f>
        <v>9975</v>
      </c>
      <c r="R41" s="88">
        <v>9975</v>
      </c>
      <c r="S41" s="2"/>
      <c r="T41" s="2"/>
      <c r="U41" s="2"/>
      <c r="V41" s="32"/>
      <c r="W41" s="2"/>
      <c r="X41" s="2"/>
      <c r="Y41" s="2"/>
      <c r="AA41" s="2"/>
      <c r="AB41" s="2"/>
      <c r="AC41" s="2"/>
      <c r="AD41" s="2"/>
      <c r="AE41" s="2"/>
      <c r="AF41" s="2"/>
      <c r="AG41" s="2"/>
      <c r="AH41" s="2"/>
      <c r="AI41" s="2"/>
      <c r="AJ41" s="2"/>
      <c r="AK41" s="2"/>
      <c r="AL41" s="2"/>
      <c r="AM41" s="2"/>
      <c r="AN41" s="2"/>
      <c r="AO41" s="2"/>
      <c r="AP41" s="28"/>
      <c r="AQ41" s="2"/>
      <c r="AR41" s="2"/>
      <c r="AS41" s="2"/>
      <c r="AT41" s="2"/>
      <c r="AU41" s="2"/>
      <c r="AV41" s="2"/>
      <c r="AW41" s="2"/>
      <c r="AX41" s="2"/>
      <c r="AY41" s="2"/>
      <c r="AZ41" s="2"/>
      <c r="BA41" s="2"/>
      <c r="BB41" s="5"/>
    </row>
    <row r="42" spans="2:60" x14ac:dyDescent="0.25">
      <c r="B42" s="16"/>
      <c r="C42" s="370"/>
      <c r="D42" s="102" t="s">
        <v>134</v>
      </c>
      <c r="E42" s="105"/>
      <c r="F42" s="102"/>
      <c r="G42" s="104">
        <v>0</v>
      </c>
      <c r="H42" s="104">
        <v>16167</v>
      </c>
      <c r="I42" s="104">
        <f t="shared" si="3"/>
        <v>17781.599999999999</v>
      </c>
      <c r="J42" s="104">
        <f t="shared" si="0"/>
        <v>17781.599999999999</v>
      </c>
      <c r="K42" s="104">
        <f t="shared" si="4"/>
        <v>0</v>
      </c>
      <c r="L42" s="60">
        <f t="shared" si="2"/>
        <v>-17781.599999999999</v>
      </c>
      <c r="M42" s="42">
        <f>8346.19+7820.81</f>
        <v>16167</v>
      </c>
      <c r="N42" s="19">
        <f>4050+(1850/2)+900+9961+(3948/2)</f>
        <v>17810</v>
      </c>
      <c r="O42" s="19"/>
      <c r="P42" s="19"/>
      <c r="Q42" s="19"/>
      <c r="R42" s="88">
        <v>0</v>
      </c>
      <c r="S42" s="2"/>
      <c r="T42" s="2"/>
      <c r="U42" s="2"/>
      <c r="V42" s="32"/>
      <c r="W42" s="2"/>
      <c r="X42" s="2"/>
      <c r="Y42" s="2"/>
      <c r="AA42" s="2"/>
      <c r="AB42" s="2"/>
      <c r="AC42" s="2"/>
      <c r="AD42" s="2"/>
      <c r="AE42" s="2"/>
      <c r="AF42" s="2"/>
      <c r="AG42" s="113">
        <v>17781.599999999999</v>
      </c>
      <c r="AH42" s="2"/>
      <c r="AI42" s="2"/>
      <c r="AJ42" s="2"/>
      <c r="AK42" s="2"/>
      <c r="AL42" s="2"/>
      <c r="AM42" s="2"/>
      <c r="AN42" s="2"/>
      <c r="AO42" s="2"/>
      <c r="AP42" s="28"/>
      <c r="AQ42" s="2"/>
      <c r="AR42" s="2"/>
      <c r="AS42" s="2"/>
      <c r="AT42" s="2"/>
      <c r="AU42" s="2"/>
      <c r="AV42" s="2"/>
      <c r="AW42" s="2"/>
      <c r="AX42" s="2"/>
      <c r="AY42" s="2"/>
      <c r="AZ42" s="2"/>
      <c r="BA42" s="2"/>
      <c r="BB42" s="5"/>
    </row>
    <row r="43" spans="2:60" x14ac:dyDescent="0.25">
      <c r="B43" s="16"/>
      <c r="C43" s="370"/>
      <c r="D43" s="102" t="s">
        <v>72</v>
      </c>
      <c r="E43" s="105"/>
      <c r="F43" s="102"/>
      <c r="G43" s="104">
        <v>0</v>
      </c>
      <c r="H43" s="104">
        <v>5590</v>
      </c>
      <c r="I43" s="104">
        <f t="shared" si="3"/>
        <v>1260</v>
      </c>
      <c r="J43" s="104">
        <f t="shared" si="0"/>
        <v>1260</v>
      </c>
      <c r="K43" s="104">
        <f t="shared" si="4"/>
        <v>0</v>
      </c>
      <c r="L43" s="60">
        <f t="shared" si="2"/>
        <v>-1260</v>
      </c>
      <c r="M43" s="42">
        <f>4330+1260</f>
        <v>5590</v>
      </c>
      <c r="N43" s="19"/>
      <c r="O43" s="19"/>
      <c r="P43" s="19"/>
      <c r="Q43" s="19">
        <f>M43</f>
        <v>5590</v>
      </c>
      <c r="R43" s="88">
        <v>0</v>
      </c>
      <c r="S43" s="2"/>
      <c r="T43" s="2"/>
      <c r="U43" s="2"/>
      <c r="V43" s="32"/>
      <c r="W43" s="2"/>
      <c r="X43" s="2"/>
      <c r="Y43" s="2"/>
      <c r="AA43" s="2"/>
      <c r="AB43" s="2"/>
      <c r="AC43" s="2"/>
      <c r="AD43" s="113">
        <v>1260</v>
      </c>
      <c r="AE43" s="2"/>
      <c r="AF43" s="2"/>
      <c r="AG43" s="2"/>
      <c r="AH43" s="2"/>
      <c r="AI43" s="2"/>
      <c r="AJ43" s="2"/>
      <c r="AK43" s="2"/>
      <c r="AL43" s="2"/>
      <c r="AM43" s="2"/>
      <c r="AN43" s="2"/>
      <c r="AO43" s="2"/>
      <c r="AP43" s="28"/>
      <c r="AQ43" s="2"/>
      <c r="AR43" s="2"/>
      <c r="AS43" s="2"/>
      <c r="AT43" s="2"/>
      <c r="AU43" s="2"/>
      <c r="AV43" s="2"/>
      <c r="AW43" s="2"/>
      <c r="AX43" s="2"/>
      <c r="AY43" s="2"/>
      <c r="AZ43" s="2"/>
      <c r="BA43" s="2"/>
      <c r="BB43" s="5"/>
    </row>
    <row r="44" spans="2:60" x14ac:dyDescent="0.25">
      <c r="B44" s="16"/>
      <c r="C44" s="370" t="s">
        <v>135</v>
      </c>
      <c r="D44" s="102" t="s">
        <v>73</v>
      </c>
      <c r="E44" s="105"/>
      <c r="F44" s="102"/>
      <c r="G44" s="104">
        <v>0</v>
      </c>
      <c r="H44" s="104">
        <v>17145</v>
      </c>
      <c r="I44" s="104">
        <f t="shared" si="3"/>
        <v>29945</v>
      </c>
      <c r="J44" s="104">
        <f t="shared" si="0"/>
        <v>29945</v>
      </c>
      <c r="K44" s="104">
        <f t="shared" si="4"/>
        <v>0</v>
      </c>
      <c r="L44" s="60">
        <f t="shared" si="2"/>
        <v>-29945</v>
      </c>
      <c r="M44" s="42">
        <f>17145</f>
        <v>17145</v>
      </c>
      <c r="N44" s="19"/>
      <c r="O44" s="19"/>
      <c r="P44" s="19"/>
      <c r="Q44" s="19">
        <f>M44</f>
        <v>17145</v>
      </c>
      <c r="R44" s="88">
        <v>17145</v>
      </c>
      <c r="S44" s="2"/>
      <c r="T44" s="2"/>
      <c r="U44" s="2"/>
      <c r="V44" s="32"/>
      <c r="W44" s="2"/>
      <c r="X44" s="2"/>
      <c r="Y44" s="2"/>
      <c r="AA44" s="2"/>
      <c r="AB44" s="2"/>
      <c r="AC44" s="2"/>
      <c r="AD44" s="2"/>
      <c r="AE44" s="2"/>
      <c r="AF44" s="2"/>
      <c r="AG44" s="2"/>
      <c r="AH44" s="2"/>
      <c r="AI44" s="113">
        <v>3000</v>
      </c>
      <c r="AJ44" s="113">
        <v>9800</v>
      </c>
      <c r="AK44" s="2"/>
      <c r="AL44" s="2"/>
      <c r="AM44" s="2"/>
      <c r="AN44" s="2"/>
      <c r="AO44" s="2"/>
      <c r="AP44" s="28"/>
      <c r="AQ44" s="2"/>
      <c r="AR44" s="2"/>
      <c r="AS44" s="2"/>
      <c r="AT44" s="2"/>
      <c r="AU44" s="2"/>
      <c r="AV44" s="2"/>
      <c r="AW44" s="2"/>
      <c r="AX44" s="2"/>
      <c r="AY44" s="2"/>
      <c r="AZ44" s="2"/>
      <c r="BA44" s="2"/>
      <c r="BB44" s="5"/>
    </row>
    <row r="45" spans="2:60" x14ac:dyDescent="0.25">
      <c r="B45" s="16"/>
      <c r="C45" s="370"/>
      <c r="D45" s="102" t="s">
        <v>75</v>
      </c>
      <c r="E45" s="105"/>
      <c r="F45" s="102"/>
      <c r="G45" s="104">
        <v>0</v>
      </c>
      <c r="H45" s="104">
        <v>5000</v>
      </c>
      <c r="I45" s="104">
        <f t="shared" si="3"/>
        <v>1210</v>
      </c>
      <c r="J45" s="104">
        <f t="shared" si="0"/>
        <v>1210</v>
      </c>
      <c r="K45" s="104">
        <f t="shared" si="4"/>
        <v>0</v>
      </c>
      <c r="L45" s="60">
        <f>G45-I45</f>
        <v>-1210</v>
      </c>
      <c r="M45" s="42">
        <v>5000</v>
      </c>
      <c r="N45" s="19"/>
      <c r="O45" s="19"/>
      <c r="P45" s="19"/>
      <c r="Q45" s="19"/>
      <c r="R45" s="88">
        <v>0</v>
      </c>
      <c r="S45" s="2"/>
      <c r="T45" s="2"/>
      <c r="U45" s="2"/>
      <c r="V45" s="32"/>
      <c r="W45" s="2"/>
      <c r="X45" s="2"/>
      <c r="Y45" s="2"/>
      <c r="AA45" s="2"/>
      <c r="AB45" s="2"/>
      <c r="AC45" s="2"/>
      <c r="AD45" s="2"/>
      <c r="AE45" s="2"/>
      <c r="AF45" s="2"/>
      <c r="AG45" s="2"/>
      <c r="AH45" s="2"/>
      <c r="AI45" s="2"/>
      <c r="AJ45" s="2"/>
      <c r="AK45" s="2"/>
      <c r="AL45" s="113">
        <v>1210</v>
      </c>
      <c r="AM45" s="2"/>
      <c r="AN45" s="2"/>
      <c r="AO45" s="2"/>
      <c r="AP45" s="28"/>
      <c r="AQ45" s="2"/>
      <c r="AR45" s="2"/>
      <c r="AS45" s="2"/>
      <c r="AT45" s="2"/>
      <c r="AU45" s="2"/>
      <c r="AV45" s="2"/>
      <c r="AW45" s="2"/>
      <c r="AX45" s="2"/>
      <c r="AY45" s="2"/>
      <c r="AZ45" s="2"/>
      <c r="BA45" s="2"/>
      <c r="BB45" s="5"/>
    </row>
    <row r="46" spans="2:60" x14ac:dyDescent="0.25">
      <c r="B46" s="16"/>
      <c r="C46" s="370" t="s">
        <v>136</v>
      </c>
      <c r="D46" s="102" t="s">
        <v>76</v>
      </c>
      <c r="E46" s="105"/>
      <c r="F46" s="102"/>
      <c r="G46" s="104">
        <v>0</v>
      </c>
      <c r="H46" s="104">
        <v>0</v>
      </c>
      <c r="I46" s="104">
        <f t="shared" si="3"/>
        <v>11587</v>
      </c>
      <c r="J46" s="104">
        <f t="shared" si="0"/>
        <v>4835</v>
      </c>
      <c r="K46" s="104">
        <f t="shared" si="4"/>
        <v>6752</v>
      </c>
      <c r="L46" s="60">
        <f>G46-I46</f>
        <v>-11587</v>
      </c>
      <c r="M46" s="42"/>
      <c r="N46" s="19"/>
      <c r="O46" s="19"/>
      <c r="P46" s="19"/>
      <c r="Q46" s="19"/>
      <c r="R46" s="88">
        <v>0</v>
      </c>
      <c r="S46" s="2"/>
      <c r="T46" s="2"/>
      <c r="U46" s="2"/>
      <c r="V46" s="32"/>
      <c r="W46" s="2"/>
      <c r="X46" s="2"/>
      <c r="Y46" s="2"/>
      <c r="AA46" s="2"/>
      <c r="AB46" s="2"/>
      <c r="AC46" s="2"/>
      <c r="AD46" s="2"/>
      <c r="AE46" s="2"/>
      <c r="AF46" s="2"/>
      <c r="AG46" s="2"/>
      <c r="AH46" s="113">
        <v>1642</v>
      </c>
      <c r="AI46" s="2"/>
      <c r="AJ46" s="2"/>
      <c r="AK46" s="2"/>
      <c r="AL46" s="2"/>
      <c r="AM46" s="2"/>
      <c r="AN46" s="2"/>
      <c r="AO46" s="2"/>
      <c r="AP46" s="113">
        <v>3193</v>
      </c>
      <c r="AQ46" s="2"/>
      <c r="AR46" s="2"/>
      <c r="AS46" s="2"/>
      <c r="AT46" s="2"/>
      <c r="AU46" s="2"/>
      <c r="AV46" s="2"/>
      <c r="AW46" s="2"/>
      <c r="AX46" s="2"/>
      <c r="AY46" s="2"/>
      <c r="AZ46" s="113">
        <f>732</f>
        <v>732</v>
      </c>
      <c r="BA46" s="2"/>
      <c r="BB46" s="5">
        <f>1010+1010+4000</f>
        <v>6020</v>
      </c>
    </row>
    <row r="47" spans="2:60" x14ac:dyDescent="0.25">
      <c r="B47" s="16"/>
      <c r="C47" s="370" t="s">
        <v>137</v>
      </c>
      <c r="D47" s="102" t="s">
        <v>77</v>
      </c>
      <c r="E47" s="105"/>
      <c r="F47" s="102"/>
      <c r="G47" s="104">
        <v>0</v>
      </c>
      <c r="H47" s="104">
        <v>0</v>
      </c>
      <c r="I47" s="104">
        <f t="shared" si="3"/>
        <v>36771.11</v>
      </c>
      <c r="J47" s="104">
        <f t="shared" si="0"/>
        <v>26212.55</v>
      </c>
      <c r="K47" s="104">
        <f t="shared" si="4"/>
        <v>10558.56</v>
      </c>
      <c r="L47" s="60"/>
      <c r="M47" s="42"/>
      <c r="N47" s="19"/>
      <c r="O47" s="19"/>
      <c r="P47" s="19"/>
      <c r="Q47" s="19"/>
      <c r="R47" s="88">
        <v>0</v>
      </c>
      <c r="S47" s="2"/>
      <c r="T47" s="2"/>
      <c r="U47" s="2"/>
      <c r="V47" s="32"/>
      <c r="W47" s="2"/>
      <c r="X47" s="2"/>
      <c r="Y47" s="2"/>
      <c r="AA47" s="2"/>
      <c r="AB47" s="2"/>
      <c r="AC47" s="2"/>
      <c r="AD47" s="2"/>
      <c r="AE47" s="2"/>
      <c r="AF47" s="2"/>
      <c r="AG47" s="2"/>
      <c r="AH47" s="2"/>
      <c r="AI47" s="2"/>
      <c r="AJ47" s="2"/>
      <c r="AK47" s="2"/>
      <c r="AL47" s="2"/>
      <c r="AM47" s="113">
        <v>12060.88</v>
      </c>
      <c r="AN47" s="2"/>
      <c r="AO47" s="2"/>
      <c r="AP47" s="113">
        <f>28303.34/2</f>
        <v>14151.67</v>
      </c>
      <c r="AQ47" s="2"/>
      <c r="AR47" s="2"/>
      <c r="AS47" s="2"/>
      <c r="AT47" s="2"/>
      <c r="AU47" s="2"/>
      <c r="AV47" s="2"/>
      <c r="AW47" s="2"/>
      <c r="AX47" s="113">
        <f>1084.6+3253.79</f>
        <v>4338.3899999999994</v>
      </c>
      <c r="AY47" s="2"/>
      <c r="AZ47" s="2"/>
      <c r="BA47" s="2"/>
      <c r="BB47" s="364">
        <f>542.3</f>
        <v>542.29999999999995</v>
      </c>
      <c r="BC47" s="113">
        <f>542.3</f>
        <v>542.29999999999995</v>
      </c>
      <c r="BD47" s="2"/>
      <c r="BF47" s="57">
        <f>135.57</f>
        <v>135.57</v>
      </c>
      <c r="BH47">
        <f>5000</f>
        <v>5000</v>
      </c>
    </row>
    <row r="48" spans="2:60" x14ac:dyDescent="0.25">
      <c r="B48" s="16"/>
      <c r="C48" s="370"/>
      <c r="D48" s="102" t="s">
        <v>79</v>
      </c>
      <c r="E48" s="105"/>
      <c r="F48" s="102"/>
      <c r="G48" s="104">
        <v>0</v>
      </c>
      <c r="H48" s="104">
        <v>0</v>
      </c>
      <c r="I48" s="104">
        <f t="shared" si="3"/>
        <v>5000</v>
      </c>
      <c r="J48" s="104">
        <f t="shared" si="0"/>
        <v>5000</v>
      </c>
      <c r="K48" s="104">
        <f t="shared" si="4"/>
        <v>0</v>
      </c>
      <c r="L48" s="60"/>
      <c r="M48" s="42"/>
      <c r="N48" s="19"/>
      <c r="O48" s="19"/>
      <c r="P48" s="19"/>
      <c r="Q48" s="19"/>
      <c r="R48" s="88">
        <v>0</v>
      </c>
      <c r="S48" s="2"/>
      <c r="T48" s="2"/>
      <c r="U48" s="2"/>
      <c r="V48" s="32"/>
      <c r="W48" s="2"/>
      <c r="X48" s="2"/>
      <c r="Y48" s="2"/>
      <c r="AA48" s="2"/>
      <c r="AB48" s="2"/>
      <c r="AC48" s="2"/>
      <c r="AD48" s="2"/>
      <c r="AE48" s="2"/>
      <c r="AF48" s="2"/>
      <c r="AG48" s="2"/>
      <c r="AH48" s="2"/>
      <c r="AI48" s="2"/>
      <c r="AJ48" s="2"/>
      <c r="AK48" s="2"/>
      <c r="AL48" s="113">
        <v>5000</v>
      </c>
      <c r="AM48" s="2"/>
      <c r="AN48" s="2"/>
      <c r="AO48" s="2"/>
      <c r="AP48" s="28"/>
      <c r="AQ48" s="2"/>
      <c r="AR48" s="2"/>
      <c r="AS48" s="2"/>
      <c r="AT48" s="2"/>
      <c r="AU48" s="2"/>
      <c r="AV48" s="2"/>
      <c r="AW48" s="2"/>
      <c r="AX48" s="2"/>
      <c r="AY48" s="2"/>
      <c r="AZ48" s="2"/>
      <c r="BA48" s="2"/>
      <c r="BB48" s="5"/>
    </row>
    <row r="49" spans="2:62" x14ac:dyDescent="0.25">
      <c r="B49" s="16"/>
      <c r="C49" s="370"/>
      <c r="D49" s="102" t="s">
        <v>138</v>
      </c>
      <c r="E49" s="105"/>
      <c r="F49" s="102"/>
      <c r="G49" s="104">
        <v>0</v>
      </c>
      <c r="H49" s="104">
        <v>0</v>
      </c>
      <c r="I49" s="104">
        <f t="shared" si="3"/>
        <v>20000</v>
      </c>
      <c r="J49" s="104">
        <f t="shared" si="0"/>
        <v>10000</v>
      </c>
      <c r="K49" s="104">
        <f t="shared" si="4"/>
        <v>10000</v>
      </c>
      <c r="L49" s="60">
        <v>0</v>
      </c>
      <c r="M49" s="42"/>
      <c r="N49" s="19"/>
      <c r="O49" s="19"/>
      <c r="P49" s="19"/>
      <c r="Q49" s="19"/>
      <c r="R49" s="88">
        <v>0</v>
      </c>
      <c r="S49" s="2"/>
      <c r="T49" s="2"/>
      <c r="U49" s="2"/>
      <c r="V49" s="32"/>
      <c r="W49" s="2"/>
      <c r="X49" s="2"/>
      <c r="Y49" s="2"/>
      <c r="AA49" s="2"/>
      <c r="AB49" s="2"/>
      <c r="AC49" s="2"/>
      <c r="AD49" s="2"/>
      <c r="AE49" s="2"/>
      <c r="AF49" s="2"/>
      <c r="AG49" s="2"/>
      <c r="AH49" s="2"/>
      <c r="AI49" s="2"/>
      <c r="AJ49" s="2"/>
      <c r="AK49" s="2"/>
      <c r="AL49" s="2"/>
      <c r="AM49" s="113">
        <v>10000</v>
      </c>
      <c r="AN49" s="2"/>
      <c r="AO49" s="2"/>
      <c r="AP49" s="28"/>
      <c r="AQ49" s="2"/>
      <c r="AR49" s="2"/>
      <c r="AS49" s="2"/>
      <c r="AT49" s="2"/>
      <c r="AU49" s="2"/>
      <c r="AV49" s="2"/>
      <c r="AW49" s="2"/>
      <c r="AX49" s="113">
        <f>10000</f>
        <v>10000</v>
      </c>
      <c r="AY49" s="2"/>
      <c r="AZ49" s="2"/>
      <c r="BA49" s="2"/>
      <c r="BB49" s="5"/>
    </row>
    <row r="50" spans="2:62" x14ac:dyDescent="0.25">
      <c r="B50" s="16"/>
      <c r="C50" s="370"/>
      <c r="D50" s="102" t="s">
        <v>78</v>
      </c>
      <c r="E50" s="105"/>
      <c r="F50" s="102"/>
      <c r="G50" s="104">
        <v>0</v>
      </c>
      <c r="H50" s="104">
        <v>0</v>
      </c>
      <c r="I50" s="104">
        <f t="shared" si="3"/>
        <v>4300</v>
      </c>
      <c r="J50" s="104">
        <f t="shared" si="0"/>
        <v>4300</v>
      </c>
      <c r="K50" s="104">
        <f t="shared" si="4"/>
        <v>0</v>
      </c>
      <c r="L50" s="60"/>
      <c r="M50" s="42"/>
      <c r="N50" s="19"/>
      <c r="O50" s="19"/>
      <c r="P50" s="19"/>
      <c r="Q50" s="19"/>
      <c r="R50" s="88">
        <v>0</v>
      </c>
      <c r="S50" s="2"/>
      <c r="T50" s="2"/>
      <c r="U50" s="2"/>
      <c r="V50" s="32"/>
      <c r="W50" s="2"/>
      <c r="X50" s="2"/>
      <c r="Y50" s="2"/>
      <c r="AA50" s="2"/>
      <c r="AB50" s="2"/>
      <c r="AC50" s="2"/>
      <c r="AD50" s="2"/>
      <c r="AE50" s="2"/>
      <c r="AF50" s="2"/>
      <c r="AG50" s="2"/>
      <c r="AH50" s="2"/>
      <c r="AI50" s="2"/>
      <c r="AJ50" s="2"/>
      <c r="AK50" s="2"/>
      <c r="AL50" s="2"/>
      <c r="AM50" s="113">
        <v>3300</v>
      </c>
      <c r="AN50" s="113">
        <v>1000</v>
      </c>
      <c r="AO50" s="2"/>
      <c r="AP50" s="28"/>
      <c r="AQ50" s="2"/>
      <c r="AR50" s="2"/>
      <c r="AS50" s="2"/>
      <c r="AT50" s="2"/>
      <c r="AU50" s="2"/>
      <c r="AV50" s="2"/>
      <c r="AW50" s="2"/>
      <c r="AX50" s="2"/>
      <c r="AY50" s="2"/>
      <c r="AZ50" s="2"/>
      <c r="BA50" s="2"/>
      <c r="BB50" s="5"/>
    </row>
    <row r="51" spans="2:62" x14ac:dyDescent="0.25">
      <c r="B51" s="16"/>
      <c r="C51" s="370" t="s">
        <v>120</v>
      </c>
      <c r="D51" s="102" t="s">
        <v>139</v>
      </c>
      <c r="E51" s="105"/>
      <c r="F51" s="102"/>
      <c r="G51" s="104">
        <v>0</v>
      </c>
      <c r="H51" s="104">
        <v>0</v>
      </c>
      <c r="I51" s="104">
        <f t="shared" si="3"/>
        <v>90000</v>
      </c>
      <c r="J51" s="104">
        <f t="shared" si="0"/>
        <v>30000</v>
      </c>
      <c r="K51" s="104">
        <f t="shared" si="4"/>
        <v>60000</v>
      </c>
      <c r="L51" s="60"/>
      <c r="M51" s="42"/>
      <c r="N51" s="19"/>
      <c r="O51" s="19"/>
      <c r="P51" s="19"/>
      <c r="Q51" s="19"/>
      <c r="R51" s="88">
        <v>0</v>
      </c>
      <c r="S51" s="2"/>
      <c r="T51" s="2"/>
      <c r="U51" s="2"/>
      <c r="V51" s="32"/>
      <c r="W51" s="2"/>
      <c r="X51" s="2"/>
      <c r="Y51" s="2"/>
      <c r="AA51" s="2"/>
      <c r="AB51" s="2"/>
      <c r="AC51" s="2"/>
      <c r="AD51" s="2"/>
      <c r="AE51" s="2"/>
      <c r="AF51" s="2"/>
      <c r="AG51" s="2"/>
      <c r="AH51" s="2"/>
      <c r="AI51" s="2"/>
      <c r="AJ51" s="2"/>
      <c r="AK51" s="2"/>
      <c r="AL51" s="2"/>
      <c r="AM51" s="113">
        <v>30000</v>
      </c>
      <c r="AN51" s="2"/>
      <c r="AO51" s="2"/>
      <c r="AP51" s="28"/>
      <c r="AQ51" s="2"/>
      <c r="AR51" s="113">
        <v>60000</v>
      </c>
      <c r="AS51" s="2"/>
      <c r="AT51" s="2"/>
      <c r="AU51" s="113"/>
      <c r="AV51" s="2"/>
      <c r="AW51" s="2"/>
      <c r="AX51" s="113"/>
      <c r="AY51" s="2"/>
      <c r="AZ51" s="113"/>
      <c r="BA51" s="113"/>
      <c r="BB51" s="364"/>
      <c r="BC51" s="57"/>
      <c r="BD51" s="57"/>
      <c r="BE51" s="57"/>
      <c r="BF51" s="57"/>
      <c r="BG51" s="57"/>
    </row>
    <row r="52" spans="2:62" x14ac:dyDescent="0.25">
      <c r="B52" s="16"/>
      <c r="C52" s="370"/>
      <c r="D52" s="102" t="s">
        <v>83</v>
      </c>
      <c r="E52" s="105"/>
      <c r="F52" s="102"/>
      <c r="G52" s="104">
        <v>0</v>
      </c>
      <c r="H52" s="104">
        <v>0</v>
      </c>
      <c r="I52" s="104">
        <f t="shared" si="3"/>
        <v>6450.1799999999994</v>
      </c>
      <c r="J52" s="104">
        <f t="shared" si="0"/>
        <v>6450.1799999999994</v>
      </c>
      <c r="K52" s="104">
        <f t="shared" si="4"/>
        <v>0</v>
      </c>
      <c r="L52" s="104">
        <f t="shared" ref="L52:V52" si="7">SUM(U52:CE52)</f>
        <v>3225.09</v>
      </c>
      <c r="M52" s="104">
        <f t="shared" si="7"/>
        <v>2150.06</v>
      </c>
      <c r="N52" s="104">
        <f t="shared" si="7"/>
        <v>1075.03</v>
      </c>
      <c r="O52" s="104">
        <f t="shared" si="7"/>
        <v>1075.03</v>
      </c>
      <c r="P52" s="104">
        <f t="shared" si="7"/>
        <v>1075.03</v>
      </c>
      <c r="Q52" s="104">
        <f t="shared" si="7"/>
        <v>1075.03</v>
      </c>
      <c r="R52" s="104">
        <f t="shared" si="7"/>
        <v>1075.03</v>
      </c>
      <c r="S52" s="104">
        <f t="shared" si="7"/>
        <v>1075.03</v>
      </c>
      <c r="T52" s="104">
        <f t="shared" si="7"/>
        <v>1075.03</v>
      </c>
      <c r="U52" s="104">
        <f t="shared" si="7"/>
        <v>1075.03</v>
      </c>
      <c r="V52" s="104">
        <f t="shared" si="7"/>
        <v>1075.03</v>
      </c>
      <c r="W52" s="2"/>
      <c r="X52" s="2"/>
      <c r="Y52" s="2"/>
      <c r="AA52" s="2"/>
      <c r="AB52" s="2"/>
      <c r="AC52" s="2"/>
      <c r="AD52" s="2"/>
      <c r="AE52" s="2"/>
      <c r="AF52" s="2"/>
      <c r="AG52" s="2"/>
      <c r="AH52" s="2"/>
      <c r="AI52" s="2"/>
      <c r="AJ52" s="2"/>
      <c r="AK52" s="2"/>
      <c r="AL52" s="2"/>
      <c r="AM52" s="2"/>
      <c r="AN52" s="2"/>
      <c r="AO52" s="113">
        <v>1075.03</v>
      </c>
      <c r="AP52" s="28"/>
      <c r="AQ52" s="2"/>
      <c r="AR52" s="2"/>
      <c r="AS52" s="2"/>
      <c r="AT52" s="2"/>
      <c r="AU52" s="2"/>
      <c r="AV52" s="2"/>
      <c r="AW52" s="2"/>
      <c r="AX52" s="2"/>
      <c r="AY52" s="2"/>
      <c r="AZ52" s="2"/>
      <c r="BA52" s="2"/>
      <c r="BB52" s="5"/>
    </row>
    <row r="53" spans="2:62" x14ac:dyDescent="0.25">
      <c r="B53" s="16"/>
      <c r="C53" s="370" t="s">
        <v>140</v>
      </c>
      <c r="D53" s="102" t="s">
        <v>84</v>
      </c>
      <c r="E53" s="105"/>
      <c r="F53" s="102"/>
      <c r="G53" s="104">
        <v>0</v>
      </c>
      <c r="H53" s="104">
        <v>0</v>
      </c>
      <c r="I53" s="104">
        <f t="shared" si="3"/>
        <v>19415.2</v>
      </c>
      <c r="J53" s="104">
        <f t="shared" si="0"/>
        <v>0</v>
      </c>
      <c r="K53" s="104">
        <f t="shared" si="4"/>
        <v>19415.2</v>
      </c>
      <c r="L53" s="104"/>
      <c r="M53" s="104"/>
      <c r="N53" s="104"/>
      <c r="O53" s="104"/>
      <c r="P53" s="104"/>
      <c r="Q53" s="104"/>
      <c r="R53" s="255"/>
      <c r="S53" s="255"/>
      <c r="T53" s="255"/>
      <c r="U53" s="255"/>
      <c r="V53" s="255"/>
      <c r="W53" s="2"/>
      <c r="X53" s="2"/>
      <c r="Y53" s="2"/>
      <c r="AA53" s="2"/>
      <c r="AB53" s="2"/>
      <c r="AC53" s="2"/>
      <c r="AD53" s="2"/>
      <c r="AE53" s="2"/>
      <c r="AF53" s="2"/>
      <c r="AG53" s="2"/>
      <c r="AH53" s="2"/>
      <c r="AI53" s="2"/>
      <c r="AJ53" s="2"/>
      <c r="AK53" s="2"/>
      <c r="AL53" s="2"/>
      <c r="AM53" s="2"/>
      <c r="AN53" s="2"/>
      <c r="AO53" s="2"/>
      <c r="AP53" s="28"/>
      <c r="AQ53" s="2"/>
      <c r="AR53" s="2"/>
      <c r="AS53" s="2"/>
      <c r="AT53" s="2"/>
      <c r="AU53" s="2"/>
      <c r="AV53" s="2"/>
      <c r="AW53" s="2"/>
      <c r="AX53" s="2"/>
      <c r="AY53" s="113">
        <f>8400</f>
        <v>8400</v>
      </c>
      <c r="AZ53" s="2"/>
      <c r="BA53" s="113">
        <f>5600</f>
        <v>5600</v>
      </c>
      <c r="BB53" s="364">
        <f>1600+800+1000+115.2</f>
        <v>3515.2</v>
      </c>
      <c r="BC53" s="113">
        <f>1400</f>
        <v>1400</v>
      </c>
      <c r="BD53" s="113">
        <f>500</f>
        <v>500</v>
      </c>
    </row>
    <row r="54" spans="2:62" x14ac:dyDescent="0.25">
      <c r="B54" s="16"/>
      <c r="C54" s="370" t="s">
        <v>141</v>
      </c>
      <c r="D54" s="102" t="s">
        <v>87</v>
      </c>
      <c r="E54" s="105"/>
      <c r="F54" s="102"/>
      <c r="G54" s="104">
        <v>0</v>
      </c>
      <c r="H54" s="104">
        <v>0</v>
      </c>
      <c r="I54" s="104">
        <f t="shared" si="3"/>
        <v>-137315.72</v>
      </c>
      <c r="J54" s="104">
        <f t="shared" si="0"/>
        <v>0</v>
      </c>
      <c r="K54" s="104">
        <f t="shared" si="4"/>
        <v>-137315.72</v>
      </c>
      <c r="L54" s="104"/>
      <c r="M54" s="104"/>
      <c r="N54" s="104"/>
      <c r="O54" s="104"/>
      <c r="P54" s="104"/>
      <c r="Q54" s="104"/>
      <c r="R54" s="255"/>
      <c r="S54" s="255"/>
      <c r="T54" s="255"/>
      <c r="U54" s="255"/>
      <c r="V54" s="255"/>
      <c r="W54" s="2"/>
      <c r="X54" s="2"/>
      <c r="Y54" s="2"/>
      <c r="AA54" s="2"/>
      <c r="AB54" s="2"/>
      <c r="AC54" s="2"/>
      <c r="AD54" s="2"/>
      <c r="AE54" s="2"/>
      <c r="AF54" s="2"/>
      <c r="AG54" s="2"/>
      <c r="AH54" s="2"/>
      <c r="AI54" s="2"/>
      <c r="AJ54" s="2"/>
      <c r="AK54" s="2"/>
      <c r="AL54" s="2"/>
      <c r="AM54" s="2"/>
      <c r="AN54" s="2"/>
      <c r="AO54" s="2"/>
      <c r="AP54" s="28"/>
      <c r="AQ54" s="2"/>
      <c r="AR54" s="2"/>
      <c r="AS54" s="2"/>
      <c r="AT54" s="2"/>
      <c r="AU54" s="2"/>
      <c r="AV54" s="2"/>
      <c r="AW54" s="2"/>
      <c r="AX54" s="2"/>
      <c r="AY54" s="2"/>
      <c r="AZ54" s="2"/>
      <c r="BA54" s="2"/>
      <c r="BB54" s="5"/>
      <c r="BC54" s="113">
        <f>-137315.72</f>
        <v>-137315.72</v>
      </c>
    </row>
    <row r="55" spans="2:62" x14ac:dyDescent="0.25">
      <c r="B55" s="257" t="s">
        <v>88</v>
      </c>
      <c r="C55" s="371" t="s">
        <v>142</v>
      </c>
      <c r="D55" s="258" t="s">
        <v>143</v>
      </c>
      <c r="E55" s="261"/>
      <c r="F55" s="258"/>
      <c r="G55" s="259">
        <v>150000</v>
      </c>
      <c r="H55" s="259">
        <v>129771.36</v>
      </c>
      <c r="I55" s="259">
        <f t="shared" si="3"/>
        <v>416546.31</v>
      </c>
      <c r="J55" s="259">
        <f t="shared" si="0"/>
        <v>309492.74</v>
      </c>
      <c r="K55" s="259">
        <f t="shared" si="4"/>
        <v>107053.56999999998</v>
      </c>
      <c r="L55" s="25">
        <f t="shared" ref="L55:L58" si="8">G55-I55</f>
        <v>-266546.31</v>
      </c>
      <c r="M55" s="42">
        <f>86392.08+7175+650+(46840/2)+12134</f>
        <v>129771.08</v>
      </c>
      <c r="N55" s="19">
        <v>145000</v>
      </c>
      <c r="O55" s="19"/>
      <c r="P55" s="19"/>
      <c r="Q55" s="25">
        <f>M55</f>
        <v>129771.08</v>
      </c>
      <c r="R55" s="88">
        <f>2337.83+13747.28</f>
        <v>16085.11</v>
      </c>
      <c r="S55" s="2"/>
      <c r="T55" s="2"/>
      <c r="U55" s="2"/>
      <c r="V55" s="32"/>
      <c r="W55" s="2"/>
      <c r="Y55" s="2"/>
      <c r="Z55" s="2"/>
      <c r="AA55" s="2"/>
      <c r="AB55" s="2"/>
      <c r="AC55" s="113">
        <f>18440.58</f>
        <v>18440.580000000002</v>
      </c>
      <c r="AD55" s="113">
        <v>7253.5</v>
      </c>
      <c r="AE55" s="113">
        <v>6053.75</v>
      </c>
      <c r="AF55" s="113">
        <f>21464.25+9942.5</f>
        <v>31406.75</v>
      </c>
      <c r="AG55" s="113">
        <v>13613.5</v>
      </c>
      <c r="AH55" s="113">
        <v>4878.75</v>
      </c>
      <c r="AI55" s="113">
        <v>10195.5</v>
      </c>
      <c r="AJ55" s="113">
        <v>11150.06</v>
      </c>
      <c r="AK55" s="113">
        <v>23905.68</v>
      </c>
      <c r="AL55" s="113">
        <f>16498.86+(270.5/2)</f>
        <v>16634.11</v>
      </c>
      <c r="AM55" s="113">
        <f>18273.91</f>
        <v>18273.91</v>
      </c>
      <c r="AN55" s="113">
        <f>41580.92</f>
        <v>41580.92</v>
      </c>
      <c r="AO55" s="113">
        <v>35671.07</v>
      </c>
      <c r="AP55" s="113">
        <f>54349.55</f>
        <v>54349.55</v>
      </c>
      <c r="AQ55" s="113">
        <f>5994.2</f>
        <v>5994.2</v>
      </c>
      <c r="AR55" s="113">
        <f>18417.62</f>
        <v>18417.62</v>
      </c>
      <c r="AS55" s="113">
        <f>8533.9</f>
        <v>8533.9</v>
      </c>
      <c r="AT55" s="113">
        <f>4060.5</f>
        <v>4060.5</v>
      </c>
      <c r="AU55" s="113">
        <f>2768.95</f>
        <v>2768.95</v>
      </c>
      <c r="AV55" s="113">
        <f>2465.5</f>
        <v>2465.5</v>
      </c>
      <c r="AW55" s="113">
        <f>2361.75</f>
        <v>2361.75</v>
      </c>
      <c r="AX55" s="113">
        <f>2536.5</f>
        <v>2536.5</v>
      </c>
      <c r="AY55" s="113">
        <f>2204.25</f>
        <v>2204.25</v>
      </c>
      <c r="AZ55" s="113">
        <f>11492.88</f>
        <v>11492.88</v>
      </c>
      <c r="BA55" s="113">
        <f>9738.19</f>
        <v>9738.19</v>
      </c>
      <c r="BB55" s="364">
        <f>7470.68</f>
        <v>7470.68</v>
      </c>
      <c r="BC55" s="113">
        <f>6438.29</f>
        <v>6438.29</v>
      </c>
      <c r="BD55" s="113">
        <f>4319.67</f>
        <v>4319.67</v>
      </c>
      <c r="BE55" s="113">
        <f>855.12</f>
        <v>855.12</v>
      </c>
      <c r="BF55" s="113">
        <f>6983.07</f>
        <v>6983.07</v>
      </c>
      <c r="BH55">
        <f>412.5</f>
        <v>412.5</v>
      </c>
      <c r="BJ55">
        <f>7300+2700</f>
        <v>10000</v>
      </c>
    </row>
    <row r="56" spans="2:62" x14ac:dyDescent="0.25">
      <c r="B56" s="16"/>
      <c r="C56" s="370" t="s">
        <v>144</v>
      </c>
      <c r="D56" t="s">
        <v>145</v>
      </c>
      <c r="E56" s="52"/>
      <c r="G56" s="19">
        <v>0</v>
      </c>
      <c r="H56" s="19">
        <v>150000</v>
      </c>
      <c r="I56" s="19">
        <f t="shared" si="3"/>
        <v>176133.81</v>
      </c>
      <c r="J56" s="19">
        <f t="shared" si="0"/>
        <v>51136.82</v>
      </c>
      <c r="K56" s="19">
        <f t="shared" si="4"/>
        <v>124996.99</v>
      </c>
      <c r="L56" s="19">
        <f t="shared" si="8"/>
        <v>-176133.81</v>
      </c>
      <c r="M56" s="42"/>
      <c r="N56" s="19"/>
      <c r="O56" s="19"/>
      <c r="P56" s="19"/>
      <c r="Q56" s="19"/>
      <c r="R56" s="88">
        <v>0</v>
      </c>
      <c r="S56" s="2"/>
      <c r="T56" s="2"/>
      <c r="U56" s="2"/>
      <c r="V56" s="32"/>
      <c r="W56" s="2"/>
      <c r="Y56" s="2"/>
      <c r="Z56" s="2"/>
      <c r="AA56" s="2"/>
      <c r="AB56" s="2"/>
      <c r="AC56" s="2"/>
      <c r="AD56" s="2"/>
      <c r="AE56" s="2"/>
      <c r="AF56" s="2"/>
      <c r="AG56" s="113">
        <v>30251.07</v>
      </c>
      <c r="AH56" s="113">
        <v>1347.5</v>
      </c>
      <c r="AI56" s="113">
        <v>2391.75</v>
      </c>
      <c r="AJ56" s="113">
        <v>5132.5</v>
      </c>
      <c r="AK56" s="113">
        <v>4026.5</v>
      </c>
      <c r="AL56" s="113">
        <v>2416.25</v>
      </c>
      <c r="AM56" s="113">
        <v>2578.75</v>
      </c>
      <c r="AN56" s="2"/>
      <c r="AO56" s="113">
        <f>2992.5</f>
        <v>2992.5</v>
      </c>
      <c r="AP56" s="28"/>
      <c r="AQ56" s="113">
        <f>213.75+5857.5+81.9</f>
        <v>6153.15</v>
      </c>
      <c r="AR56" s="113">
        <f>5261.75+6348.75</f>
        <v>11610.5</v>
      </c>
      <c r="AS56" s="113">
        <f>8820</f>
        <v>8820</v>
      </c>
      <c r="AT56" s="113">
        <f>4291.5</f>
        <v>4291.5</v>
      </c>
      <c r="AU56" s="113">
        <f>5222.75</f>
        <v>5222.75</v>
      </c>
      <c r="AV56" s="113">
        <f>6450.5</f>
        <v>6450.5</v>
      </c>
      <c r="AW56" s="113">
        <f>6266.44</f>
        <v>6266.44</v>
      </c>
      <c r="AX56" s="113">
        <f>7719.02</f>
        <v>7719.02</v>
      </c>
      <c r="AY56" s="113">
        <f>6377.02</f>
        <v>6377.02</v>
      </c>
      <c r="AZ56" s="113">
        <f>6101.25</f>
        <v>6101.25</v>
      </c>
      <c r="BA56" s="113">
        <f>8828.5</f>
        <v>8828.5</v>
      </c>
      <c r="BB56" s="364">
        <f>4032.5+3</f>
        <v>4035.5</v>
      </c>
      <c r="BC56" s="113">
        <f>8758.25</f>
        <v>8758.25</v>
      </c>
      <c r="BD56" s="113">
        <f>6780.5+3-1581.89</f>
        <v>5201.6099999999997</v>
      </c>
      <c r="BE56" s="113">
        <f>4321.5</f>
        <v>4321.5</v>
      </c>
      <c r="BF56" s="113">
        <f>3029.75</f>
        <v>3029.75</v>
      </c>
      <c r="BG56" s="113">
        <f>1993.75</f>
        <v>1993.75</v>
      </c>
      <c r="BH56">
        <f>4696.75+119.25</f>
        <v>4816</v>
      </c>
      <c r="BI56">
        <f>10000</f>
        <v>10000</v>
      </c>
      <c r="BJ56" s="2">
        <v>5000</v>
      </c>
    </row>
    <row r="57" spans="2:62" ht="29.1" customHeight="1" x14ac:dyDescent="0.25">
      <c r="B57" s="16"/>
      <c r="C57" s="373" t="s">
        <v>146</v>
      </c>
      <c r="D57" t="s">
        <v>91</v>
      </c>
      <c r="E57" s="52"/>
      <c r="G57" s="19">
        <v>0</v>
      </c>
      <c r="H57" s="19">
        <v>525000</v>
      </c>
      <c r="I57" s="19">
        <f t="shared" si="3"/>
        <v>561570.1</v>
      </c>
      <c r="J57" s="19">
        <f t="shared" si="0"/>
        <v>13000</v>
      </c>
      <c r="K57" s="19">
        <f t="shared" si="4"/>
        <v>548570.1</v>
      </c>
      <c r="L57" s="19">
        <f t="shared" si="8"/>
        <v>-561570.1</v>
      </c>
      <c r="M57" s="42"/>
      <c r="N57" s="19"/>
      <c r="O57" s="19"/>
      <c r="P57" s="19"/>
      <c r="Q57" s="19"/>
      <c r="R57" s="88">
        <v>0</v>
      </c>
      <c r="S57" s="2"/>
      <c r="T57" s="2"/>
      <c r="U57" s="2"/>
      <c r="V57" s="32"/>
      <c r="W57" s="2"/>
      <c r="Y57" s="2"/>
      <c r="Z57" s="2"/>
      <c r="AA57" s="2"/>
      <c r="AB57" s="2"/>
      <c r="AC57" s="2"/>
      <c r="AD57" s="2"/>
      <c r="AE57" s="2"/>
      <c r="AF57" s="2"/>
      <c r="AG57" s="113">
        <v>10000</v>
      </c>
      <c r="AH57" s="2"/>
      <c r="AI57" s="2"/>
      <c r="AJ57" s="2"/>
      <c r="AK57" s="2"/>
      <c r="AL57" s="2"/>
      <c r="AM57" s="2"/>
      <c r="AN57" s="113">
        <v>3000</v>
      </c>
      <c r="AO57" s="2"/>
      <c r="AP57" s="28"/>
      <c r="AQ57" s="113">
        <f>250+250+1000+1200+2200</f>
        <v>4900</v>
      </c>
      <c r="AR57" s="113">
        <f>250+5000+1200+1200+1200+1200+1200+1200+1200+1200</f>
        <v>14850</v>
      </c>
      <c r="AS57" s="113">
        <f>2000+1000</f>
        <v>3000</v>
      </c>
      <c r="AT57" s="2"/>
      <c r="AU57" s="113">
        <f>550+2000</f>
        <v>2550</v>
      </c>
      <c r="AV57" s="2"/>
      <c r="AW57" s="113">
        <f>3500+2500+2500</f>
        <v>8500</v>
      </c>
      <c r="AX57" s="113">
        <f>500+1245+300</f>
        <v>2045</v>
      </c>
      <c r="AY57" s="2"/>
      <c r="AZ57" s="2"/>
      <c r="BA57" s="113">
        <f>1000</f>
        <v>1000</v>
      </c>
      <c r="BB57" s="364">
        <f>1418.85+56.25</f>
        <v>1475.1</v>
      </c>
      <c r="BC57" s="2"/>
      <c r="BD57" s="2"/>
      <c r="BE57" s="2"/>
      <c r="BF57" s="2">
        <v>150000</v>
      </c>
      <c r="BG57" s="2">
        <v>110250</v>
      </c>
      <c r="BH57" s="2">
        <v>250000</v>
      </c>
    </row>
    <row r="58" spans="2:62" ht="30" x14ac:dyDescent="0.25">
      <c r="B58" s="16"/>
      <c r="C58" s="373" t="s">
        <v>147</v>
      </c>
      <c r="D58" t="s">
        <v>92</v>
      </c>
      <c r="E58" s="52"/>
      <c r="G58" s="19">
        <v>0</v>
      </c>
      <c r="H58" s="19">
        <v>105000</v>
      </c>
      <c r="I58" s="19">
        <f t="shared" si="3"/>
        <v>113780.4</v>
      </c>
      <c r="J58" s="19">
        <f t="shared" si="0"/>
        <v>8396.4000000000015</v>
      </c>
      <c r="K58" s="19">
        <f t="shared" si="4"/>
        <v>105384</v>
      </c>
      <c r="L58" s="19">
        <f t="shared" si="8"/>
        <v>-113780.4</v>
      </c>
      <c r="M58" s="42"/>
      <c r="N58" s="19"/>
      <c r="O58" s="19"/>
      <c r="P58" s="19"/>
      <c r="Q58" s="19"/>
      <c r="R58" s="88">
        <v>0</v>
      </c>
      <c r="S58" s="2"/>
      <c r="T58" s="2"/>
      <c r="U58" s="2"/>
      <c r="V58" s="32"/>
      <c r="W58" s="2"/>
      <c r="Y58" s="2"/>
      <c r="Z58" s="2"/>
      <c r="AA58" s="2"/>
      <c r="AB58" s="2"/>
      <c r="AC58" s="2"/>
      <c r="AD58" s="2"/>
      <c r="AE58" s="2"/>
      <c r="AF58" s="2"/>
      <c r="AG58" s="2"/>
      <c r="AH58" s="113">
        <v>5306.8</v>
      </c>
      <c r="AI58" s="113">
        <v>1578.4</v>
      </c>
      <c r="AJ58" s="2"/>
      <c r="AK58" s="2"/>
      <c r="AL58" s="113">
        <v>1511.2</v>
      </c>
      <c r="AM58" s="2"/>
      <c r="AN58" s="2"/>
      <c r="AO58" s="2"/>
      <c r="AP58" s="28"/>
      <c r="AQ58" s="2"/>
      <c r="AR58" s="2"/>
      <c r="AS58" s="2"/>
      <c r="AT58" s="2"/>
      <c r="AU58" s="113">
        <v>3300</v>
      </c>
      <c r="AV58" s="113">
        <f>20900</f>
        <v>20900</v>
      </c>
      <c r="AW58" s="2"/>
      <c r="AX58" s="2"/>
      <c r="AY58" s="2"/>
      <c r="AZ58" s="2"/>
      <c r="BA58" s="2"/>
      <c r="BB58" s="5"/>
      <c r="BC58" s="113">
        <f>2500+52+132</f>
        <v>2684</v>
      </c>
      <c r="BD58" s="2">
        <f>3500</f>
        <v>3500</v>
      </c>
      <c r="BE58" s="2">
        <v>10000</v>
      </c>
      <c r="BF58" s="2">
        <v>5000</v>
      </c>
      <c r="BG58" s="2">
        <v>60000</v>
      </c>
    </row>
    <row r="59" spans="2:62" x14ac:dyDescent="0.25">
      <c r="B59" s="14" t="s">
        <v>93</v>
      </c>
      <c r="C59" s="15"/>
      <c r="D59" s="15" t="s">
        <v>94</v>
      </c>
      <c r="E59" s="53"/>
      <c r="F59" s="6"/>
      <c r="G59" s="21">
        <f>SUM(G11:G39)*0.1</f>
        <v>308800</v>
      </c>
      <c r="H59" s="21">
        <v>442090.55300000001</v>
      </c>
      <c r="I59" s="21">
        <f ca="1">SUMIF(R2:BA2,"&gt;"&amp;TODAY(),R59:CB59)</f>
        <v>0</v>
      </c>
      <c r="J59" s="21"/>
      <c r="K59" s="21">
        <f t="shared" si="4"/>
        <v>0</v>
      </c>
      <c r="L59" s="21">
        <f t="shared" ca="1" si="2"/>
        <v>308800</v>
      </c>
      <c r="M59" s="21"/>
      <c r="N59" s="21"/>
      <c r="O59" s="21"/>
      <c r="P59" s="21"/>
      <c r="Q59" s="84">
        <f>SUM(Q15:Q52)*0.1</f>
        <v>178464.49900000001</v>
      </c>
      <c r="R59" s="88">
        <v>0</v>
      </c>
      <c r="S59" s="2">
        <f>SUM(S11:S52)*0.1</f>
        <v>107.503</v>
      </c>
      <c r="T59" s="2">
        <f>SUM(T11:T52)*0.1</f>
        <v>107.503</v>
      </c>
      <c r="U59" s="2">
        <f>SUM(U11:U52)*0.1</f>
        <v>107.503</v>
      </c>
      <c r="V59" s="32">
        <v>0</v>
      </c>
      <c r="W59" s="2"/>
      <c r="X59" s="2">
        <f>SUM(X11:X52)*0.1</f>
        <v>0</v>
      </c>
      <c r="Y59" s="2">
        <f>SUM(Y11:Y52)*0.1</f>
        <v>0</v>
      </c>
      <c r="Z59" s="2">
        <f>SUM(Z11:Z52)*0.1</f>
        <v>0</v>
      </c>
      <c r="AA59" s="2">
        <f>SUM(AA11:AA52)*0.1</f>
        <v>0</v>
      </c>
      <c r="AB59" s="2">
        <f>SUM(AB11:AB52)*0.1</f>
        <v>0</v>
      </c>
      <c r="AC59" s="2">
        <v>0</v>
      </c>
      <c r="AD59" s="2">
        <v>0</v>
      </c>
      <c r="AE59" s="2">
        <v>0</v>
      </c>
      <c r="AF59" s="2">
        <v>0</v>
      </c>
      <c r="AG59" s="2">
        <v>0</v>
      </c>
      <c r="AH59" s="2">
        <v>0</v>
      </c>
      <c r="AI59" s="2">
        <v>0</v>
      </c>
      <c r="AJ59" s="2">
        <v>0</v>
      </c>
      <c r="AK59" s="2">
        <v>0</v>
      </c>
      <c r="AL59" s="2">
        <v>0</v>
      </c>
      <c r="AM59" s="2">
        <v>0</v>
      </c>
      <c r="AN59" s="28">
        <v>0</v>
      </c>
      <c r="AO59" s="28">
        <v>0</v>
      </c>
      <c r="AP59" s="28">
        <v>0</v>
      </c>
      <c r="AQ59" s="28">
        <v>0</v>
      </c>
      <c r="AR59" s="28">
        <v>0</v>
      </c>
      <c r="AS59" s="28">
        <v>0</v>
      </c>
      <c r="AT59" s="28">
        <v>0</v>
      </c>
      <c r="AU59" s="28">
        <v>0</v>
      </c>
      <c r="AV59" s="28">
        <v>0</v>
      </c>
      <c r="AW59" s="28">
        <v>0</v>
      </c>
      <c r="AX59" s="28">
        <v>0</v>
      </c>
      <c r="AY59" s="28">
        <v>0</v>
      </c>
      <c r="AZ59" s="28">
        <v>0</v>
      </c>
      <c r="BA59" s="28">
        <v>0</v>
      </c>
      <c r="BB59" s="367">
        <v>0</v>
      </c>
    </row>
    <row r="60" spans="2:62" x14ac:dyDescent="0.25">
      <c r="B60" s="14" t="s">
        <v>148</v>
      </c>
      <c r="C60" s="15"/>
      <c r="D60" s="15"/>
      <c r="E60" s="54"/>
      <c r="F60" s="15"/>
      <c r="G60" s="21">
        <v>200000</v>
      </c>
      <c r="H60" s="21">
        <v>0</v>
      </c>
      <c r="I60" s="21">
        <v>0</v>
      </c>
      <c r="J60" s="21"/>
      <c r="K60" s="21">
        <f t="shared" si="4"/>
        <v>0</v>
      </c>
      <c r="L60" s="21">
        <f t="shared" si="2"/>
        <v>200000</v>
      </c>
      <c r="M60" s="21"/>
      <c r="N60" s="21"/>
      <c r="O60" s="21"/>
      <c r="P60" s="21"/>
      <c r="Q60" s="21"/>
      <c r="R60" s="88"/>
      <c r="S60" s="2"/>
      <c r="T60" s="2"/>
      <c r="U60" s="2"/>
      <c r="V60" s="32"/>
      <c r="W60" s="2"/>
      <c r="X60" s="2"/>
      <c r="Y60" s="2"/>
      <c r="Z60" s="2"/>
      <c r="AA60" s="2"/>
      <c r="AB60" s="2"/>
      <c r="AC60" s="2"/>
      <c r="AD60" s="2"/>
      <c r="AE60" s="2"/>
      <c r="AF60" s="2"/>
      <c r="AG60" s="2"/>
      <c r="AH60" s="2"/>
      <c r="AI60" s="2"/>
      <c r="AJ60" s="2"/>
      <c r="AK60" s="2"/>
      <c r="AL60" s="2"/>
      <c r="AM60" s="2"/>
      <c r="AN60" s="2"/>
      <c r="AO60" s="2"/>
      <c r="AP60" s="28"/>
      <c r="AQ60" s="2"/>
      <c r="AR60" s="2"/>
      <c r="AS60" s="2"/>
      <c r="AT60" s="2"/>
      <c r="AU60" s="2"/>
      <c r="AV60" s="2"/>
      <c r="AW60" s="2"/>
      <c r="AX60" s="2"/>
      <c r="AY60" s="2"/>
      <c r="AZ60" s="2"/>
      <c r="BA60" s="2"/>
      <c r="BB60" s="5"/>
    </row>
    <row r="61" spans="2:62" x14ac:dyDescent="0.25">
      <c r="B61" s="14" t="s">
        <v>149</v>
      </c>
      <c r="C61" s="15"/>
      <c r="D61" s="15"/>
      <c r="E61" s="54"/>
      <c r="F61" s="15"/>
      <c r="G61" s="21">
        <v>30000</v>
      </c>
      <c r="H61" s="21">
        <v>30000</v>
      </c>
      <c r="I61" s="21">
        <f>SUM(R61:CB61)</f>
        <v>30000</v>
      </c>
      <c r="J61" s="19">
        <f t="shared" ref="J61:J63" si="9">SUM(R61:AP61)</f>
        <v>2263</v>
      </c>
      <c r="K61" s="21">
        <f t="shared" si="4"/>
        <v>27737</v>
      </c>
      <c r="L61" s="21">
        <f t="shared" si="2"/>
        <v>0</v>
      </c>
      <c r="M61" s="21"/>
      <c r="N61" s="21"/>
      <c r="O61" s="21"/>
      <c r="P61" s="21"/>
      <c r="Q61" s="21"/>
      <c r="R61" s="88"/>
      <c r="S61" s="2"/>
      <c r="T61" s="2"/>
      <c r="U61" s="2"/>
      <c r="V61" s="32"/>
      <c r="W61" s="2"/>
      <c r="X61" s="2"/>
      <c r="Y61" s="2"/>
      <c r="Z61" s="2"/>
      <c r="AA61" s="2"/>
      <c r="AB61" s="2"/>
      <c r="AC61" s="2"/>
      <c r="AD61" s="113">
        <v>513</v>
      </c>
      <c r="AE61" s="2"/>
      <c r="AF61" s="113">
        <v>1750</v>
      </c>
      <c r="AG61" s="2"/>
      <c r="AH61" s="2"/>
      <c r="AI61" s="2"/>
      <c r="AJ61" s="2"/>
      <c r="AK61" s="2"/>
      <c r="AL61" s="28"/>
      <c r="AM61" s="2"/>
      <c r="AN61" s="2"/>
      <c r="AO61" s="2"/>
      <c r="AP61" s="28"/>
      <c r="AQ61" s="113">
        <v>513</v>
      </c>
      <c r="AR61" s="2"/>
      <c r="AS61" s="256">
        <v>513</v>
      </c>
      <c r="AT61" s="2"/>
      <c r="AU61" s="2"/>
      <c r="AV61" s="2"/>
      <c r="AW61" s="2"/>
      <c r="AX61" s="2"/>
      <c r="AY61" s="2"/>
      <c r="AZ61" s="2"/>
      <c r="BA61" s="2"/>
      <c r="BB61" s="364">
        <f>900</f>
        <v>900</v>
      </c>
      <c r="BC61" s="2">
        <v>750</v>
      </c>
      <c r="BD61" s="2">
        <v>1375</v>
      </c>
      <c r="BE61" s="2">
        <v>1875</v>
      </c>
      <c r="BF61" s="2">
        <v>21811</v>
      </c>
    </row>
    <row r="62" spans="2:62" x14ac:dyDescent="0.25">
      <c r="B62" s="14" t="s">
        <v>95</v>
      </c>
      <c r="C62" s="15"/>
      <c r="D62" s="15"/>
      <c r="E62" s="54"/>
      <c r="F62" s="15"/>
      <c r="G62" s="21"/>
      <c r="H62" s="21">
        <v>0</v>
      </c>
      <c r="I62" s="21">
        <f>SUM(R62:CB62)</f>
        <v>0</v>
      </c>
      <c r="J62" s="21">
        <f t="shared" si="9"/>
        <v>0</v>
      </c>
      <c r="K62" s="21">
        <f t="shared" si="4"/>
        <v>0</v>
      </c>
      <c r="L62" s="21">
        <f t="shared" si="2"/>
        <v>0</v>
      </c>
      <c r="M62" s="21"/>
      <c r="N62" s="21"/>
      <c r="O62" s="21"/>
      <c r="P62" s="21"/>
      <c r="Q62" s="21"/>
      <c r="R62" s="89"/>
      <c r="S62" s="2"/>
      <c r="T62" s="2"/>
      <c r="U62" s="2"/>
      <c r="V62" s="32"/>
      <c r="W62" s="2"/>
      <c r="X62" s="2"/>
      <c r="Y62" s="2"/>
      <c r="Z62" s="2"/>
      <c r="AA62" s="2"/>
      <c r="AB62" s="2"/>
      <c r="AC62" s="2"/>
      <c r="AD62" s="2"/>
      <c r="AE62" s="2"/>
      <c r="AF62" s="2"/>
      <c r="AG62" s="2"/>
      <c r="AH62" s="2"/>
      <c r="AI62" s="2"/>
      <c r="AJ62" s="2"/>
      <c r="AK62" s="2"/>
      <c r="AL62" s="2"/>
      <c r="AM62" s="2"/>
      <c r="AN62" s="2"/>
      <c r="AO62" s="2"/>
      <c r="AP62" s="28"/>
      <c r="AQ62" s="2"/>
      <c r="AR62" s="2"/>
      <c r="AS62" s="2"/>
      <c r="AT62" s="2"/>
      <c r="AU62" s="2"/>
      <c r="AV62" s="2"/>
      <c r="AW62" s="2"/>
      <c r="AX62" s="2"/>
      <c r="AY62" s="2"/>
      <c r="AZ62" s="2"/>
      <c r="BA62" s="2"/>
      <c r="BB62" s="5"/>
    </row>
    <row r="63" spans="2:62" ht="15.75" thickBot="1" x14ac:dyDescent="0.3">
      <c r="B63" s="8" t="s">
        <v>97</v>
      </c>
      <c r="E63" s="52"/>
      <c r="G63" s="19">
        <v>30000</v>
      </c>
      <c r="H63" s="19">
        <v>30000</v>
      </c>
      <c r="I63" s="19">
        <f>SUM(R63:CB63)</f>
        <v>30000</v>
      </c>
      <c r="J63" s="19">
        <f t="shared" si="9"/>
        <v>0</v>
      </c>
      <c r="K63" s="19">
        <f t="shared" si="4"/>
        <v>30000</v>
      </c>
      <c r="L63" s="19">
        <f t="shared" si="2"/>
        <v>0</v>
      </c>
      <c r="M63" s="19"/>
      <c r="N63" s="19"/>
      <c r="O63" s="19"/>
      <c r="P63" s="19"/>
      <c r="Q63" s="19"/>
      <c r="R63" s="88"/>
      <c r="S63" s="2"/>
      <c r="T63" s="2"/>
      <c r="U63" s="2"/>
      <c r="V63" s="32"/>
      <c r="W63" s="2"/>
      <c r="X63" s="2"/>
      <c r="Y63" s="2"/>
      <c r="Z63" s="2"/>
      <c r="AA63" s="2"/>
      <c r="AB63" s="2"/>
      <c r="AC63" s="2"/>
      <c r="AD63" s="2"/>
      <c r="AE63" s="2"/>
      <c r="AF63" s="2"/>
      <c r="AG63" s="2"/>
      <c r="AH63" s="2"/>
      <c r="AI63" s="2"/>
      <c r="AJ63" s="2"/>
      <c r="AK63" s="2"/>
      <c r="AL63" s="2"/>
      <c r="AM63" s="2"/>
      <c r="AN63" s="2"/>
      <c r="AO63" s="2"/>
      <c r="AP63" s="28"/>
      <c r="AQ63" s="2"/>
      <c r="AR63" s="2"/>
      <c r="AS63" s="2"/>
      <c r="AT63" s="2"/>
      <c r="AU63" s="2"/>
      <c r="AV63" s="2"/>
      <c r="AW63" s="2">
        <v>5000</v>
      </c>
      <c r="AX63" s="2">
        <v>5000</v>
      </c>
      <c r="AY63" s="2">
        <v>5000</v>
      </c>
      <c r="AZ63" s="2">
        <v>5000</v>
      </c>
      <c r="BA63" s="2">
        <v>5000</v>
      </c>
      <c r="BB63" s="5">
        <v>5000</v>
      </c>
    </row>
    <row r="64" spans="2:62" ht="15.75" thickBot="1" x14ac:dyDescent="0.3">
      <c r="B64" s="11" t="s">
        <v>98</v>
      </c>
      <c r="C64" s="12"/>
      <c r="D64" s="12"/>
      <c r="E64" s="51"/>
      <c r="F64" s="12"/>
      <c r="G64" s="58">
        <f>SUM(G5:G63)</f>
        <v>4071800</v>
      </c>
      <c r="H64" s="58">
        <f>SUM(H5:H63)</f>
        <v>4958693.983</v>
      </c>
      <c r="I64" s="58">
        <f ca="1">SUM(I5:I63)</f>
        <v>7932516.5633333316</v>
      </c>
      <c r="J64" s="58">
        <f>SUM(J5:J63)</f>
        <v>4505129.4900000012</v>
      </c>
      <c r="K64" s="58">
        <f>SUM(K5:K63)</f>
        <v>3427387.0733333337</v>
      </c>
      <c r="L64" s="58">
        <f t="shared" ca="1" si="2"/>
        <v>-3860716.5633333316</v>
      </c>
      <c r="M64" s="58"/>
      <c r="N64" s="58"/>
      <c r="O64" s="58"/>
      <c r="P64" s="58"/>
      <c r="Q64" s="58">
        <f t="shared" ref="Q64:V64" si="10">SUM(Q5:Q63)</f>
        <v>3294791.1923333327</v>
      </c>
      <c r="R64" s="88">
        <f t="shared" si="10"/>
        <v>1006826.75</v>
      </c>
      <c r="S64" s="2">
        <f t="shared" si="10"/>
        <v>1182.5329999999999</v>
      </c>
      <c r="T64" s="2">
        <f t="shared" si="10"/>
        <v>1182.5329999999999</v>
      </c>
      <c r="U64" s="2">
        <f t="shared" si="10"/>
        <v>1182.5329999999999</v>
      </c>
      <c r="V64" s="32">
        <f t="shared" si="10"/>
        <v>1075.03</v>
      </c>
      <c r="W64" s="2"/>
      <c r="X64" s="2">
        <f t="shared" ref="X64:BB64" si="11">SUM(X5:X63)</f>
        <v>0</v>
      </c>
      <c r="Y64" s="2">
        <f t="shared" si="11"/>
        <v>0</v>
      </c>
      <c r="Z64" s="2">
        <f t="shared" si="11"/>
        <v>0</v>
      </c>
      <c r="AA64" s="2">
        <f t="shared" si="11"/>
        <v>0</v>
      </c>
      <c r="AB64" s="2">
        <f t="shared" si="11"/>
        <v>0</v>
      </c>
      <c r="AC64" s="2">
        <f t="shared" si="11"/>
        <v>49110.33</v>
      </c>
      <c r="AD64" s="2">
        <f t="shared" si="11"/>
        <v>84547.72</v>
      </c>
      <c r="AE64" s="2">
        <f t="shared" si="11"/>
        <v>60816.21</v>
      </c>
      <c r="AF64" s="2">
        <f t="shared" si="11"/>
        <v>102312.88</v>
      </c>
      <c r="AG64" s="2">
        <f t="shared" si="11"/>
        <v>175504.89</v>
      </c>
      <c r="AH64" s="2">
        <f t="shared" si="11"/>
        <v>175294.64</v>
      </c>
      <c r="AI64" s="2">
        <f t="shared" si="11"/>
        <v>192770.5</v>
      </c>
      <c r="AJ64" s="2">
        <f t="shared" si="11"/>
        <v>147208.04</v>
      </c>
      <c r="AK64" s="2">
        <f t="shared" si="11"/>
        <v>487120.02999999997</v>
      </c>
      <c r="AL64" s="2">
        <f t="shared" si="11"/>
        <v>301379.15999999997</v>
      </c>
      <c r="AM64" s="2">
        <f t="shared" si="11"/>
        <v>444239.86</v>
      </c>
      <c r="AN64" s="2">
        <f t="shared" si="11"/>
        <v>305261.42</v>
      </c>
      <c r="AO64" s="2">
        <f t="shared" si="11"/>
        <v>292884.51999999996</v>
      </c>
      <c r="AP64" s="28">
        <f t="shared" si="11"/>
        <v>675552.42</v>
      </c>
      <c r="AQ64" s="2">
        <f t="shared" si="11"/>
        <v>70864.350000000006</v>
      </c>
      <c r="AR64" s="2">
        <f t="shared" si="11"/>
        <v>213836.34999999998</v>
      </c>
      <c r="AS64" s="2">
        <f t="shared" si="11"/>
        <v>-3078.5500000000011</v>
      </c>
      <c r="AT64" s="2">
        <f t="shared" si="11"/>
        <v>80516.27</v>
      </c>
      <c r="AU64" s="2">
        <f t="shared" si="11"/>
        <v>107754.67</v>
      </c>
      <c r="AV64" s="2">
        <f t="shared" si="11"/>
        <v>146354.87</v>
      </c>
      <c r="AW64" s="2">
        <f t="shared" si="11"/>
        <v>93739.75</v>
      </c>
      <c r="AX64" s="2">
        <f t="shared" si="11"/>
        <v>368962.23000000004</v>
      </c>
      <c r="AY64" s="2">
        <f t="shared" si="11"/>
        <v>158536.16999999998</v>
      </c>
      <c r="AZ64" s="2">
        <f t="shared" si="11"/>
        <v>136964.66</v>
      </c>
      <c r="BA64" s="2">
        <f t="shared" si="11"/>
        <v>136652.19</v>
      </c>
      <c r="BB64" s="5">
        <f t="shared" si="11"/>
        <v>250531.96</v>
      </c>
    </row>
    <row r="65" spans="2:54" ht="15.75" thickBot="1" x14ac:dyDescent="0.3">
      <c r="B65" s="9" t="s">
        <v>99</v>
      </c>
      <c r="C65" s="10"/>
      <c r="D65" s="38">
        <v>780</v>
      </c>
      <c r="E65" s="55"/>
      <c r="F65" s="38"/>
      <c r="G65" s="59"/>
      <c r="H65" s="59"/>
      <c r="I65" s="59"/>
      <c r="J65" s="59"/>
      <c r="K65" s="59"/>
      <c r="L65" s="59"/>
      <c r="M65" s="59"/>
      <c r="N65" s="59"/>
      <c r="O65" s="59"/>
      <c r="P65" s="59"/>
      <c r="Q65" s="59"/>
      <c r="R65" s="90"/>
      <c r="S65" s="2"/>
      <c r="T65" s="2"/>
      <c r="U65" s="2"/>
      <c r="V65" s="32"/>
      <c r="W65" s="2"/>
      <c r="X65" s="2"/>
      <c r="Y65" s="2"/>
      <c r="Z65" s="2"/>
      <c r="AA65" s="2"/>
      <c r="AB65" s="2"/>
      <c r="AC65" s="2"/>
      <c r="AD65" s="2"/>
      <c r="AE65" s="2"/>
      <c r="AF65" s="2"/>
      <c r="AG65" s="2"/>
      <c r="AH65" s="2"/>
      <c r="AI65" s="2"/>
      <c r="AJ65" s="2"/>
      <c r="AK65" s="2"/>
      <c r="AL65" s="2"/>
      <c r="AM65" s="2"/>
      <c r="AN65" s="2"/>
      <c r="AO65" s="2"/>
      <c r="AP65" s="28"/>
      <c r="AQ65" s="2"/>
      <c r="AR65" s="2"/>
      <c r="AS65" s="2"/>
      <c r="AT65" s="2"/>
      <c r="AU65" s="2"/>
      <c r="AV65" s="2"/>
      <c r="AW65" s="2"/>
      <c r="AX65" s="2"/>
      <c r="AY65" s="2"/>
      <c r="AZ65" s="2"/>
      <c r="BA65" s="2"/>
      <c r="BB65" s="5"/>
    </row>
    <row r="66" spans="2:54" ht="15.75" thickBot="1" x14ac:dyDescent="0.3">
      <c r="B66" s="35" t="s">
        <v>100</v>
      </c>
      <c r="C66" s="372"/>
      <c r="D66" s="10"/>
      <c r="E66" s="56"/>
      <c r="F66" s="10"/>
      <c r="G66" s="36">
        <f>G64/D65</f>
        <v>5220.2564102564102</v>
      </c>
      <c r="H66" s="36">
        <f>H64/D65</f>
        <v>6357.2999782051284</v>
      </c>
      <c r="I66" s="36">
        <f ca="1">I64/D65</f>
        <v>10169.893029914529</v>
      </c>
      <c r="J66" s="36"/>
      <c r="K66" s="36"/>
      <c r="L66" s="36"/>
      <c r="M66" s="36"/>
      <c r="N66" s="36"/>
      <c r="O66" s="36"/>
      <c r="P66" s="36"/>
      <c r="Q66" s="36"/>
      <c r="R66" s="86">
        <f>R64/D65</f>
        <v>1290.8035256410255</v>
      </c>
      <c r="S66" s="6"/>
      <c r="T66" s="6"/>
      <c r="U66" s="6"/>
      <c r="V66" s="33"/>
      <c r="W66" s="6"/>
      <c r="X66" s="6"/>
      <c r="Y66" s="6"/>
      <c r="Z66" s="6"/>
      <c r="AA66" s="6"/>
      <c r="AB66" s="6"/>
      <c r="AC66" s="6"/>
      <c r="AD66" s="6"/>
      <c r="AE66" s="6"/>
      <c r="AF66" s="6"/>
      <c r="AG66" s="6"/>
      <c r="AH66" s="6"/>
      <c r="AI66" s="6"/>
      <c r="AJ66" s="6"/>
      <c r="AK66" s="6"/>
      <c r="AL66" s="6"/>
      <c r="AM66" s="6"/>
      <c r="AN66" s="6"/>
      <c r="AO66" s="6"/>
      <c r="AP66" s="29"/>
      <c r="AQ66" s="6"/>
      <c r="AR66" s="6"/>
      <c r="AS66" s="6"/>
      <c r="AT66" s="6"/>
      <c r="AU66" s="6"/>
      <c r="AV66" s="6"/>
      <c r="AW66" s="6"/>
      <c r="AX66" s="6"/>
      <c r="AY66" s="6"/>
      <c r="AZ66" s="6"/>
      <c r="BA66" s="6"/>
      <c r="BB66" s="7"/>
    </row>
    <row r="67" spans="2:54" x14ac:dyDescent="0.25">
      <c r="AF67" s="34" t="s">
        <v>101</v>
      </c>
      <c r="AG67" s="2">
        <f>SUM(S64:AG64)</f>
        <v>476914.65899999999</v>
      </c>
      <c r="AH67" s="2"/>
    </row>
    <row r="69" spans="2:54" x14ac:dyDescent="0.25">
      <c r="I69" s="63" t="s">
        <v>150</v>
      </c>
      <c r="J69" s="63"/>
      <c r="K69" s="63"/>
      <c r="L69" s="63"/>
      <c r="M69" s="63"/>
      <c r="N69" s="63"/>
      <c r="O69" s="63"/>
      <c r="P69" s="63"/>
      <c r="Q69" s="63"/>
      <c r="V69" s="32"/>
      <c r="W69" s="32"/>
      <c r="X69" s="32"/>
      <c r="Y69" s="32"/>
      <c r="Z69" s="32"/>
      <c r="AA69" s="32"/>
      <c r="AB69" s="32"/>
      <c r="AC69" s="32"/>
      <c r="AD69" s="32"/>
      <c r="AE69" s="32"/>
      <c r="AF69" s="32"/>
      <c r="AG69" s="32"/>
      <c r="AH69" s="32"/>
      <c r="AI69" s="32"/>
      <c r="AJ69" s="32"/>
      <c r="AK69" s="32"/>
      <c r="AL69" s="32"/>
      <c r="AM69" s="2"/>
      <c r="AN69" s="32"/>
      <c r="AO69" s="32"/>
      <c r="AP69" s="32"/>
      <c r="AQ69" s="32"/>
      <c r="AR69" s="32"/>
      <c r="AS69" s="32"/>
      <c r="AT69" s="32"/>
      <c r="AU69" s="32"/>
      <c r="AV69" s="32"/>
      <c r="AW69" s="32"/>
      <c r="AX69" s="32"/>
      <c r="AY69" s="32"/>
      <c r="AZ69" s="32"/>
      <c r="BA69" s="32"/>
      <c r="BB69" s="32"/>
    </row>
    <row r="70" spans="2:54" x14ac:dyDescent="0.25">
      <c r="I70" s="26" t="s">
        <v>151</v>
      </c>
      <c r="J70" s="26"/>
      <c r="K70" s="26"/>
      <c r="L70" s="26"/>
      <c r="M70" s="26"/>
      <c r="N70" s="26"/>
      <c r="O70" s="26"/>
      <c r="P70" s="26"/>
      <c r="Q70" s="26"/>
    </row>
    <row r="71" spans="2:54" x14ac:dyDescent="0.25">
      <c r="I71" s="64" t="s">
        <v>152</v>
      </c>
      <c r="J71" s="64"/>
      <c r="K71" s="64"/>
      <c r="L71" s="64"/>
      <c r="M71" s="64"/>
      <c r="N71" s="64"/>
      <c r="O71" s="64"/>
      <c r="P71" s="64"/>
      <c r="Q71" s="64"/>
    </row>
    <row r="73" spans="2:54" x14ac:dyDescent="0.25">
      <c r="R73" s="88"/>
    </row>
    <row r="75" spans="2:54" x14ac:dyDescent="0.25">
      <c r="B75" t="s">
        <v>153</v>
      </c>
      <c r="D75" t="s">
        <v>154</v>
      </c>
      <c r="I75">
        <v>121000</v>
      </c>
      <c r="R75" s="86" t="s">
        <v>155</v>
      </c>
    </row>
    <row r="76" spans="2:54" x14ac:dyDescent="0.25">
      <c r="D76" t="s">
        <v>156</v>
      </c>
      <c r="I76">
        <v>45000</v>
      </c>
      <c r="R76" s="86" t="s">
        <v>157</v>
      </c>
    </row>
    <row r="77" spans="2:54" x14ac:dyDescent="0.25">
      <c r="D77" t="s">
        <v>158</v>
      </c>
      <c r="I77" s="1">
        <f>I76+I75</f>
        <v>166000</v>
      </c>
      <c r="J77" s="1"/>
      <c r="K77" s="1"/>
      <c r="L77" s="1"/>
      <c r="M77" s="1"/>
      <c r="N77" s="1"/>
      <c r="O77" s="1"/>
      <c r="P77" s="1"/>
      <c r="Q77" s="1"/>
    </row>
    <row r="79" spans="2:54" x14ac:dyDescent="0.25">
      <c r="D79" t="s">
        <v>159</v>
      </c>
      <c r="I79" s="1">
        <v>162150</v>
      </c>
      <c r="J79" s="1"/>
      <c r="K79" s="1"/>
      <c r="L79" s="1"/>
      <c r="M79" s="1"/>
      <c r="N79" s="1"/>
      <c r="O79" s="1"/>
      <c r="P79" s="1"/>
      <c r="Q79" s="1"/>
      <c r="R79" s="86" t="s">
        <v>160</v>
      </c>
    </row>
    <row r="81" spans="4:18" x14ac:dyDescent="0.25">
      <c r="D81" t="s">
        <v>161</v>
      </c>
      <c r="I81">
        <v>75000</v>
      </c>
      <c r="R81" s="86" t="s">
        <v>155</v>
      </c>
    </row>
    <row r="82" spans="4:18" x14ac:dyDescent="0.25">
      <c r="D82" t="s">
        <v>162</v>
      </c>
      <c r="I82">
        <v>161750</v>
      </c>
      <c r="R82" s="86" t="s">
        <v>163</v>
      </c>
    </row>
    <row r="83" spans="4:18" x14ac:dyDescent="0.25">
      <c r="I83" s="1">
        <f>I82+I81</f>
        <v>236750</v>
      </c>
      <c r="J83" s="1"/>
      <c r="K83" s="1"/>
      <c r="L83" s="1"/>
      <c r="M83" s="1"/>
      <c r="N83" s="1"/>
      <c r="O83" s="1"/>
      <c r="P83" s="1"/>
      <c r="Q83" s="1"/>
    </row>
    <row r="88" spans="4:18" x14ac:dyDescent="0.25">
      <c r="D88" s="1" t="s">
        <v>104</v>
      </c>
    </row>
    <row r="89" spans="4:18" x14ac:dyDescent="0.25">
      <c r="D89" t="s">
        <v>105</v>
      </c>
      <c r="F89" s="20">
        <f t="shared" ref="F89" si="12">SUM(P89:BB89)</f>
        <v>0</v>
      </c>
    </row>
  </sheetData>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E92F-FCA0-4346-BE15-359BC9E1422A}">
  <dimension ref="B2:X37"/>
  <sheetViews>
    <sheetView showGridLines="0" topLeftCell="A3" zoomScaleNormal="100" workbookViewId="0">
      <selection activeCell="N4" sqref="N4"/>
    </sheetView>
  </sheetViews>
  <sheetFormatPr defaultRowHeight="15" x14ac:dyDescent="0.25"/>
  <cols>
    <col min="1" max="1" width="4.42578125" customWidth="1"/>
    <col min="2" max="2" width="44.5703125" bestFit="1" customWidth="1"/>
    <col min="3" max="3" width="33.42578125" bestFit="1" customWidth="1"/>
    <col min="4" max="4" width="15" customWidth="1"/>
    <col min="5" max="5" width="12.5703125" bestFit="1" customWidth="1"/>
    <col min="7" max="7" width="9.42578125" customWidth="1"/>
    <col min="9" max="9" width="9.42578125" style="30"/>
    <col min="13" max="13" width="9.42578125" style="26"/>
  </cols>
  <sheetData>
    <row r="2" spans="2:24" x14ac:dyDescent="0.25">
      <c r="B2" s="1" t="s">
        <v>164</v>
      </c>
    </row>
    <row r="3" spans="2:24" ht="15.75" thickBot="1" x14ac:dyDescent="0.3">
      <c r="F3" t="s">
        <v>14</v>
      </c>
      <c r="I3" s="30" t="s">
        <v>165</v>
      </c>
      <c r="M3" s="26" t="s">
        <v>166</v>
      </c>
      <c r="X3" t="s">
        <v>167</v>
      </c>
    </row>
    <row r="4" spans="2:24" ht="30.75" thickBot="1" x14ac:dyDescent="0.3">
      <c r="B4" s="11" t="s">
        <v>16</v>
      </c>
      <c r="C4" s="12" t="s">
        <v>17</v>
      </c>
      <c r="D4" s="41" t="s">
        <v>168</v>
      </c>
      <c r="E4" s="18" t="s">
        <v>169</v>
      </c>
      <c r="F4" s="3">
        <v>1</v>
      </c>
      <c r="G4" s="3">
        <v>2</v>
      </c>
      <c r="H4" s="3">
        <v>3</v>
      </c>
      <c r="I4" s="31">
        <v>4</v>
      </c>
      <c r="J4" s="3">
        <v>5</v>
      </c>
      <c r="K4" s="3">
        <v>6</v>
      </c>
      <c r="L4" s="3">
        <v>7</v>
      </c>
      <c r="M4" s="27">
        <v>8</v>
      </c>
      <c r="N4" s="3">
        <v>9</v>
      </c>
      <c r="O4" s="3">
        <v>10</v>
      </c>
      <c r="P4" s="3">
        <v>11</v>
      </c>
      <c r="Q4" s="3">
        <v>12</v>
      </c>
      <c r="R4" s="3">
        <v>13</v>
      </c>
      <c r="S4" s="3">
        <v>14</v>
      </c>
      <c r="T4" s="3">
        <v>15</v>
      </c>
      <c r="U4" s="3">
        <v>16</v>
      </c>
      <c r="V4" s="3">
        <v>17</v>
      </c>
      <c r="W4" s="4">
        <v>18</v>
      </c>
    </row>
    <row r="5" spans="2:24" x14ac:dyDescent="0.25">
      <c r="B5" s="8" t="s">
        <v>29</v>
      </c>
      <c r="C5" t="s">
        <v>170</v>
      </c>
      <c r="D5" s="19">
        <v>3000</v>
      </c>
      <c r="E5" s="19">
        <v>8000</v>
      </c>
      <c r="F5" s="2">
        <v>5000</v>
      </c>
      <c r="G5" s="2"/>
      <c r="H5" s="2"/>
      <c r="I5" s="32"/>
      <c r="J5" s="2"/>
      <c r="K5" s="2"/>
      <c r="L5" s="2"/>
      <c r="M5" s="28"/>
      <c r="N5" s="2"/>
      <c r="O5" s="2"/>
      <c r="P5" s="2"/>
      <c r="Q5" s="2"/>
      <c r="R5" s="2"/>
      <c r="S5" s="2"/>
      <c r="T5" s="2"/>
      <c r="U5" s="2"/>
      <c r="V5" s="2"/>
      <c r="W5" s="5"/>
    </row>
    <row r="6" spans="2:24" x14ac:dyDescent="0.25">
      <c r="B6" s="8"/>
      <c r="C6" t="s">
        <v>111</v>
      </c>
      <c r="D6" s="19"/>
      <c r="E6" s="19">
        <f t="shared" ref="E6:E30" si="0">SUM(F6:W6)</f>
        <v>2000</v>
      </c>
      <c r="F6" s="2">
        <v>500</v>
      </c>
      <c r="G6" s="2">
        <v>500</v>
      </c>
      <c r="H6" s="2">
        <v>500</v>
      </c>
      <c r="I6" s="32">
        <v>500</v>
      </c>
      <c r="J6" s="2"/>
      <c r="K6" s="2"/>
      <c r="L6" s="2"/>
      <c r="M6" s="28"/>
      <c r="N6" s="2"/>
      <c r="O6" s="2"/>
      <c r="P6" s="2"/>
      <c r="Q6" s="2"/>
      <c r="R6" s="2"/>
      <c r="S6" s="2"/>
      <c r="T6" s="2"/>
      <c r="U6" s="2"/>
      <c r="V6" s="2"/>
      <c r="W6" s="5"/>
    </row>
    <row r="7" spans="2:24" x14ac:dyDescent="0.25">
      <c r="B7" s="13"/>
      <c r="C7" s="6" t="s">
        <v>32</v>
      </c>
      <c r="D7" s="20">
        <v>50000</v>
      </c>
      <c r="E7" s="20">
        <f t="shared" si="0"/>
        <v>50000</v>
      </c>
      <c r="F7" s="2"/>
      <c r="G7" s="2"/>
      <c r="H7" s="2"/>
      <c r="I7" s="32">
        <v>50000</v>
      </c>
      <c r="J7" s="2"/>
      <c r="K7" s="2"/>
      <c r="L7" s="2"/>
      <c r="M7" s="28"/>
      <c r="N7" s="2"/>
      <c r="O7" s="2"/>
      <c r="P7" s="2"/>
      <c r="Q7" s="2"/>
      <c r="R7" s="2"/>
      <c r="S7" s="2"/>
      <c r="T7" s="2"/>
      <c r="U7" s="2"/>
      <c r="V7" s="2"/>
      <c r="W7" s="5"/>
    </row>
    <row r="8" spans="2:24" x14ac:dyDescent="0.25">
      <c r="B8" s="14" t="s">
        <v>35</v>
      </c>
      <c r="C8" s="15"/>
      <c r="D8" s="21">
        <v>36000</v>
      </c>
      <c r="E8" s="21">
        <f t="shared" si="0"/>
        <v>40000</v>
      </c>
      <c r="F8" s="2">
        <v>15000</v>
      </c>
      <c r="G8" s="2">
        <v>15000</v>
      </c>
      <c r="H8" s="2">
        <v>10000</v>
      </c>
      <c r="I8" s="32"/>
      <c r="J8" s="2"/>
      <c r="K8" s="2"/>
      <c r="L8" s="2"/>
      <c r="M8" s="28"/>
      <c r="N8" s="2"/>
      <c r="O8" s="2"/>
      <c r="P8" s="2"/>
      <c r="Q8" s="2"/>
      <c r="R8" s="2"/>
      <c r="S8" s="2"/>
      <c r="T8" s="2"/>
      <c r="U8" s="2"/>
      <c r="V8" s="2"/>
      <c r="W8" s="5"/>
    </row>
    <row r="9" spans="2:24" x14ac:dyDescent="0.25">
      <c r="B9" s="14" t="s">
        <v>40</v>
      </c>
      <c r="C9" s="15"/>
      <c r="D9" s="21">
        <v>18000</v>
      </c>
      <c r="E9" s="21">
        <f t="shared" si="0"/>
        <v>24000</v>
      </c>
      <c r="F9" s="2">
        <v>1000</v>
      </c>
      <c r="G9" s="2"/>
      <c r="H9" s="2">
        <v>1000</v>
      </c>
      <c r="I9" s="32">
        <v>2000</v>
      </c>
      <c r="J9" s="2">
        <v>2000</v>
      </c>
      <c r="K9" s="2">
        <v>2000</v>
      </c>
      <c r="L9" s="2">
        <v>2000</v>
      </c>
      <c r="M9" s="28">
        <v>2000</v>
      </c>
      <c r="N9" s="2">
        <v>2000</v>
      </c>
      <c r="O9" s="2">
        <v>2000</v>
      </c>
      <c r="P9" s="2">
        <v>2000</v>
      </c>
      <c r="Q9" s="2">
        <v>2000</v>
      </c>
      <c r="R9" s="2">
        <v>2000</v>
      </c>
      <c r="S9" s="2">
        <v>2000</v>
      </c>
      <c r="T9" s="2"/>
      <c r="U9" s="2"/>
      <c r="V9" s="2"/>
      <c r="W9" s="5"/>
    </row>
    <row r="10" spans="2:24" x14ac:dyDescent="0.25">
      <c r="B10" s="14" t="s">
        <v>37</v>
      </c>
      <c r="C10" s="15"/>
      <c r="D10" s="21">
        <v>145000</v>
      </c>
      <c r="E10" s="21">
        <f t="shared" si="0"/>
        <v>150000</v>
      </c>
      <c r="F10" s="2"/>
      <c r="G10" s="2"/>
      <c r="H10" s="2"/>
      <c r="I10" s="32"/>
      <c r="J10" s="2"/>
      <c r="K10" s="2">
        <v>150000</v>
      </c>
      <c r="L10" s="2"/>
      <c r="M10" s="28"/>
      <c r="N10" s="2"/>
      <c r="O10" s="2"/>
      <c r="P10" s="2"/>
      <c r="Q10" s="2"/>
      <c r="R10" s="2"/>
      <c r="S10" s="2"/>
      <c r="T10" s="2"/>
      <c r="U10" s="2"/>
      <c r="V10" s="2"/>
      <c r="W10" s="5"/>
    </row>
    <row r="11" spans="2:24" x14ac:dyDescent="0.25">
      <c r="B11" s="16" t="s">
        <v>42</v>
      </c>
      <c r="C11" t="s">
        <v>43</v>
      </c>
      <c r="D11" s="19">
        <v>2500</v>
      </c>
      <c r="E11" s="19">
        <f t="shared" si="0"/>
        <v>5000</v>
      </c>
      <c r="F11" s="2"/>
      <c r="G11" s="2"/>
      <c r="H11" s="2"/>
      <c r="I11" s="32">
        <v>3000</v>
      </c>
      <c r="J11" s="2"/>
      <c r="K11" s="2"/>
      <c r="L11" s="2"/>
      <c r="M11" s="28">
        <v>2000</v>
      </c>
      <c r="N11" s="2"/>
      <c r="O11" s="2"/>
      <c r="P11" s="2"/>
      <c r="Q11" s="2"/>
      <c r="R11" s="2"/>
      <c r="S11" s="2"/>
      <c r="T11" s="2"/>
      <c r="U11" s="2"/>
      <c r="V11" s="2"/>
      <c r="W11" s="5"/>
    </row>
    <row r="12" spans="2:24" x14ac:dyDescent="0.25">
      <c r="B12" s="16"/>
      <c r="C12" t="s">
        <v>44</v>
      </c>
      <c r="D12" s="19">
        <v>3500</v>
      </c>
      <c r="E12" s="19">
        <f t="shared" si="0"/>
        <v>5000</v>
      </c>
      <c r="F12" s="2"/>
      <c r="G12" s="2"/>
      <c r="H12" s="2"/>
      <c r="I12" s="32">
        <v>5000</v>
      </c>
      <c r="J12" s="2"/>
      <c r="K12" s="2"/>
      <c r="L12" s="2"/>
      <c r="M12" s="28"/>
      <c r="N12" s="2"/>
      <c r="O12" s="2"/>
      <c r="P12" s="2"/>
      <c r="Q12" s="2"/>
      <c r="R12" s="2"/>
      <c r="S12" s="2"/>
      <c r="T12" s="2"/>
      <c r="U12" s="2"/>
      <c r="V12" s="2"/>
      <c r="W12" s="5"/>
      <c r="X12">
        <v>3400</v>
      </c>
    </row>
    <row r="13" spans="2:24" x14ac:dyDescent="0.25">
      <c r="B13" s="16"/>
      <c r="C13" t="s">
        <v>46</v>
      </c>
      <c r="D13" s="42"/>
      <c r="E13" s="19">
        <f t="shared" si="0"/>
        <v>5000</v>
      </c>
      <c r="F13" s="2"/>
      <c r="G13" s="2"/>
      <c r="H13" s="2"/>
      <c r="I13" s="32">
        <v>4000</v>
      </c>
      <c r="J13" s="2"/>
      <c r="K13" s="2"/>
      <c r="L13" s="2"/>
      <c r="M13" s="28">
        <v>1000</v>
      </c>
      <c r="N13" s="2"/>
      <c r="O13" s="2"/>
      <c r="P13" s="2"/>
      <c r="Q13" s="2"/>
      <c r="R13" s="2"/>
      <c r="S13" s="2"/>
      <c r="T13" s="2"/>
      <c r="U13" s="2"/>
      <c r="V13" s="2"/>
      <c r="W13" s="5"/>
    </row>
    <row r="14" spans="2:24" x14ac:dyDescent="0.25">
      <c r="B14" s="16"/>
      <c r="C14" t="s">
        <v>47</v>
      </c>
      <c r="D14" s="19">
        <v>2250</v>
      </c>
      <c r="E14" s="19">
        <f t="shared" si="0"/>
        <v>4000</v>
      </c>
      <c r="F14" s="2"/>
      <c r="G14" s="2"/>
      <c r="H14" s="2"/>
      <c r="I14" s="32">
        <v>3000</v>
      </c>
      <c r="J14" s="2"/>
      <c r="K14" s="2"/>
      <c r="L14" s="2"/>
      <c r="M14" s="28">
        <v>1000</v>
      </c>
      <c r="N14" s="2"/>
      <c r="O14" s="2"/>
      <c r="P14" s="2"/>
      <c r="Q14" s="2"/>
      <c r="R14" s="2"/>
      <c r="S14" s="2"/>
      <c r="T14" s="2"/>
      <c r="U14" s="2"/>
      <c r="V14" s="2"/>
      <c r="W14" s="5"/>
      <c r="X14">
        <v>1750</v>
      </c>
    </row>
    <row r="15" spans="2:24" x14ac:dyDescent="0.25">
      <c r="B15" s="16"/>
      <c r="C15" t="s">
        <v>48</v>
      </c>
      <c r="D15" s="19">
        <v>26000</v>
      </c>
      <c r="E15" s="19">
        <f t="shared" si="0"/>
        <v>25000</v>
      </c>
      <c r="F15" s="2"/>
      <c r="G15" s="2"/>
      <c r="H15" s="2"/>
      <c r="I15" s="32">
        <v>25000</v>
      </c>
      <c r="J15" s="2"/>
      <c r="K15" s="2"/>
      <c r="L15" s="2"/>
      <c r="M15" s="28"/>
      <c r="N15" s="2"/>
      <c r="O15" s="2"/>
      <c r="P15" s="2"/>
      <c r="Q15" s="2"/>
      <c r="R15" s="2"/>
      <c r="S15" s="2"/>
      <c r="T15" s="2"/>
      <c r="U15" s="2"/>
      <c r="V15" s="2"/>
      <c r="W15" s="5"/>
    </row>
    <row r="16" spans="2:24" x14ac:dyDescent="0.25">
      <c r="B16" s="16"/>
      <c r="C16" t="s">
        <v>171</v>
      </c>
      <c r="D16" s="42">
        <v>90000</v>
      </c>
      <c r="E16" s="19">
        <v>90000</v>
      </c>
      <c r="F16" s="2"/>
      <c r="G16" s="2"/>
      <c r="H16" s="2"/>
      <c r="I16" s="32"/>
      <c r="J16" s="2">
        <v>20000</v>
      </c>
      <c r="K16" s="2">
        <v>20000</v>
      </c>
      <c r="L16" s="2">
        <v>20000</v>
      </c>
      <c r="M16" s="28"/>
      <c r="N16" s="2"/>
      <c r="O16" s="2"/>
      <c r="P16" s="2"/>
      <c r="Q16" s="2"/>
      <c r="R16" s="2"/>
      <c r="S16" s="2"/>
      <c r="T16" s="2"/>
      <c r="U16" s="2"/>
      <c r="V16" s="2"/>
      <c r="W16" s="5"/>
    </row>
    <row r="17" spans="2:24" x14ac:dyDescent="0.25">
      <c r="B17" s="16"/>
      <c r="C17" t="s">
        <v>172</v>
      </c>
      <c r="D17" s="42"/>
      <c r="E17" s="19">
        <f t="shared" si="0"/>
        <v>3000</v>
      </c>
      <c r="F17" s="2"/>
      <c r="G17" s="2"/>
      <c r="H17" s="2"/>
      <c r="I17" s="32">
        <v>2000</v>
      </c>
      <c r="J17" s="2"/>
      <c r="K17" s="2"/>
      <c r="L17" s="2"/>
      <c r="M17" s="28">
        <v>1000</v>
      </c>
      <c r="N17" s="2"/>
      <c r="O17" s="2"/>
      <c r="P17" s="2"/>
      <c r="Q17" s="2"/>
      <c r="R17" s="2"/>
      <c r="S17" s="2"/>
      <c r="T17" s="2"/>
      <c r="U17" s="2"/>
      <c r="V17" s="2"/>
      <c r="W17" s="5"/>
    </row>
    <row r="18" spans="2:24" x14ac:dyDescent="0.25">
      <c r="B18" s="16"/>
      <c r="C18" t="s">
        <v>54</v>
      </c>
      <c r="D18" s="19">
        <v>0</v>
      </c>
      <c r="E18" s="19">
        <f t="shared" si="0"/>
        <v>5000</v>
      </c>
      <c r="F18" s="2"/>
      <c r="G18" s="2"/>
      <c r="H18" s="2"/>
      <c r="I18" s="32">
        <v>3000</v>
      </c>
      <c r="J18" s="2"/>
      <c r="K18" s="2"/>
      <c r="L18" s="2"/>
      <c r="M18" s="28">
        <v>1000</v>
      </c>
      <c r="N18" s="2"/>
      <c r="O18" s="2">
        <v>1000</v>
      </c>
      <c r="P18" s="2"/>
      <c r="Q18" s="2"/>
      <c r="R18" s="2"/>
      <c r="S18" s="2"/>
      <c r="T18" s="2"/>
      <c r="U18" s="2"/>
      <c r="V18" s="2"/>
      <c r="W18" s="5"/>
      <c r="X18" t="s">
        <v>173</v>
      </c>
    </row>
    <row r="19" spans="2:24" x14ac:dyDescent="0.25">
      <c r="B19" s="16"/>
      <c r="C19" t="s">
        <v>56</v>
      </c>
      <c r="D19" s="19">
        <v>7500</v>
      </c>
      <c r="E19" s="19">
        <f t="shared" si="0"/>
        <v>10000</v>
      </c>
      <c r="F19" s="2"/>
      <c r="G19" s="2"/>
      <c r="H19" s="2"/>
      <c r="I19" s="32">
        <v>5000</v>
      </c>
      <c r="J19" s="2"/>
      <c r="K19" s="2"/>
      <c r="L19" s="2"/>
      <c r="M19" s="28">
        <v>3000</v>
      </c>
      <c r="N19" s="2"/>
      <c r="O19" s="2">
        <v>2000</v>
      </c>
      <c r="P19" s="2"/>
      <c r="Q19" s="2"/>
      <c r="R19" s="2"/>
      <c r="S19" s="2"/>
      <c r="T19" s="2"/>
      <c r="U19" s="2"/>
      <c r="V19" s="2"/>
      <c r="W19" s="5"/>
    </row>
    <row r="20" spans="2:24" x14ac:dyDescent="0.25">
      <c r="B20" s="16"/>
      <c r="C20" t="s">
        <v>58</v>
      </c>
      <c r="D20" s="19">
        <v>8500</v>
      </c>
      <c r="E20" s="19">
        <f t="shared" si="0"/>
        <v>7500</v>
      </c>
      <c r="F20" s="2"/>
      <c r="G20" s="2"/>
      <c r="H20" s="2"/>
      <c r="I20" s="32">
        <v>5000</v>
      </c>
      <c r="J20" s="2"/>
      <c r="K20" s="2"/>
      <c r="L20" s="2"/>
      <c r="M20" s="28">
        <v>1500</v>
      </c>
      <c r="N20" s="2"/>
      <c r="O20" s="2">
        <v>1000</v>
      </c>
      <c r="P20" s="2"/>
      <c r="Q20" s="2"/>
      <c r="R20" s="2"/>
      <c r="S20" s="2"/>
      <c r="T20" s="2"/>
      <c r="U20" s="2"/>
      <c r="V20" s="2"/>
      <c r="W20" s="5"/>
    </row>
    <row r="21" spans="2:24" x14ac:dyDescent="0.25">
      <c r="B21" s="16"/>
      <c r="C21" t="s">
        <v>59</v>
      </c>
      <c r="D21" s="19">
        <v>3000</v>
      </c>
      <c r="E21" s="19">
        <f t="shared" si="0"/>
        <v>3000</v>
      </c>
      <c r="F21" s="2"/>
      <c r="G21" s="2"/>
      <c r="H21" s="2"/>
      <c r="I21" s="32">
        <v>2000</v>
      </c>
      <c r="J21" s="2"/>
      <c r="K21" s="2"/>
      <c r="L21" s="2"/>
      <c r="M21" s="28">
        <v>1000</v>
      </c>
      <c r="N21" s="2"/>
      <c r="O21" s="2"/>
      <c r="P21" s="2"/>
      <c r="Q21" s="2"/>
      <c r="R21" s="2"/>
      <c r="S21" s="2"/>
      <c r="T21" s="2"/>
      <c r="U21" s="2"/>
      <c r="V21" s="2"/>
      <c r="W21" s="5"/>
      <c r="X21" t="s">
        <v>173</v>
      </c>
    </row>
    <row r="22" spans="2:24" x14ac:dyDescent="0.25">
      <c r="B22" s="16"/>
      <c r="C22" t="s">
        <v>60</v>
      </c>
      <c r="D22" s="19">
        <v>1500</v>
      </c>
      <c r="E22" s="19">
        <f t="shared" si="0"/>
        <v>3000</v>
      </c>
      <c r="F22" s="2"/>
      <c r="G22" s="2"/>
      <c r="H22" s="2"/>
      <c r="I22" s="32">
        <v>2000</v>
      </c>
      <c r="J22" s="2"/>
      <c r="K22" s="2"/>
      <c r="L22" s="2"/>
      <c r="M22" s="28">
        <v>1000</v>
      </c>
      <c r="N22" s="2"/>
      <c r="O22" s="2"/>
      <c r="P22" s="2"/>
      <c r="Q22" s="2"/>
      <c r="R22" s="2"/>
      <c r="S22" s="2"/>
      <c r="T22" s="2"/>
      <c r="U22" s="2"/>
      <c r="V22" s="2"/>
      <c r="W22" s="5"/>
    </row>
    <row r="23" spans="2:24" x14ac:dyDescent="0.25">
      <c r="B23" s="16"/>
      <c r="C23" t="s">
        <v>61</v>
      </c>
      <c r="D23" s="19"/>
      <c r="E23" s="19">
        <f t="shared" si="0"/>
        <v>15000</v>
      </c>
      <c r="F23" s="2"/>
      <c r="G23" s="2"/>
      <c r="H23" s="2"/>
      <c r="I23" s="32">
        <v>12500</v>
      </c>
      <c r="J23" s="2"/>
      <c r="K23" s="2"/>
      <c r="L23" s="2"/>
      <c r="M23" s="28">
        <v>2500</v>
      </c>
      <c r="N23" s="2"/>
      <c r="O23" s="2"/>
      <c r="P23" s="2"/>
      <c r="Q23" s="2"/>
      <c r="R23" s="2"/>
      <c r="S23" s="2"/>
      <c r="T23" s="2"/>
      <c r="U23" s="2"/>
      <c r="V23" s="2"/>
      <c r="W23" s="5"/>
    </row>
    <row r="24" spans="2:24" x14ac:dyDescent="0.25">
      <c r="B24" s="16"/>
      <c r="C24" t="s">
        <v>64</v>
      </c>
      <c r="D24" s="19">
        <v>4000</v>
      </c>
      <c r="E24" s="19">
        <f t="shared" si="0"/>
        <v>7500</v>
      </c>
      <c r="F24" s="2"/>
      <c r="G24" s="2"/>
      <c r="H24" s="2"/>
      <c r="I24" s="32">
        <v>5000</v>
      </c>
      <c r="J24" s="2"/>
      <c r="K24" s="2"/>
      <c r="L24" s="2"/>
      <c r="M24" s="28">
        <v>2500</v>
      </c>
      <c r="N24" s="2"/>
      <c r="O24" s="2"/>
      <c r="P24" s="2"/>
      <c r="Q24" s="2"/>
      <c r="R24" s="2"/>
      <c r="S24" s="2"/>
      <c r="T24" s="2"/>
      <c r="U24" s="2"/>
      <c r="V24" s="2"/>
      <c r="W24" s="5"/>
    </row>
    <row r="25" spans="2:24" x14ac:dyDescent="0.25">
      <c r="B25" s="16"/>
      <c r="C25" t="s">
        <v>174</v>
      </c>
      <c r="D25" s="19">
        <v>14000</v>
      </c>
      <c r="E25" s="19">
        <f t="shared" si="0"/>
        <v>15000</v>
      </c>
      <c r="F25" s="2"/>
      <c r="G25" s="2"/>
      <c r="H25" s="2"/>
      <c r="I25" s="32">
        <v>5000</v>
      </c>
      <c r="J25" s="2">
        <v>2000</v>
      </c>
      <c r="K25" s="2">
        <v>2000</v>
      </c>
      <c r="L25" s="2">
        <v>2000</v>
      </c>
      <c r="M25" s="28">
        <v>2000</v>
      </c>
      <c r="N25" s="2">
        <v>1000</v>
      </c>
      <c r="O25" s="2">
        <v>1000</v>
      </c>
      <c r="P25" s="2"/>
      <c r="Q25" s="2"/>
      <c r="R25" s="2"/>
      <c r="S25" s="2"/>
      <c r="T25" s="2"/>
      <c r="U25" s="2"/>
      <c r="V25" s="2"/>
      <c r="W25" s="5"/>
    </row>
    <row r="26" spans="2:24" x14ac:dyDescent="0.25">
      <c r="B26" s="17"/>
      <c r="C26" s="6" t="s">
        <v>175</v>
      </c>
      <c r="D26" s="20">
        <v>21000</v>
      </c>
      <c r="E26" s="20"/>
      <c r="F26" s="2"/>
      <c r="G26" s="2"/>
      <c r="H26" s="2"/>
      <c r="I26" s="32"/>
      <c r="J26" s="2"/>
      <c r="K26" s="2"/>
      <c r="L26" s="2"/>
      <c r="M26" s="28"/>
      <c r="N26" s="2"/>
      <c r="O26" s="2"/>
      <c r="P26" s="2"/>
      <c r="Q26" s="2"/>
      <c r="R26" s="2"/>
      <c r="S26" s="2"/>
      <c r="T26" s="2"/>
      <c r="U26" s="2"/>
      <c r="V26" s="2"/>
      <c r="W26" s="5"/>
    </row>
    <row r="27" spans="2:24" x14ac:dyDescent="0.25">
      <c r="B27" s="14" t="s">
        <v>93</v>
      </c>
      <c r="C27" s="15" t="s">
        <v>94</v>
      </c>
      <c r="D27" s="20"/>
      <c r="E27" s="20">
        <f t="shared" si="0"/>
        <v>34700</v>
      </c>
      <c r="F27" s="2">
        <f>SUM(F9:F25)*0.1</f>
        <v>100</v>
      </c>
      <c r="G27" s="2">
        <f t="shared" ref="G27:W27" si="1">SUM(G9:G25)*0.1</f>
        <v>0</v>
      </c>
      <c r="H27" s="2">
        <f t="shared" si="1"/>
        <v>100</v>
      </c>
      <c r="I27" s="32">
        <f t="shared" si="1"/>
        <v>8350</v>
      </c>
      <c r="J27" s="2">
        <f t="shared" si="1"/>
        <v>2400</v>
      </c>
      <c r="K27" s="2">
        <f t="shared" si="1"/>
        <v>17400</v>
      </c>
      <c r="L27" s="2">
        <f t="shared" si="1"/>
        <v>2400</v>
      </c>
      <c r="M27" s="28">
        <f t="shared" si="1"/>
        <v>2150</v>
      </c>
      <c r="N27" s="2">
        <f t="shared" si="1"/>
        <v>300</v>
      </c>
      <c r="O27" s="2">
        <f t="shared" si="1"/>
        <v>700</v>
      </c>
      <c r="P27" s="2">
        <f t="shared" si="1"/>
        <v>200</v>
      </c>
      <c r="Q27" s="2">
        <f t="shared" si="1"/>
        <v>200</v>
      </c>
      <c r="R27" s="2">
        <f t="shared" si="1"/>
        <v>200</v>
      </c>
      <c r="S27" s="2">
        <f t="shared" si="1"/>
        <v>200</v>
      </c>
      <c r="T27" s="2">
        <f t="shared" si="1"/>
        <v>0</v>
      </c>
      <c r="U27" s="2">
        <f t="shared" si="1"/>
        <v>0</v>
      </c>
      <c r="V27" s="2">
        <f t="shared" si="1"/>
        <v>0</v>
      </c>
      <c r="W27" s="5">
        <f t="shared" si="1"/>
        <v>0</v>
      </c>
    </row>
    <row r="28" spans="2:24" x14ac:dyDescent="0.25">
      <c r="B28" s="14" t="s">
        <v>148</v>
      </c>
      <c r="C28" s="15"/>
      <c r="D28" s="21">
        <v>0</v>
      </c>
      <c r="E28" s="21">
        <f t="shared" si="0"/>
        <v>20000</v>
      </c>
      <c r="F28" s="2"/>
      <c r="G28" s="2"/>
      <c r="H28" s="2"/>
      <c r="I28" s="32">
        <v>10000</v>
      </c>
      <c r="J28" s="2">
        <v>5000</v>
      </c>
      <c r="K28" s="2">
        <v>2500</v>
      </c>
      <c r="L28" s="2">
        <v>2500</v>
      </c>
      <c r="M28" s="28"/>
      <c r="N28" s="2"/>
      <c r="O28" s="2"/>
      <c r="P28" s="2"/>
      <c r="Q28" s="2"/>
      <c r="R28" s="2"/>
      <c r="S28" s="2"/>
      <c r="T28" s="2"/>
      <c r="U28" s="2"/>
      <c r="V28" s="2"/>
      <c r="W28" s="5"/>
    </row>
    <row r="29" spans="2:24" x14ac:dyDescent="0.25">
      <c r="B29" s="14" t="s">
        <v>95</v>
      </c>
      <c r="C29" s="15"/>
      <c r="D29" s="21"/>
      <c r="E29" s="21">
        <f t="shared" si="0"/>
        <v>15000</v>
      </c>
      <c r="F29" s="2"/>
      <c r="G29" s="2"/>
      <c r="H29" s="2"/>
      <c r="I29" s="32"/>
      <c r="J29" s="2"/>
      <c r="K29" s="2"/>
      <c r="L29" s="2"/>
      <c r="M29" s="28"/>
      <c r="N29" s="2"/>
      <c r="O29" s="2"/>
      <c r="P29" s="2"/>
      <c r="Q29" s="2">
        <v>5000</v>
      </c>
      <c r="R29" s="2">
        <v>5000</v>
      </c>
      <c r="S29" s="2">
        <v>5000</v>
      </c>
      <c r="T29" s="2"/>
      <c r="U29" s="2"/>
      <c r="V29" s="2"/>
      <c r="W29" s="5"/>
    </row>
    <row r="30" spans="2:24" ht="15.75" thickBot="1" x14ac:dyDescent="0.3">
      <c r="B30" s="8" t="s">
        <v>97</v>
      </c>
      <c r="D30" s="19">
        <v>3000</v>
      </c>
      <c r="E30" s="19">
        <f t="shared" si="0"/>
        <v>15000</v>
      </c>
      <c r="F30" s="2"/>
      <c r="G30" s="2"/>
      <c r="H30" s="2"/>
      <c r="I30" s="32"/>
      <c r="J30" s="2"/>
      <c r="K30" s="2"/>
      <c r="L30" s="2"/>
      <c r="M30" s="28"/>
      <c r="N30" s="2"/>
      <c r="O30" s="2"/>
      <c r="P30" s="2"/>
      <c r="Q30" s="2"/>
      <c r="R30" s="2"/>
      <c r="S30" s="2"/>
      <c r="T30" s="2">
        <v>5000</v>
      </c>
      <c r="U30" s="2">
        <v>5000</v>
      </c>
      <c r="V30" s="2">
        <v>5000</v>
      </c>
      <c r="W30" s="5"/>
    </row>
    <row r="31" spans="2:24" ht="15.75" thickBot="1" x14ac:dyDescent="0.3">
      <c r="B31" s="11" t="s">
        <v>98</v>
      </c>
      <c r="C31" s="12"/>
      <c r="D31" s="22">
        <f>SUM(D5:D30)</f>
        <v>438750</v>
      </c>
      <c r="E31" s="22">
        <f>SUM(E5:E30)</f>
        <v>561700</v>
      </c>
      <c r="F31" s="2">
        <f>SUM(F5:F30)</f>
        <v>21600</v>
      </c>
      <c r="G31" s="2">
        <f t="shared" ref="G31:W31" si="2">SUM(G5:G30)</f>
        <v>15500</v>
      </c>
      <c r="H31" s="2">
        <f t="shared" si="2"/>
        <v>11600</v>
      </c>
      <c r="I31" s="32">
        <f t="shared" si="2"/>
        <v>152350</v>
      </c>
      <c r="J31" s="2">
        <f t="shared" si="2"/>
        <v>31400</v>
      </c>
      <c r="K31" s="2">
        <f t="shared" si="2"/>
        <v>193900</v>
      </c>
      <c r="L31" s="2">
        <f t="shared" si="2"/>
        <v>28900</v>
      </c>
      <c r="M31" s="28">
        <f t="shared" si="2"/>
        <v>23650</v>
      </c>
      <c r="N31" s="2">
        <f t="shared" si="2"/>
        <v>3300</v>
      </c>
      <c r="O31" s="2">
        <f t="shared" si="2"/>
        <v>7700</v>
      </c>
      <c r="P31" s="2">
        <f t="shared" si="2"/>
        <v>2200</v>
      </c>
      <c r="Q31" s="2">
        <f t="shared" si="2"/>
        <v>7200</v>
      </c>
      <c r="R31" s="2">
        <f t="shared" si="2"/>
        <v>7200</v>
      </c>
      <c r="S31" s="2">
        <f t="shared" si="2"/>
        <v>7200</v>
      </c>
      <c r="T31" s="2">
        <f t="shared" si="2"/>
        <v>5000</v>
      </c>
      <c r="U31" s="2">
        <f t="shared" si="2"/>
        <v>5000</v>
      </c>
      <c r="V31" s="2">
        <f t="shared" si="2"/>
        <v>5000</v>
      </c>
      <c r="W31" s="5">
        <f t="shared" si="2"/>
        <v>0</v>
      </c>
    </row>
    <row r="32" spans="2:24" ht="15.75" thickBot="1" x14ac:dyDescent="0.3">
      <c r="B32" s="9" t="s">
        <v>176</v>
      </c>
      <c r="C32" s="37">
        <v>65</v>
      </c>
      <c r="D32" s="36"/>
      <c r="E32" s="36"/>
      <c r="F32" s="2"/>
      <c r="G32" s="2"/>
      <c r="H32" s="2"/>
      <c r="I32" s="32"/>
      <c r="J32" s="2"/>
      <c r="K32" s="2"/>
      <c r="L32" s="2"/>
      <c r="M32" s="28"/>
      <c r="N32" s="2"/>
      <c r="O32" s="2"/>
      <c r="P32" s="2"/>
      <c r="Q32" s="2"/>
      <c r="R32" s="2"/>
      <c r="S32" s="2"/>
      <c r="T32" s="2"/>
      <c r="U32" s="2"/>
      <c r="V32" s="2"/>
      <c r="W32" s="5"/>
    </row>
    <row r="33" spans="2:23" ht="15.75" thickBot="1" x14ac:dyDescent="0.3">
      <c r="B33" s="35" t="s">
        <v>100</v>
      </c>
      <c r="C33" s="10"/>
      <c r="D33" s="23">
        <f>D31/C32</f>
        <v>6750</v>
      </c>
      <c r="E33" s="23">
        <f>E31/C32</f>
        <v>8641.538461538461</v>
      </c>
      <c r="F33" s="6"/>
      <c r="G33" s="6"/>
      <c r="H33" s="6"/>
      <c r="I33" s="33"/>
      <c r="J33" s="6"/>
      <c r="K33" s="6"/>
      <c r="L33" s="6"/>
      <c r="M33" s="29"/>
      <c r="N33" s="6"/>
      <c r="O33" s="6"/>
      <c r="P33" s="6"/>
      <c r="Q33" s="6"/>
      <c r="R33" s="6"/>
      <c r="S33" s="6"/>
      <c r="T33" s="6"/>
      <c r="U33" s="6"/>
      <c r="V33" s="6"/>
      <c r="W33" s="7"/>
    </row>
    <row r="37" spans="2:23" x14ac:dyDescent="0.25">
      <c r="D37" s="57" t="s">
        <v>177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F77A-DFBA-4EC7-B480-D88BF762345C}">
  <dimension ref="B1:BP34"/>
  <sheetViews>
    <sheetView showGridLines="0" zoomScale="80" zoomScaleNormal="80" workbookViewId="0">
      <pane xSplit="8" ySplit="3" topLeftCell="AU4" activePane="bottomRight" state="frozen"/>
      <selection pane="topRight" activeCell="I1" sqref="I1"/>
      <selection pane="bottomLeft" activeCell="A4" sqref="A4"/>
      <selection pane="bottomRight" activeCell="AU22" sqref="AU22"/>
    </sheetView>
  </sheetViews>
  <sheetFormatPr defaultRowHeight="15" x14ac:dyDescent="0.25"/>
  <cols>
    <col min="1" max="1" width="4.42578125" customWidth="1"/>
    <col min="2" max="2" width="35.42578125" customWidth="1"/>
    <col min="3" max="3" width="25.5703125" bestFit="1" customWidth="1"/>
    <col min="4" max="7" width="16.5703125" customWidth="1"/>
    <col min="8" max="8" width="22.42578125" customWidth="1"/>
    <col min="10" max="10" width="9.42578125" customWidth="1"/>
    <col min="26" max="26" width="10.42578125" customWidth="1"/>
    <col min="39" max="39" width="10.42578125" customWidth="1"/>
  </cols>
  <sheetData>
    <row r="1" spans="2:68" ht="15.75" thickBot="1" x14ac:dyDescent="0.3"/>
    <row r="2" spans="2:68" ht="63.75" customHeight="1" x14ac:dyDescent="0.25">
      <c r="B2" s="1" t="s">
        <v>178</v>
      </c>
      <c r="C2" s="126"/>
      <c r="I2" s="244"/>
      <c r="J2" s="245"/>
      <c r="K2" s="245"/>
      <c r="L2" s="245"/>
      <c r="M2" s="245"/>
      <c r="N2" s="246" t="s">
        <v>179</v>
      </c>
      <c r="O2" s="245"/>
      <c r="P2" s="245"/>
      <c r="Q2" s="245"/>
      <c r="R2" s="245"/>
      <c r="S2" s="245"/>
      <c r="T2" s="245"/>
      <c r="U2" s="247"/>
      <c r="V2" s="247"/>
      <c r="W2" s="247"/>
      <c r="X2" s="248"/>
      <c r="Y2" s="248"/>
      <c r="Z2" s="248"/>
      <c r="AA2" s="248" t="s">
        <v>180</v>
      </c>
      <c r="AB2" s="247"/>
      <c r="AC2" s="247"/>
      <c r="AD2" s="247"/>
      <c r="AE2" s="248"/>
      <c r="AF2" s="248" t="s">
        <v>181</v>
      </c>
      <c r="AG2" s="245"/>
      <c r="AH2" s="245"/>
      <c r="AI2" s="245"/>
      <c r="AJ2" s="267" t="s">
        <v>182</v>
      </c>
      <c r="AK2" s="245"/>
      <c r="AL2" s="268"/>
      <c r="AM2" s="308" t="s">
        <v>183</v>
      </c>
      <c r="AN2" s="245"/>
      <c r="AO2" s="245"/>
      <c r="AP2" s="245"/>
      <c r="AQ2" s="245"/>
      <c r="AR2" s="249"/>
    </row>
    <row r="3" spans="2:68" ht="62.25" customHeight="1" thickBot="1" x14ac:dyDescent="0.3">
      <c r="B3" s="11" t="s">
        <v>16</v>
      </c>
      <c r="C3" s="12" t="s">
        <v>17</v>
      </c>
      <c r="D3" s="120" t="s">
        <v>184</v>
      </c>
      <c r="E3" s="121" t="s">
        <v>185</v>
      </c>
      <c r="F3" s="41" t="s">
        <v>186</v>
      </c>
      <c r="G3" s="134" t="s">
        <v>187</v>
      </c>
      <c r="H3" s="41" t="s">
        <v>111</v>
      </c>
      <c r="I3" s="142">
        <v>44227</v>
      </c>
      <c r="J3" s="143">
        <v>44255</v>
      </c>
      <c r="K3" s="143">
        <v>44286</v>
      </c>
      <c r="L3" s="143">
        <v>44316</v>
      </c>
      <c r="M3" s="143">
        <v>44347</v>
      </c>
      <c r="N3" s="143">
        <v>44377</v>
      </c>
      <c r="O3" s="143">
        <v>44408</v>
      </c>
      <c r="P3" s="143">
        <v>44439</v>
      </c>
      <c r="Q3" s="143">
        <v>44469</v>
      </c>
      <c r="R3" s="143">
        <v>44500</v>
      </c>
      <c r="S3" s="143">
        <v>44530</v>
      </c>
      <c r="T3" s="143">
        <v>44561</v>
      </c>
      <c r="U3" s="144">
        <v>44592</v>
      </c>
      <c r="V3" s="144">
        <v>44620</v>
      </c>
      <c r="W3" s="144">
        <v>44651</v>
      </c>
      <c r="X3" s="144">
        <v>44681</v>
      </c>
      <c r="Y3" s="144">
        <v>44712</v>
      </c>
      <c r="Z3" s="144">
        <v>44742</v>
      </c>
      <c r="AA3" s="144">
        <v>44773</v>
      </c>
      <c r="AB3" s="144">
        <v>44804</v>
      </c>
      <c r="AC3" s="144">
        <v>44834</v>
      </c>
      <c r="AD3" s="144">
        <v>44865</v>
      </c>
      <c r="AE3" s="144">
        <v>44895</v>
      </c>
      <c r="AF3" s="144">
        <v>44926</v>
      </c>
      <c r="AG3" s="143">
        <v>44957</v>
      </c>
      <c r="AH3" s="143">
        <v>44985</v>
      </c>
      <c r="AI3" s="143">
        <v>45016</v>
      </c>
      <c r="AJ3" s="143">
        <v>45046</v>
      </c>
      <c r="AK3" s="143">
        <v>45077</v>
      </c>
      <c r="AL3" s="143">
        <v>45107</v>
      </c>
      <c r="AM3" s="143">
        <v>45138</v>
      </c>
      <c r="AN3" s="143">
        <v>45169</v>
      </c>
      <c r="AO3" s="143">
        <v>45199</v>
      </c>
      <c r="AP3" s="143">
        <v>45230</v>
      </c>
      <c r="AQ3" s="143">
        <v>45260</v>
      </c>
      <c r="AR3" s="154">
        <v>45291</v>
      </c>
      <c r="AS3" s="71">
        <v>45292</v>
      </c>
      <c r="AT3" s="71">
        <v>45323</v>
      </c>
      <c r="AU3" s="71">
        <v>45352</v>
      </c>
      <c r="AV3" s="71">
        <v>45383</v>
      </c>
      <c r="AW3" s="71">
        <v>45413</v>
      </c>
      <c r="AX3" s="71">
        <v>45444</v>
      </c>
      <c r="AY3" s="71">
        <v>45474</v>
      </c>
      <c r="AZ3" s="71">
        <v>45505</v>
      </c>
      <c r="BA3" s="71">
        <v>45536</v>
      </c>
      <c r="BB3" s="71">
        <v>45566</v>
      </c>
      <c r="BC3" s="71">
        <v>45597</v>
      </c>
      <c r="BD3" s="71">
        <v>45627</v>
      </c>
      <c r="BE3" s="71">
        <v>45658</v>
      </c>
      <c r="BF3" s="71">
        <v>45689</v>
      </c>
      <c r="BG3" s="71">
        <v>45717</v>
      </c>
      <c r="BH3" s="71">
        <v>45748</v>
      </c>
      <c r="BI3" s="71">
        <v>45778</v>
      </c>
      <c r="BJ3" s="71">
        <v>45809</v>
      </c>
      <c r="BK3" s="71">
        <v>45839</v>
      </c>
      <c r="BL3" s="71">
        <v>45870</v>
      </c>
      <c r="BM3" s="71">
        <v>45901</v>
      </c>
      <c r="BN3" s="71">
        <v>45931</v>
      </c>
      <c r="BO3" s="71">
        <v>45962</v>
      </c>
      <c r="BP3" s="71">
        <v>45992</v>
      </c>
    </row>
    <row r="4" spans="2:68" x14ac:dyDescent="0.25">
      <c r="B4" s="8" t="s">
        <v>29</v>
      </c>
      <c r="C4" t="s">
        <v>170</v>
      </c>
      <c r="D4" s="67">
        <v>5000</v>
      </c>
      <c r="E4" s="125">
        <f>SUM($I4:$AF4)</f>
        <v>20000</v>
      </c>
      <c r="F4" s="67"/>
      <c r="G4" s="125">
        <f ca="1">SUMIF($I$3:$AR$3,"&lt;"&amp;TODAY(),$I4:$AR4)</f>
        <v>20500</v>
      </c>
      <c r="H4" s="100"/>
      <c r="I4" s="130">
        <v>20000</v>
      </c>
      <c r="J4" s="2"/>
      <c r="K4" s="2"/>
      <c r="L4" s="2"/>
      <c r="M4" s="2"/>
      <c r="O4" s="85"/>
      <c r="Z4" s="2"/>
      <c r="AH4" s="26">
        <v>500</v>
      </c>
      <c r="AR4" s="131"/>
    </row>
    <row r="5" spans="2:68" x14ac:dyDescent="0.25">
      <c r="B5" s="8"/>
      <c r="C5" t="s">
        <v>111</v>
      </c>
      <c r="D5" s="67">
        <v>2000</v>
      </c>
      <c r="E5" s="125">
        <f t="shared" ref="E5:E24" si="0">SUM($I5:$AF5)</f>
        <v>0</v>
      </c>
      <c r="F5" s="67"/>
      <c r="G5" s="125">
        <f t="shared" ref="G5:G26" ca="1" si="1">SUMIF($I$3:$AR$3,"&lt;"&amp;TODAY(),$I5:$AR5)</f>
        <v>0</v>
      </c>
      <c r="H5" s="67"/>
      <c r="I5" s="78"/>
      <c r="J5" s="2"/>
      <c r="K5" s="2"/>
      <c r="L5" s="2"/>
      <c r="M5" s="2"/>
      <c r="N5" s="2"/>
      <c r="O5" s="2"/>
      <c r="P5" s="2"/>
      <c r="Q5" s="2"/>
      <c r="R5" s="2"/>
      <c r="S5" s="2"/>
      <c r="T5" s="2"/>
      <c r="U5" s="2"/>
      <c r="V5" s="2"/>
      <c r="W5" s="2"/>
      <c r="X5" s="2"/>
      <c r="Y5" s="2"/>
      <c r="Z5" s="2"/>
      <c r="AR5" s="131"/>
    </row>
    <row r="6" spans="2:68" x14ac:dyDescent="0.25">
      <c r="B6" s="13"/>
      <c r="C6" s="6" t="s">
        <v>32</v>
      </c>
      <c r="D6" s="68">
        <v>50000</v>
      </c>
      <c r="E6" s="127">
        <f>SUM($I6:$AF6)</f>
        <v>100000</v>
      </c>
      <c r="F6" s="68"/>
      <c r="G6" s="127">
        <f t="shared" ca="1" si="1"/>
        <v>100000</v>
      </c>
      <c r="H6" s="68"/>
      <c r="I6" s="78"/>
      <c r="J6" s="2"/>
      <c r="K6" s="28">
        <v>60000</v>
      </c>
      <c r="L6" s="2"/>
      <c r="M6" s="2"/>
      <c r="N6" s="2"/>
      <c r="O6" s="2"/>
      <c r="P6" s="2"/>
      <c r="Q6" s="2"/>
      <c r="R6" s="2"/>
      <c r="S6" s="2"/>
      <c r="T6" s="2"/>
      <c r="U6" s="2"/>
      <c r="V6" s="2"/>
      <c r="W6" s="2"/>
      <c r="X6" s="2"/>
      <c r="Y6" s="2"/>
      <c r="Z6" s="2"/>
      <c r="AB6" s="2"/>
      <c r="AF6" s="2">
        <v>40000</v>
      </c>
      <c r="AR6" s="131"/>
    </row>
    <row r="7" spans="2:68" x14ac:dyDescent="0.25">
      <c r="B7" s="14" t="s">
        <v>35</v>
      </c>
      <c r="C7" s="15"/>
      <c r="D7" s="101">
        <v>40000</v>
      </c>
      <c r="E7" s="128">
        <f t="shared" si="0"/>
        <v>44282.49</v>
      </c>
      <c r="F7" s="101"/>
      <c r="G7" s="128">
        <f t="shared" ca="1" si="1"/>
        <v>51899.159999999996</v>
      </c>
      <c r="H7" s="101"/>
      <c r="I7" s="130">
        <v>42782.49</v>
      </c>
      <c r="J7" s="2"/>
      <c r="K7" s="2"/>
      <c r="L7" s="2"/>
      <c r="M7" s="2"/>
      <c r="N7" s="2"/>
      <c r="O7" s="2"/>
      <c r="P7" s="2"/>
      <c r="Q7" s="2"/>
      <c r="R7" s="2"/>
      <c r="S7" s="2"/>
      <c r="T7" s="2"/>
      <c r="U7" s="2"/>
      <c r="V7" s="2"/>
      <c r="W7" s="2"/>
      <c r="X7" s="2"/>
      <c r="Y7" s="2"/>
      <c r="Z7" s="2"/>
      <c r="AC7" s="2"/>
      <c r="AD7">
        <v>1500</v>
      </c>
      <c r="AG7" s="240">
        <f>66.67+1750</f>
        <v>1816.67</v>
      </c>
      <c r="AJ7" s="26">
        <v>5800</v>
      </c>
      <c r="AR7" s="131"/>
    </row>
    <row r="8" spans="2:68" x14ac:dyDescent="0.25">
      <c r="B8" s="14" t="s">
        <v>40</v>
      </c>
      <c r="C8" s="15"/>
      <c r="D8" s="101">
        <v>24000</v>
      </c>
      <c r="E8" s="128">
        <f>SUM($I8:$AN8)</f>
        <v>54176.960000000006</v>
      </c>
      <c r="F8" s="101">
        <f>19500+1500</f>
        <v>21000</v>
      </c>
      <c r="G8" s="128">
        <f t="shared" ca="1" si="1"/>
        <v>54176.960000000006</v>
      </c>
      <c r="H8" s="101" t="s">
        <v>105</v>
      </c>
      <c r="I8" s="130">
        <f>2099+695.75</f>
        <v>2794.75</v>
      </c>
      <c r="J8" s="28">
        <f>679</f>
        <v>679</v>
      </c>
      <c r="K8" s="28">
        <v>1749</v>
      </c>
      <c r="L8" s="2"/>
      <c r="M8" s="28">
        <f>3463.75+5472</f>
        <v>8935.75</v>
      </c>
      <c r="N8" s="26">
        <v>4481</v>
      </c>
      <c r="O8" s="28">
        <v>331.5</v>
      </c>
      <c r="P8" s="2"/>
      <c r="Q8" s="28">
        <v>427.75</v>
      </c>
      <c r="R8" s="28">
        <f>409.75+750.25</f>
        <v>1160</v>
      </c>
      <c r="S8" s="28">
        <v>993</v>
      </c>
      <c r="T8" s="2"/>
      <c r="U8" s="28">
        <v>3694</v>
      </c>
      <c r="V8" s="2"/>
      <c r="W8" s="28">
        <v>1473.5</v>
      </c>
      <c r="X8" s="28">
        <v>318.5</v>
      </c>
      <c r="Y8" s="28">
        <v>288</v>
      </c>
      <c r="Z8" s="28">
        <f>390</f>
        <v>390</v>
      </c>
      <c r="AA8" s="28">
        <v>1950</v>
      </c>
      <c r="AB8" s="28">
        <f>2602.75+839.77</f>
        <v>3442.52</v>
      </c>
      <c r="AC8" s="28">
        <v>2000</v>
      </c>
      <c r="AD8" s="28">
        <v>3577</v>
      </c>
      <c r="AE8" s="28">
        <v>1700</v>
      </c>
      <c r="AF8" s="28">
        <v>576.23</v>
      </c>
      <c r="AG8" s="28">
        <v>250</v>
      </c>
      <c r="AK8" s="272">
        <v>8559.69</v>
      </c>
      <c r="AN8" s="2">
        <f>8443+2903+1163-AC8-AD8-AE8-AF8-AG8</f>
        <v>4405.7700000000004</v>
      </c>
      <c r="AR8" s="131"/>
    </row>
    <row r="9" spans="2:68" x14ac:dyDescent="0.25">
      <c r="B9" s="14" t="s">
        <v>37</v>
      </c>
      <c r="C9" s="15"/>
      <c r="D9" s="101">
        <v>150000</v>
      </c>
      <c r="E9" s="128">
        <f t="shared" si="0"/>
        <v>112863</v>
      </c>
      <c r="F9" s="101">
        <v>111200</v>
      </c>
      <c r="G9" s="128">
        <f t="shared" ca="1" si="1"/>
        <v>112863</v>
      </c>
      <c r="H9" s="101" t="s">
        <v>188</v>
      </c>
      <c r="I9" s="78"/>
      <c r="J9" s="2"/>
      <c r="K9" s="2"/>
      <c r="L9" s="2"/>
      <c r="M9" s="2"/>
      <c r="N9" s="28">
        <v>112863</v>
      </c>
      <c r="O9" s="2"/>
      <c r="P9" s="2"/>
      <c r="Q9" s="2"/>
      <c r="R9" s="2"/>
      <c r="S9" s="2"/>
      <c r="T9" s="2"/>
      <c r="U9" s="2"/>
      <c r="V9" s="2"/>
      <c r="W9" s="2"/>
      <c r="X9" s="2"/>
      <c r="Y9" s="2"/>
      <c r="Z9" s="2"/>
      <c r="AD9" s="2"/>
      <c r="AR9" s="131"/>
    </row>
    <row r="10" spans="2:68" x14ac:dyDescent="0.25">
      <c r="B10" s="16" t="s">
        <v>42</v>
      </c>
      <c r="C10" t="s">
        <v>43</v>
      </c>
      <c r="D10" s="67">
        <v>3000</v>
      </c>
      <c r="E10" s="125">
        <f t="shared" si="0"/>
        <v>6682.6</v>
      </c>
      <c r="F10" s="67">
        <f>950+1650+100</f>
        <v>2700</v>
      </c>
      <c r="G10" s="125">
        <f t="shared" ca="1" si="1"/>
        <v>14671.12</v>
      </c>
      <c r="H10" s="67" t="s">
        <v>105</v>
      </c>
      <c r="I10" s="78"/>
      <c r="J10" s="2"/>
      <c r="K10" s="28">
        <v>1839.6</v>
      </c>
      <c r="L10" s="2"/>
      <c r="M10" s="2"/>
      <c r="N10" s="2"/>
      <c r="O10" s="2"/>
      <c r="P10" s="2"/>
      <c r="Q10" s="2"/>
      <c r="R10" s="2"/>
      <c r="S10" s="2"/>
      <c r="T10" s="2"/>
      <c r="U10" s="2"/>
      <c r="V10" s="2"/>
      <c r="W10" s="2"/>
      <c r="X10" s="2"/>
      <c r="Y10" s="2"/>
      <c r="Z10" s="2"/>
      <c r="AD10" s="26">
        <v>4843</v>
      </c>
      <c r="AE10" s="2"/>
      <c r="AH10" s="26">
        <v>558</v>
      </c>
      <c r="AJ10" s="240">
        <f>2371.5+5059.02</f>
        <v>7430.52</v>
      </c>
      <c r="AR10" s="131"/>
    </row>
    <row r="11" spans="2:68" x14ac:dyDescent="0.25">
      <c r="B11" s="16"/>
      <c r="C11" t="s">
        <v>44</v>
      </c>
      <c r="D11" s="67">
        <v>5000</v>
      </c>
      <c r="E11" s="125">
        <f t="shared" si="0"/>
        <v>5000</v>
      </c>
      <c r="F11" s="67"/>
      <c r="G11" s="125">
        <f t="shared" ca="1" si="1"/>
        <v>10788</v>
      </c>
      <c r="H11" s="67"/>
      <c r="I11" s="78"/>
      <c r="J11" s="2"/>
      <c r="K11" s="2"/>
      <c r="L11" s="2"/>
      <c r="M11" s="2"/>
      <c r="N11" s="2"/>
      <c r="O11" s="2"/>
      <c r="P11" s="2"/>
      <c r="Q11" s="2"/>
      <c r="R11" s="2"/>
      <c r="S11" s="2"/>
      <c r="T11" s="2"/>
      <c r="U11" s="2"/>
      <c r="V11" s="2"/>
      <c r="W11" s="2"/>
      <c r="X11" s="2"/>
      <c r="Y11" s="2"/>
      <c r="Z11" s="2"/>
      <c r="AC11" s="26">
        <v>5000</v>
      </c>
      <c r="AD11" s="2"/>
      <c r="AG11" s="26">
        <v>2025</v>
      </c>
      <c r="AJ11" s="272">
        <v>3763</v>
      </c>
      <c r="AR11" s="131"/>
    </row>
    <row r="12" spans="2:68" x14ac:dyDescent="0.25">
      <c r="B12" s="16"/>
      <c r="C12" t="s">
        <v>189</v>
      </c>
      <c r="D12" s="67"/>
      <c r="E12" s="125">
        <f t="shared" si="0"/>
        <v>450</v>
      </c>
      <c r="F12" s="67">
        <v>1250</v>
      </c>
      <c r="G12" s="125">
        <f t="shared" ca="1" si="1"/>
        <v>450</v>
      </c>
      <c r="H12" s="67" t="s">
        <v>190</v>
      </c>
      <c r="I12" s="78"/>
      <c r="J12" s="2"/>
      <c r="K12" s="2"/>
      <c r="L12" s="2"/>
      <c r="M12" s="2"/>
      <c r="N12" s="2"/>
      <c r="O12" s="28">
        <v>450</v>
      </c>
      <c r="P12" s="2"/>
      <c r="Q12" s="2"/>
      <c r="R12" s="2"/>
      <c r="S12" s="2"/>
      <c r="U12" s="2"/>
      <c r="V12" s="2"/>
      <c r="W12" s="2"/>
      <c r="X12" s="2"/>
      <c r="Y12" s="2"/>
      <c r="Z12" s="2"/>
      <c r="AD12" s="2"/>
      <c r="AR12" s="131"/>
    </row>
    <row r="13" spans="2:68" x14ac:dyDescent="0.25">
      <c r="B13" s="16"/>
      <c r="C13" t="s">
        <v>46</v>
      </c>
      <c r="D13" s="67">
        <v>4000</v>
      </c>
      <c r="E13" s="125">
        <f t="shared" si="0"/>
        <v>5325</v>
      </c>
      <c r="F13" s="67">
        <v>1375</v>
      </c>
      <c r="G13" s="125">
        <f t="shared" ca="1" si="1"/>
        <v>5325</v>
      </c>
      <c r="H13" s="67" t="s">
        <v>191</v>
      </c>
      <c r="I13" s="130">
        <v>3950</v>
      </c>
      <c r="J13" s="2"/>
      <c r="K13" s="2"/>
      <c r="L13" s="2"/>
      <c r="M13" s="28">
        <v>1375</v>
      </c>
      <c r="O13" s="2"/>
      <c r="P13" s="2"/>
      <c r="Q13" s="2"/>
      <c r="R13" s="2"/>
      <c r="S13" s="2"/>
      <c r="T13" s="2"/>
      <c r="U13" s="2"/>
      <c r="V13" s="2"/>
      <c r="W13" s="2"/>
      <c r="X13" s="2"/>
      <c r="Y13" s="2"/>
      <c r="Z13" s="2"/>
      <c r="AD13" s="2"/>
      <c r="AR13" s="131"/>
    </row>
    <row r="14" spans="2:68" x14ac:dyDescent="0.25">
      <c r="B14" s="16"/>
      <c r="C14" t="s">
        <v>47</v>
      </c>
      <c r="D14" s="67">
        <v>4000</v>
      </c>
      <c r="E14" s="125">
        <f>SUM($I14:$AF14)</f>
        <v>4045.5</v>
      </c>
      <c r="F14" s="67">
        <v>1950</v>
      </c>
      <c r="G14" s="125">
        <f t="shared" ca="1" si="1"/>
        <v>4045.5</v>
      </c>
      <c r="H14" s="67" t="s">
        <v>192</v>
      </c>
      <c r="I14" s="78"/>
      <c r="J14" s="2"/>
      <c r="K14" s="2"/>
      <c r="L14" s="2"/>
      <c r="M14" s="28">
        <v>2133</v>
      </c>
      <c r="N14" s="2"/>
      <c r="O14" s="2"/>
      <c r="P14" s="2"/>
      <c r="Q14" s="2"/>
      <c r="R14" s="2"/>
      <c r="S14" s="2"/>
      <c r="T14" s="28">
        <v>912.5</v>
      </c>
      <c r="U14" s="2"/>
      <c r="V14" s="2"/>
      <c r="W14" s="2"/>
      <c r="X14" s="2"/>
      <c r="Y14" s="2"/>
      <c r="Z14" s="2"/>
      <c r="AA14" s="2">
        <v>1000</v>
      </c>
      <c r="AD14" s="2"/>
      <c r="AR14" s="131"/>
    </row>
    <row r="15" spans="2:68" x14ac:dyDescent="0.25">
      <c r="B15" s="16"/>
      <c r="C15" t="s">
        <v>48</v>
      </c>
      <c r="D15" s="67">
        <v>20000</v>
      </c>
      <c r="E15" s="125">
        <f t="shared" si="0"/>
        <v>17300</v>
      </c>
      <c r="F15" s="67"/>
      <c r="G15" s="125">
        <f t="shared" ca="1" si="1"/>
        <v>17300</v>
      </c>
      <c r="H15" s="67"/>
      <c r="I15" s="130">
        <v>17300</v>
      </c>
      <c r="J15" s="2"/>
      <c r="K15" s="2"/>
      <c r="L15" s="2"/>
      <c r="M15" s="2"/>
      <c r="N15" s="2"/>
      <c r="O15" s="2"/>
      <c r="P15" s="2"/>
      <c r="Q15" s="2"/>
      <c r="R15" s="2"/>
      <c r="S15" s="2"/>
      <c r="T15" s="2"/>
      <c r="U15" s="2"/>
      <c r="V15" s="2"/>
      <c r="W15" s="2"/>
      <c r="X15" s="2"/>
      <c r="Y15" s="2"/>
      <c r="AD15" s="2"/>
      <c r="AR15" s="131"/>
    </row>
    <row r="16" spans="2:68" x14ac:dyDescent="0.25">
      <c r="B16" s="16"/>
      <c r="C16" t="s">
        <v>171</v>
      </c>
      <c r="D16" s="67">
        <v>60000</v>
      </c>
      <c r="E16" s="125">
        <f t="shared" si="0"/>
        <v>0</v>
      </c>
      <c r="F16" s="67"/>
      <c r="G16" s="125">
        <f t="shared" ca="1" si="1"/>
        <v>0</v>
      </c>
      <c r="H16" s="67"/>
      <c r="I16" s="78"/>
      <c r="J16" s="2"/>
      <c r="K16" s="2"/>
      <c r="L16" s="2"/>
      <c r="M16" s="2"/>
      <c r="N16" s="2"/>
      <c r="R16" s="2"/>
      <c r="S16" s="2"/>
      <c r="T16" s="2"/>
      <c r="U16" s="2"/>
      <c r="V16" s="2"/>
      <c r="W16" s="2"/>
      <c r="X16" s="2"/>
      <c r="Y16" s="2"/>
      <c r="Z16" s="2"/>
      <c r="AA16" s="2"/>
      <c r="AD16" s="2"/>
      <c r="AR16" s="131"/>
    </row>
    <row r="17" spans="2:44" x14ac:dyDescent="0.25">
      <c r="B17" s="16"/>
      <c r="C17" t="s">
        <v>172</v>
      </c>
      <c r="D17" s="67">
        <v>2000</v>
      </c>
      <c r="E17" s="125">
        <f t="shared" si="0"/>
        <v>2000</v>
      </c>
      <c r="F17" s="67"/>
      <c r="G17" s="125">
        <f t="shared" ca="1" si="1"/>
        <v>2000</v>
      </c>
      <c r="H17" s="67" t="s">
        <v>105</v>
      </c>
      <c r="I17" s="78"/>
      <c r="J17" s="2"/>
      <c r="K17" s="2"/>
      <c r="L17" s="2"/>
      <c r="M17" s="2"/>
      <c r="N17" s="2">
        <v>2000</v>
      </c>
      <c r="O17" s="2"/>
      <c r="P17" s="2"/>
      <c r="Q17" s="2"/>
      <c r="R17" s="2"/>
      <c r="S17" s="2"/>
      <c r="T17" s="2"/>
      <c r="U17" s="2"/>
      <c r="V17" s="2"/>
      <c r="W17" s="2"/>
      <c r="X17" s="2"/>
      <c r="Y17" s="2"/>
      <c r="Z17" s="2"/>
      <c r="AD17" s="2"/>
      <c r="AR17" s="131"/>
    </row>
    <row r="18" spans="2:44" x14ac:dyDescent="0.25">
      <c r="B18" s="16"/>
      <c r="C18" t="s">
        <v>193</v>
      </c>
      <c r="D18" s="67"/>
      <c r="E18" s="125">
        <f t="shared" si="0"/>
        <v>750</v>
      </c>
      <c r="F18" s="67">
        <v>750</v>
      </c>
      <c r="G18" s="125">
        <f t="shared" ca="1" si="1"/>
        <v>750</v>
      </c>
      <c r="H18" s="67" t="s">
        <v>194</v>
      </c>
      <c r="I18" s="78"/>
      <c r="J18" s="2"/>
      <c r="K18" s="28">
        <v>750</v>
      </c>
      <c r="L18" s="2"/>
      <c r="M18" s="2"/>
      <c r="N18" s="2"/>
      <c r="O18" s="2"/>
      <c r="P18" s="2"/>
      <c r="Q18" s="2"/>
      <c r="R18" s="2"/>
      <c r="S18" s="2"/>
      <c r="T18" s="2"/>
      <c r="U18" s="2"/>
      <c r="V18" s="2"/>
      <c r="W18" s="2"/>
      <c r="X18" s="2"/>
      <c r="Y18" s="2"/>
      <c r="Z18" s="2"/>
      <c r="AD18" s="2"/>
      <c r="AR18" s="131"/>
    </row>
    <row r="19" spans="2:44" x14ac:dyDescent="0.25">
      <c r="B19" s="16"/>
      <c r="C19" t="s">
        <v>56</v>
      </c>
      <c r="D19" s="67">
        <v>8000</v>
      </c>
      <c r="E19" s="125">
        <f t="shared" si="0"/>
        <v>37472.660000000003</v>
      </c>
      <c r="F19" s="67">
        <v>38510</v>
      </c>
      <c r="G19" s="125">
        <f t="shared" ca="1" si="1"/>
        <v>58302.66</v>
      </c>
      <c r="H19" s="67" t="s">
        <v>190</v>
      </c>
      <c r="I19" s="78"/>
      <c r="J19" s="2"/>
      <c r="K19" s="2"/>
      <c r="L19" s="2"/>
      <c r="M19" s="28">
        <f>12245+3601.66</f>
        <v>15846.66</v>
      </c>
      <c r="N19" s="28">
        <v>9425</v>
      </c>
      <c r="O19" s="28">
        <f>1200+2800</f>
        <v>4000</v>
      </c>
      <c r="P19" s="28">
        <v>1280</v>
      </c>
      <c r="Q19" s="2"/>
      <c r="R19" s="2"/>
      <c r="S19" s="2"/>
      <c r="T19" s="2"/>
      <c r="U19" s="2"/>
      <c r="V19" s="2"/>
      <c r="W19" s="28">
        <f>895+995+2265</f>
        <v>4155</v>
      </c>
      <c r="X19" s="2"/>
      <c r="Y19" s="2"/>
      <c r="Z19" s="28">
        <v>1170</v>
      </c>
      <c r="AD19" s="2"/>
      <c r="AF19" s="26">
        <v>1596</v>
      </c>
      <c r="AH19" s="26">
        <v>2085</v>
      </c>
      <c r="AL19" s="278">
        <v>15726</v>
      </c>
      <c r="AM19" s="26">
        <v>3019</v>
      </c>
      <c r="AR19" s="131"/>
    </row>
    <row r="20" spans="2:44" x14ac:dyDescent="0.25">
      <c r="B20" s="16"/>
      <c r="C20" t="s">
        <v>58</v>
      </c>
      <c r="D20" s="67">
        <v>7500</v>
      </c>
      <c r="E20" s="125">
        <f>SUM($I20:$AF20)</f>
        <v>36468</v>
      </c>
      <c r="F20" s="67">
        <v>3700</v>
      </c>
      <c r="G20" s="125">
        <f t="shared" ca="1" si="1"/>
        <v>36468</v>
      </c>
      <c r="H20" s="67" t="s">
        <v>195</v>
      </c>
      <c r="I20" s="78"/>
      <c r="J20" s="2"/>
      <c r="K20" s="28">
        <v>3350</v>
      </c>
      <c r="L20" s="2"/>
      <c r="M20" s="28">
        <f>7325+4375</f>
        <v>11700</v>
      </c>
      <c r="N20" s="28">
        <v>4875</v>
      </c>
      <c r="P20" s="2"/>
      <c r="Q20" s="2"/>
      <c r="R20" s="2"/>
      <c r="S20" s="2"/>
      <c r="T20" s="2"/>
      <c r="U20" s="2"/>
      <c r="V20" s="28">
        <v>510</v>
      </c>
      <c r="X20" s="2">
        <v>3000</v>
      </c>
      <c r="Y20" s="2"/>
      <c r="AA20" s="28">
        <v>380</v>
      </c>
      <c r="AD20" s="2">
        <v>12653</v>
      </c>
      <c r="AR20" s="131"/>
    </row>
    <row r="21" spans="2:44" x14ac:dyDescent="0.25">
      <c r="B21" s="16"/>
      <c r="C21" t="s">
        <v>59</v>
      </c>
      <c r="D21" s="67">
        <v>3000</v>
      </c>
      <c r="E21" s="125">
        <f t="shared" si="0"/>
        <v>3216.25</v>
      </c>
      <c r="F21" s="67">
        <v>2600</v>
      </c>
      <c r="G21" s="125">
        <f t="shared" ca="1" si="1"/>
        <v>3216.25</v>
      </c>
      <c r="H21" s="67" t="s">
        <v>192</v>
      </c>
      <c r="I21" s="78"/>
      <c r="J21" s="2"/>
      <c r="K21" s="2"/>
      <c r="L21" s="28">
        <v>3216.25</v>
      </c>
      <c r="M21" s="2"/>
      <c r="N21" s="2"/>
      <c r="O21" s="2"/>
      <c r="P21" s="2"/>
      <c r="Q21" s="2"/>
      <c r="R21" s="2"/>
      <c r="S21" s="2"/>
      <c r="T21" s="2"/>
      <c r="U21" s="2"/>
      <c r="V21" s="2"/>
      <c r="W21" s="2"/>
      <c r="X21" s="2"/>
      <c r="Y21" s="2"/>
      <c r="Z21" s="2"/>
      <c r="AR21" s="131"/>
    </row>
    <row r="22" spans="2:44" x14ac:dyDescent="0.25">
      <c r="B22" s="16"/>
      <c r="C22" t="s">
        <v>60</v>
      </c>
      <c r="D22" s="67">
        <v>3000</v>
      </c>
      <c r="E22" s="125">
        <f t="shared" si="0"/>
        <v>2250</v>
      </c>
      <c r="F22" s="67">
        <v>2250</v>
      </c>
      <c r="G22" s="125">
        <f t="shared" ca="1" si="1"/>
        <v>2250</v>
      </c>
      <c r="H22" s="67" t="s">
        <v>190</v>
      </c>
      <c r="I22" s="78"/>
      <c r="J22" s="2"/>
      <c r="K22" s="2"/>
      <c r="L22" s="2"/>
      <c r="M22" s="2"/>
      <c r="N22" s="28">
        <v>2250</v>
      </c>
      <c r="O22" s="2"/>
      <c r="P22" s="2"/>
      <c r="Q22" s="2"/>
      <c r="R22" s="2"/>
      <c r="S22" s="2"/>
      <c r="T22" s="2"/>
      <c r="U22" s="2"/>
      <c r="V22" s="2"/>
      <c r="W22" s="2"/>
      <c r="X22" s="2"/>
      <c r="Y22" s="2"/>
      <c r="Z22" s="2"/>
      <c r="AR22" s="131"/>
    </row>
    <row r="23" spans="2:44" x14ac:dyDescent="0.25">
      <c r="B23" s="16"/>
      <c r="C23" t="s">
        <v>61</v>
      </c>
      <c r="D23" s="67">
        <v>15000</v>
      </c>
      <c r="E23" s="125">
        <f t="shared" si="0"/>
        <v>0</v>
      </c>
      <c r="F23" s="67"/>
      <c r="G23" s="125">
        <f t="shared" ca="1" si="1"/>
        <v>0</v>
      </c>
      <c r="H23" s="67"/>
      <c r="I23" s="78"/>
      <c r="J23" s="2"/>
      <c r="K23" s="2"/>
      <c r="L23" s="2"/>
      <c r="M23" s="2"/>
      <c r="N23" s="2"/>
      <c r="O23" s="2"/>
      <c r="P23" s="2"/>
      <c r="Q23" s="2"/>
      <c r="R23" s="2"/>
      <c r="S23" s="2"/>
      <c r="T23" s="2"/>
      <c r="U23" s="2"/>
      <c r="V23" s="2"/>
      <c r="W23" s="2"/>
      <c r="X23" s="2"/>
      <c r="Y23" s="2"/>
      <c r="Z23" s="2"/>
      <c r="AR23" s="131"/>
    </row>
    <row r="24" spans="2:44" x14ac:dyDescent="0.25">
      <c r="B24" s="16"/>
      <c r="C24" t="s">
        <v>64</v>
      </c>
      <c r="D24" s="67">
        <v>7500</v>
      </c>
      <c r="E24" s="125">
        <f t="shared" si="0"/>
        <v>3588</v>
      </c>
      <c r="F24" s="67">
        <f>2280+624</f>
        <v>2904</v>
      </c>
      <c r="G24" s="125">
        <f t="shared" ca="1" si="1"/>
        <v>3588</v>
      </c>
      <c r="H24" s="67" t="s">
        <v>130</v>
      </c>
      <c r="I24" s="78"/>
      <c r="J24" s="2"/>
      <c r="K24" s="2"/>
      <c r="L24" s="28">
        <v>2964</v>
      </c>
      <c r="M24" s="28">
        <v>624</v>
      </c>
      <c r="N24" s="2"/>
      <c r="O24" s="2"/>
      <c r="P24" s="2"/>
      <c r="Q24" s="2"/>
      <c r="R24" s="2"/>
      <c r="S24" s="2"/>
      <c r="T24" s="2"/>
      <c r="U24" s="2"/>
      <c r="V24" s="2"/>
      <c r="W24" s="2"/>
      <c r="X24" s="2"/>
      <c r="Y24" s="2"/>
      <c r="Z24" s="2"/>
      <c r="AR24" s="131"/>
    </row>
    <row r="25" spans="2:44" x14ac:dyDescent="0.25">
      <c r="B25" s="16"/>
      <c r="C25" t="s">
        <v>196</v>
      </c>
      <c r="D25" s="67"/>
      <c r="E25" s="125">
        <f>SUM($I25:$AF25)</f>
        <v>8500</v>
      </c>
      <c r="F25" s="67">
        <f>1250+5500</f>
        <v>6750</v>
      </c>
      <c r="G25" s="125">
        <f t="shared" ca="1" si="1"/>
        <v>8500</v>
      </c>
      <c r="H25" s="67" t="s">
        <v>197</v>
      </c>
      <c r="I25" s="78"/>
      <c r="J25" s="2"/>
      <c r="K25" s="2"/>
      <c r="L25" s="2"/>
      <c r="M25" s="2"/>
      <c r="N25" s="2"/>
      <c r="O25" s="2"/>
      <c r="P25" s="2"/>
      <c r="Q25" s="28">
        <v>1500</v>
      </c>
      <c r="S25" s="28">
        <v>1500</v>
      </c>
      <c r="T25" s="2"/>
      <c r="U25" s="2"/>
      <c r="V25" s="2"/>
      <c r="W25" s="2"/>
      <c r="X25" s="2"/>
      <c r="Y25" s="2"/>
      <c r="Z25" s="28">
        <v>1500</v>
      </c>
      <c r="AA25">
        <v>4000</v>
      </c>
      <c r="AR25" s="131"/>
    </row>
    <row r="26" spans="2:44" x14ac:dyDescent="0.25">
      <c r="B26" s="17"/>
      <c r="C26" s="6" t="s">
        <v>174</v>
      </c>
      <c r="D26" s="68">
        <v>15000</v>
      </c>
      <c r="E26" s="127">
        <f>SUM($I26:$AF26)</f>
        <v>45780</v>
      </c>
      <c r="F26" s="68"/>
      <c r="G26" s="127">
        <f t="shared" ca="1" si="1"/>
        <v>45780</v>
      </c>
      <c r="H26" s="68"/>
      <c r="I26" s="130">
        <v>45780</v>
      </c>
      <c r="J26" s="2"/>
      <c r="K26" s="2"/>
      <c r="L26" s="2"/>
      <c r="M26" s="2"/>
      <c r="N26" s="2"/>
      <c r="O26" s="2"/>
      <c r="P26" s="2"/>
      <c r="Q26" s="2"/>
      <c r="R26" s="2"/>
      <c r="S26" s="2"/>
      <c r="T26" s="2"/>
      <c r="U26" s="2"/>
      <c r="V26" s="2"/>
      <c r="W26" s="2"/>
      <c r="X26" s="2"/>
      <c r="Y26" s="2"/>
      <c r="Z26" s="2"/>
      <c r="AR26" s="131"/>
    </row>
    <row r="27" spans="2:44" x14ac:dyDescent="0.25">
      <c r="B27" s="17"/>
      <c r="C27" s="6" t="s">
        <v>198</v>
      </c>
      <c r="D27" s="68"/>
      <c r="E27" s="127"/>
      <c r="F27" s="13">
        <v>46000</v>
      </c>
      <c r="G27" s="127">
        <f ca="1">SUMIF($I$3:$AR$3,"&lt;"&amp;TODAY(),$I27:$AR27)</f>
        <v>143657.79999999999</v>
      </c>
      <c r="H27" s="68" t="s">
        <v>120</v>
      </c>
      <c r="I27" s="78"/>
      <c r="J27" s="2"/>
      <c r="K27" s="2"/>
      <c r="L27" s="2"/>
      <c r="M27" s="2"/>
      <c r="N27" s="2"/>
      <c r="O27" s="2"/>
      <c r="P27" s="2"/>
      <c r="Q27" s="2"/>
      <c r="R27" s="2"/>
      <c r="S27" s="2"/>
      <c r="T27" s="2"/>
      <c r="U27" s="2"/>
      <c r="V27" s="2"/>
      <c r="W27" s="2"/>
      <c r="X27" s="2"/>
      <c r="Y27" s="2"/>
      <c r="Z27" s="2"/>
      <c r="AE27" s="26">
        <v>2518</v>
      </c>
      <c r="AF27" s="243">
        <f>6602.8+2492</f>
        <v>9094.7999999999993</v>
      </c>
      <c r="AJ27" s="26">
        <f>4262+27537.2</f>
        <v>31799.200000000001</v>
      </c>
      <c r="AK27" s="272">
        <v>2910</v>
      </c>
      <c r="AL27" s="2">
        <f>16500+13500+27500-AE27-AF27-AJ27-AK27</f>
        <v>11177.999999999996</v>
      </c>
      <c r="AN27" s="26">
        <v>23011.200000000001</v>
      </c>
      <c r="AO27" s="26">
        <v>36787</v>
      </c>
      <c r="AQ27" s="26">
        <v>4213.3999999999996</v>
      </c>
      <c r="AR27" s="353">
        <f>2997.7+19148.5</f>
        <v>22146.2</v>
      </c>
    </row>
    <row r="28" spans="2:44" x14ac:dyDescent="0.25">
      <c r="B28" s="14" t="s">
        <v>93</v>
      </c>
      <c r="C28" s="15" t="s">
        <v>94</v>
      </c>
      <c r="D28" s="68">
        <v>34700</v>
      </c>
      <c r="E28" s="127">
        <f ca="1">SUMIF($I$3:$AR$3,"&gt;"&amp;TODAY(),$I$28:$AR$28)</f>
        <v>0</v>
      </c>
      <c r="F28" s="13" t="s">
        <v>199</v>
      </c>
      <c r="G28" s="127" t="s">
        <v>199</v>
      </c>
      <c r="H28" s="68"/>
      <c r="I28" s="80">
        <f t="shared" ref="I28:AC28" si="2">SUM(I8:I27)*0.1</f>
        <v>6982.4750000000004</v>
      </c>
      <c r="J28" s="136">
        <f t="shared" si="2"/>
        <v>67.900000000000006</v>
      </c>
      <c r="K28" s="136">
        <f t="shared" si="2"/>
        <v>768.86000000000013</v>
      </c>
      <c r="L28" s="136">
        <f t="shared" si="2"/>
        <v>618.02500000000009</v>
      </c>
      <c r="M28" s="136">
        <f t="shared" si="2"/>
        <v>4061.4410000000007</v>
      </c>
      <c r="N28" s="136">
        <f t="shared" si="2"/>
        <v>13589.400000000001</v>
      </c>
      <c r="O28" s="136">
        <f t="shared" si="2"/>
        <v>478.15000000000003</v>
      </c>
      <c r="P28" s="136">
        <f t="shared" si="2"/>
        <v>128</v>
      </c>
      <c r="Q28" s="136">
        <f t="shared" si="2"/>
        <v>192.77500000000001</v>
      </c>
      <c r="R28" s="136">
        <f t="shared" si="2"/>
        <v>116</v>
      </c>
      <c r="S28" s="136">
        <f t="shared" si="2"/>
        <v>249.3</v>
      </c>
      <c r="T28" s="136">
        <f t="shared" si="2"/>
        <v>91.25</v>
      </c>
      <c r="U28" s="136">
        <f t="shared" si="2"/>
        <v>369.40000000000003</v>
      </c>
      <c r="V28" s="136">
        <f t="shared" si="2"/>
        <v>51</v>
      </c>
      <c r="W28" s="136">
        <f t="shared" si="2"/>
        <v>562.85</v>
      </c>
      <c r="X28" s="136">
        <f t="shared" si="2"/>
        <v>331.85</v>
      </c>
      <c r="Y28" s="136">
        <f t="shared" si="2"/>
        <v>28.8</v>
      </c>
      <c r="Z28" s="136">
        <f t="shared" si="2"/>
        <v>306</v>
      </c>
      <c r="AA28" s="136">
        <f t="shared" si="2"/>
        <v>733</v>
      </c>
      <c r="AB28" s="136">
        <f t="shared" si="2"/>
        <v>344.25200000000001</v>
      </c>
      <c r="AC28" s="136">
        <f t="shared" si="2"/>
        <v>700</v>
      </c>
      <c r="AD28" s="136">
        <f>SUM(AD8:AD27)*0.1</f>
        <v>2107.3000000000002</v>
      </c>
      <c r="AE28" s="136">
        <f>SUM(AE8:AE27)*0.1</f>
        <v>421.8</v>
      </c>
      <c r="AF28" s="136">
        <f>SUM(AF8:AF27)*0.1</f>
        <v>1126.703</v>
      </c>
      <c r="AG28" s="136">
        <f>SUM(AG8:AG27)*0.1</f>
        <v>227.5</v>
      </c>
      <c r="AH28" s="136">
        <f>SUM(AH8:AH27)*0.1</f>
        <v>264.3</v>
      </c>
      <c r="AI28" s="136">
        <f t="shared" ref="AI28:AR28" si="3">SUM(AI8:AI27)*0.1</f>
        <v>0</v>
      </c>
      <c r="AJ28" s="136">
        <f t="shared" si="3"/>
        <v>4299.2719999999999</v>
      </c>
      <c r="AK28" s="136">
        <f>SUM(AK8:AK27)*0.1</f>
        <v>1146.9690000000001</v>
      </c>
      <c r="AL28" s="136">
        <f>SUM(AL8:AL27)*0.1</f>
        <v>2690.3999999999996</v>
      </c>
      <c r="AM28" s="136">
        <f t="shared" si="3"/>
        <v>301.90000000000003</v>
      </c>
      <c r="AN28" s="136">
        <f>SUM(AN8:AN27)*0.1</f>
        <v>2741.6970000000001</v>
      </c>
      <c r="AO28" s="136">
        <f>SUM(AO8:AO27)*0.1</f>
        <v>3678.7000000000003</v>
      </c>
      <c r="AP28" s="136">
        <f t="shared" si="3"/>
        <v>0</v>
      </c>
      <c r="AQ28" s="136">
        <f t="shared" si="3"/>
        <v>421.34</v>
      </c>
      <c r="AR28" s="140">
        <f t="shared" si="3"/>
        <v>2214.6200000000003</v>
      </c>
    </row>
    <row r="29" spans="2:44" x14ac:dyDescent="0.25">
      <c r="B29" s="14" t="s">
        <v>148</v>
      </c>
      <c r="C29" s="15"/>
      <c r="D29" s="101">
        <v>20000</v>
      </c>
      <c r="E29" s="128">
        <f>SUM(I29:Z29)</f>
        <v>15000</v>
      </c>
      <c r="F29" s="101"/>
      <c r="G29" s="128">
        <f t="shared" ref="G29:G31" ca="1" si="4">SUMIF($I$3:$AR$3,"&lt;"&amp;TODAY(),$I29:$AR29)</f>
        <v>20000</v>
      </c>
      <c r="H29" s="101"/>
      <c r="I29" s="78"/>
      <c r="J29" s="2"/>
      <c r="K29" s="2"/>
      <c r="L29" s="2"/>
      <c r="M29" s="2"/>
      <c r="N29" s="2"/>
      <c r="O29" s="2"/>
      <c r="P29" s="2"/>
      <c r="Q29" s="2"/>
      <c r="R29" s="2"/>
      <c r="S29" s="2"/>
      <c r="T29" s="2"/>
      <c r="U29" s="2"/>
      <c r="V29" s="2"/>
      <c r="W29" s="2"/>
      <c r="X29" s="2"/>
      <c r="Y29" s="2">
        <v>10000</v>
      </c>
      <c r="Z29" s="2">
        <v>5000</v>
      </c>
      <c r="AA29" s="2">
        <v>2500</v>
      </c>
      <c r="AB29" s="2">
        <v>2500</v>
      </c>
      <c r="AR29" s="131"/>
    </row>
    <row r="30" spans="2:44" x14ac:dyDescent="0.25">
      <c r="B30" s="14" t="s">
        <v>95</v>
      </c>
      <c r="C30" s="15"/>
      <c r="D30" s="101">
        <v>15000</v>
      </c>
      <c r="E30" s="128">
        <f>SUM(I30:Z30)</f>
        <v>15000</v>
      </c>
      <c r="F30" s="101"/>
      <c r="G30" s="128">
        <f t="shared" ca="1" si="4"/>
        <v>15000</v>
      </c>
      <c r="H30" s="101"/>
      <c r="I30" s="78"/>
      <c r="J30" s="2"/>
      <c r="K30" s="2"/>
      <c r="L30" s="2"/>
      <c r="M30" s="2"/>
      <c r="N30" s="2"/>
      <c r="O30" s="2"/>
      <c r="P30" s="2"/>
      <c r="Q30" s="2"/>
      <c r="R30" s="2"/>
      <c r="S30" s="2"/>
      <c r="W30" s="2"/>
      <c r="X30" s="2">
        <v>5000</v>
      </c>
      <c r="Y30" s="2">
        <v>5000</v>
      </c>
      <c r="Z30" s="2">
        <v>5000</v>
      </c>
      <c r="AR30" s="131"/>
    </row>
    <row r="31" spans="2:44" ht="15.75" thickBot="1" x14ac:dyDescent="0.3">
      <c r="B31" s="8" t="s">
        <v>97</v>
      </c>
      <c r="D31" s="67">
        <v>15000</v>
      </c>
      <c r="E31" s="125">
        <f>SUM(I31:Y31)</f>
        <v>0</v>
      </c>
      <c r="F31" s="67"/>
      <c r="G31" s="125">
        <f t="shared" ca="1" si="4"/>
        <v>15000</v>
      </c>
      <c r="H31" s="67"/>
      <c r="I31" s="78"/>
      <c r="J31" s="2"/>
      <c r="K31" s="2"/>
      <c r="L31" s="2"/>
      <c r="M31" s="2"/>
      <c r="N31" s="2"/>
      <c r="O31" s="2"/>
      <c r="P31" s="2"/>
      <c r="Q31" s="2"/>
      <c r="R31" s="2"/>
      <c r="S31" s="2"/>
      <c r="T31" s="2"/>
      <c r="U31" s="2"/>
      <c r="V31" s="2"/>
      <c r="Z31" s="2">
        <v>5000</v>
      </c>
      <c r="AA31" s="2">
        <v>5000</v>
      </c>
      <c r="AB31" s="2">
        <v>5000</v>
      </c>
      <c r="AR31" s="131"/>
    </row>
    <row r="32" spans="2:44" ht="15.75" thickBot="1" x14ac:dyDescent="0.3">
      <c r="B32" s="11" t="s">
        <v>98</v>
      </c>
      <c r="C32" s="12"/>
      <c r="D32" s="452">
        <v>517700</v>
      </c>
      <c r="E32" s="452">
        <f ca="1">SUM(E4:E31)</f>
        <v>540150.46</v>
      </c>
      <c r="F32" s="452">
        <f>SUM(F4:F31)</f>
        <v>242939</v>
      </c>
      <c r="G32" s="452">
        <f ca="1">SUM(G4:G31)</f>
        <v>746531.45</v>
      </c>
      <c r="H32" s="18"/>
      <c r="I32" s="80">
        <f>SUM(I4:I31)</f>
        <v>139589.715</v>
      </c>
      <c r="J32" s="136">
        <f>SUM(J4:J31)</f>
        <v>746.9</v>
      </c>
      <c r="K32" s="136">
        <f>SUM(K4:K31)</f>
        <v>68457.460000000006</v>
      </c>
      <c r="L32" s="136">
        <f>SUM(L4:L31)</f>
        <v>6798.2749999999996</v>
      </c>
      <c r="M32" s="136">
        <f>SUM(M4:M31)</f>
        <v>44675.851000000002</v>
      </c>
      <c r="N32" s="136">
        <f>SUM(N2:N31)</f>
        <v>193860.4</v>
      </c>
      <c r="O32" s="136">
        <f t="shared" ref="O32:W32" si="5">SUM(O4:O31)</f>
        <v>5259.65</v>
      </c>
      <c r="P32" s="136">
        <f t="shared" si="5"/>
        <v>1408</v>
      </c>
      <c r="Q32" s="136">
        <f t="shared" si="5"/>
        <v>2120.5250000000001</v>
      </c>
      <c r="R32" s="136">
        <f t="shared" si="5"/>
        <v>1276</v>
      </c>
      <c r="S32" s="136">
        <f t="shared" si="5"/>
        <v>2742.3</v>
      </c>
      <c r="T32" s="136">
        <f t="shared" si="5"/>
        <v>1003.75</v>
      </c>
      <c r="U32" s="136">
        <f t="shared" si="5"/>
        <v>4063.4</v>
      </c>
      <c r="V32" s="136">
        <f t="shared" si="5"/>
        <v>561</v>
      </c>
      <c r="W32" s="136">
        <f t="shared" si="5"/>
        <v>6191.35</v>
      </c>
      <c r="X32" s="136">
        <f>SUM(X2:X31)</f>
        <v>53331.35</v>
      </c>
      <c r="Y32" s="136">
        <f>SUM(Y4:Y31)</f>
        <v>15316.8</v>
      </c>
      <c r="Z32" s="136">
        <f>SUM(Z4:Z31)</f>
        <v>18366</v>
      </c>
      <c r="AA32" s="136">
        <f t="shared" ref="AA32:AE32" si="6">SUM(AA4:AA31)</f>
        <v>15563</v>
      </c>
      <c r="AB32" s="136">
        <f t="shared" si="6"/>
        <v>11286.772000000001</v>
      </c>
      <c r="AC32" s="136">
        <f t="shared" si="6"/>
        <v>7700</v>
      </c>
      <c r="AD32" s="136">
        <f t="shared" si="6"/>
        <v>24680.3</v>
      </c>
      <c r="AE32" s="136">
        <f t="shared" si="6"/>
        <v>4639.8</v>
      </c>
      <c r="AF32" s="136">
        <f>SUM(AF4:AF31)</f>
        <v>52393.733</v>
      </c>
      <c r="AG32" s="136">
        <f>SUM(AG4:AG31)</f>
        <v>4319.17</v>
      </c>
      <c r="AH32" s="136">
        <f t="shared" ref="AH32:AR32" si="7">SUM(AH4:AH31)</f>
        <v>3407.3</v>
      </c>
      <c r="AI32" s="136">
        <f t="shared" si="7"/>
        <v>0</v>
      </c>
      <c r="AJ32" s="136">
        <f t="shared" si="7"/>
        <v>53091.991999999998</v>
      </c>
      <c r="AK32" s="136">
        <f t="shared" si="7"/>
        <v>12616.659</v>
      </c>
      <c r="AL32" s="136">
        <f t="shared" si="7"/>
        <v>29594.399999999994</v>
      </c>
      <c r="AM32" s="136">
        <f t="shared" si="7"/>
        <v>3320.9</v>
      </c>
      <c r="AN32" s="136">
        <f t="shared" si="7"/>
        <v>30158.667000000001</v>
      </c>
      <c r="AO32" s="136">
        <f t="shared" si="7"/>
        <v>40465.699999999997</v>
      </c>
      <c r="AP32" s="136">
        <f t="shared" si="7"/>
        <v>0</v>
      </c>
      <c r="AQ32" s="136">
        <f t="shared" si="7"/>
        <v>4634.74</v>
      </c>
      <c r="AR32" s="140">
        <f t="shared" si="7"/>
        <v>24360.82</v>
      </c>
    </row>
    <row r="33" spans="2:44" ht="15.75" thickBot="1" x14ac:dyDescent="0.3">
      <c r="B33" s="9" t="s">
        <v>176</v>
      </c>
      <c r="C33" s="37">
        <v>55</v>
      </c>
      <c r="D33" s="119"/>
      <c r="E33" s="129"/>
      <c r="F33" s="119"/>
      <c r="G33" s="129"/>
      <c r="H33" s="119"/>
      <c r="I33" s="78"/>
      <c r="J33" s="2"/>
      <c r="K33" s="2"/>
      <c r="L33" s="2"/>
      <c r="M33" s="2"/>
      <c r="N33" s="2"/>
      <c r="O33" s="2"/>
      <c r="P33" s="2"/>
      <c r="Q33" s="2"/>
      <c r="R33" s="2"/>
      <c r="S33" s="2"/>
      <c r="T33" s="2"/>
      <c r="U33" s="2"/>
      <c r="V33" s="2"/>
      <c r="W33" s="2"/>
      <c r="X33" s="2"/>
      <c r="Y33" s="2"/>
      <c r="Z33" s="2"/>
      <c r="AR33" s="131"/>
    </row>
    <row r="34" spans="2:44" ht="15.75" thickBot="1" x14ac:dyDescent="0.3">
      <c r="B34" s="35" t="s">
        <v>100</v>
      </c>
      <c r="C34" s="10"/>
      <c r="D34" s="135">
        <f>D32/$C$33</f>
        <v>9412.7272727272721</v>
      </c>
      <c r="E34" s="135">
        <f ca="1">E32/$C$33</f>
        <v>9820.9174545454534</v>
      </c>
      <c r="F34" s="135">
        <f>F32/$C$33</f>
        <v>4417.0727272727272</v>
      </c>
      <c r="G34" s="135">
        <f ca="1">G32/$C$33</f>
        <v>13573.29909090909</v>
      </c>
      <c r="H34" s="239"/>
      <c r="I34" s="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32"/>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84BB-F2B9-472D-8141-301B43A9159F}">
  <dimension ref="B1:AS37"/>
  <sheetViews>
    <sheetView showGridLines="0" zoomScale="80" zoomScaleNormal="80" workbookViewId="0">
      <pane xSplit="8" ySplit="3" topLeftCell="AE4" activePane="bottomRight" state="frozen"/>
      <selection pane="topRight" activeCell="I1" sqref="I1"/>
      <selection pane="bottomLeft" activeCell="A4" sqref="A4"/>
      <selection pane="bottomRight" activeCell="AN41" sqref="AN41"/>
    </sheetView>
  </sheetViews>
  <sheetFormatPr defaultRowHeight="15" x14ac:dyDescent="0.25"/>
  <cols>
    <col min="1" max="1" width="4.42578125" customWidth="1"/>
    <col min="2" max="2" width="30.5703125" customWidth="1"/>
    <col min="3" max="3" width="33.42578125" style="26" bestFit="1" customWidth="1"/>
    <col min="4" max="7" width="16.5703125" customWidth="1"/>
    <col min="8" max="8" width="21.5703125" customWidth="1"/>
    <col min="10" max="10" width="9.42578125" customWidth="1"/>
    <col min="14" max="14" width="10.42578125" customWidth="1"/>
    <col min="27" max="27" width="10.5703125" customWidth="1"/>
    <col min="29" max="30" width="10" customWidth="1"/>
    <col min="42" max="42" width="10.5703125" bestFit="1" customWidth="1"/>
  </cols>
  <sheetData>
    <row r="1" spans="2:45" ht="15.75" thickBot="1" x14ac:dyDescent="0.3"/>
    <row r="2" spans="2:45" ht="45.75" thickBot="1" x14ac:dyDescent="0.3">
      <c r="B2" s="1" t="s">
        <v>200</v>
      </c>
      <c r="I2" s="147"/>
      <c r="J2" s="146"/>
      <c r="K2" s="146"/>
      <c r="L2" s="146"/>
      <c r="M2" s="146"/>
      <c r="N2" s="150" t="s">
        <v>179</v>
      </c>
      <c r="O2" s="146"/>
      <c r="P2" s="146"/>
      <c r="Q2" s="146"/>
      <c r="R2" s="146"/>
      <c r="S2" s="146"/>
      <c r="T2" s="146"/>
      <c r="U2" s="148"/>
      <c r="V2" s="148"/>
      <c r="W2" s="151"/>
      <c r="X2" s="151"/>
      <c r="Y2" s="148"/>
      <c r="Z2" s="148"/>
      <c r="AA2" s="151" t="s">
        <v>201</v>
      </c>
      <c r="AB2" s="148"/>
      <c r="AC2" s="228"/>
      <c r="AD2" s="228" t="s">
        <v>202</v>
      </c>
      <c r="AE2" s="148"/>
      <c r="AF2" s="149"/>
      <c r="AG2" s="142"/>
      <c r="AH2" s="143"/>
      <c r="AI2" s="143"/>
      <c r="AJ2" s="143"/>
      <c r="AK2" s="143"/>
      <c r="AL2" s="143"/>
      <c r="AM2" s="143"/>
      <c r="AN2" s="143"/>
      <c r="AO2" s="143"/>
      <c r="AP2" s="143"/>
      <c r="AQ2" s="143"/>
      <c r="AR2" s="154"/>
    </row>
    <row r="3" spans="2:45" ht="45.75" thickBot="1" x14ac:dyDescent="0.3">
      <c r="B3" s="39" t="s">
        <v>16</v>
      </c>
      <c r="C3" s="314" t="s">
        <v>17</v>
      </c>
      <c r="D3" s="120" t="s">
        <v>184</v>
      </c>
      <c r="E3" s="121" t="s">
        <v>185</v>
      </c>
      <c r="F3" s="41" t="s">
        <v>186</v>
      </c>
      <c r="G3" s="134" t="s">
        <v>187</v>
      </c>
      <c r="H3" s="41" t="s">
        <v>111</v>
      </c>
      <c r="I3" s="171">
        <v>44227</v>
      </c>
      <c r="J3" s="172">
        <v>44255</v>
      </c>
      <c r="K3" s="172">
        <v>44286</v>
      </c>
      <c r="L3" s="172">
        <v>44316</v>
      </c>
      <c r="M3" s="172">
        <v>44347</v>
      </c>
      <c r="N3" s="172">
        <v>44377</v>
      </c>
      <c r="O3" s="172">
        <v>44408</v>
      </c>
      <c r="P3" s="172">
        <v>44439</v>
      </c>
      <c r="Q3" s="172">
        <v>44469</v>
      </c>
      <c r="R3" s="172">
        <v>44500</v>
      </c>
      <c r="S3" s="172">
        <v>44530</v>
      </c>
      <c r="T3" s="172">
        <v>44561</v>
      </c>
      <c r="U3" s="170">
        <v>44592</v>
      </c>
      <c r="V3" s="170">
        <v>44620</v>
      </c>
      <c r="W3" s="170">
        <v>44651</v>
      </c>
      <c r="X3" s="170">
        <v>44681</v>
      </c>
      <c r="Y3" s="170">
        <v>44712</v>
      </c>
      <c r="Z3" s="170">
        <v>44742</v>
      </c>
      <c r="AA3" s="170">
        <v>44773</v>
      </c>
      <c r="AB3" s="170">
        <v>44804</v>
      </c>
      <c r="AC3" s="170">
        <v>44834</v>
      </c>
      <c r="AD3" s="170">
        <v>44865</v>
      </c>
      <c r="AE3" s="170">
        <v>44895</v>
      </c>
      <c r="AF3" s="170">
        <v>44926</v>
      </c>
      <c r="AG3" s="171">
        <v>44957</v>
      </c>
      <c r="AH3" s="172">
        <v>44985</v>
      </c>
      <c r="AI3" s="172">
        <v>45016</v>
      </c>
      <c r="AJ3" s="172">
        <v>45046</v>
      </c>
      <c r="AK3" s="172">
        <v>45077</v>
      </c>
      <c r="AL3" s="172">
        <v>45107</v>
      </c>
      <c r="AM3" s="172">
        <v>45138</v>
      </c>
      <c r="AN3" s="172">
        <v>45169</v>
      </c>
      <c r="AO3" s="172">
        <v>45199</v>
      </c>
      <c r="AP3" s="172">
        <v>45230</v>
      </c>
      <c r="AQ3" s="172">
        <v>45260</v>
      </c>
      <c r="AR3" s="242">
        <v>45291</v>
      </c>
      <c r="AS3" t="s">
        <v>203</v>
      </c>
    </row>
    <row r="4" spans="2:45" x14ac:dyDescent="0.25">
      <c r="B4" s="8" t="s">
        <v>29</v>
      </c>
      <c r="C4" s="26" t="s">
        <v>170</v>
      </c>
      <c r="D4" s="19">
        <v>0</v>
      </c>
      <c r="E4" s="19">
        <f>SUM(I4:AR4)</f>
        <v>0</v>
      </c>
      <c r="F4" s="19"/>
      <c r="G4" s="19">
        <f ca="1">SUMIF($I$3:$AR$3,"&lt;"&amp;TODAY(),$I4:$AR4)</f>
        <v>0</v>
      </c>
      <c r="H4" s="19">
        <f t="shared" ref="H4:H5" si="0">SUM(I4:Z4)</f>
        <v>0</v>
      </c>
      <c r="I4" s="173"/>
      <c r="J4" s="174"/>
      <c r="K4" s="174"/>
      <c r="L4" s="174"/>
      <c r="M4" s="174"/>
      <c r="N4" s="174"/>
      <c r="O4" s="174"/>
      <c r="P4" s="174"/>
      <c r="Q4" s="174"/>
      <c r="R4" s="174"/>
      <c r="S4" s="174"/>
      <c r="T4" s="174"/>
      <c r="U4" s="174"/>
      <c r="V4" s="174"/>
      <c r="W4" s="174"/>
      <c r="X4" s="174"/>
      <c r="Y4" s="174"/>
      <c r="Z4" s="174"/>
      <c r="AA4" s="118"/>
      <c r="AB4" s="118"/>
      <c r="AC4" s="118"/>
      <c r="AD4" s="118"/>
      <c r="AE4" s="118"/>
      <c r="AF4" s="118"/>
      <c r="AG4" s="8"/>
      <c r="AR4" s="131"/>
    </row>
    <row r="5" spans="2:45" x14ac:dyDescent="0.25">
      <c r="B5" s="8"/>
      <c r="C5" s="26" t="s">
        <v>111</v>
      </c>
      <c r="D5" s="19">
        <v>0</v>
      </c>
      <c r="E5" s="19">
        <f t="shared" ref="E5:E33" si="1">SUM(I5:AR5)</f>
        <v>86800</v>
      </c>
      <c r="F5" s="19"/>
      <c r="G5" s="19">
        <f t="shared" ref="G5:G32" ca="1" si="2">SUMIF($I$3:$AR$3,"&lt;"&amp;TODAY(),$I5:$AR5)</f>
        <v>86800</v>
      </c>
      <c r="H5" s="19">
        <f t="shared" si="0"/>
        <v>0</v>
      </c>
      <c r="I5" s="78"/>
      <c r="J5" s="2"/>
      <c r="K5" s="2"/>
      <c r="L5" s="2"/>
      <c r="M5" s="2"/>
      <c r="N5" s="2"/>
      <c r="O5" s="2"/>
      <c r="P5" s="2"/>
      <c r="Q5" s="2"/>
      <c r="R5" s="2"/>
      <c r="S5" s="2"/>
      <c r="T5" s="2"/>
      <c r="U5" s="2"/>
      <c r="V5" s="2"/>
      <c r="W5" s="2"/>
      <c r="X5" s="2"/>
      <c r="Y5" s="2"/>
      <c r="Z5" s="2"/>
      <c r="AF5" s="26">
        <f>2800</f>
        <v>2800</v>
      </c>
      <c r="AG5" s="8"/>
      <c r="AM5" s="26">
        <v>1500</v>
      </c>
      <c r="AP5" s="323">
        <v>82500</v>
      </c>
      <c r="AR5" s="131"/>
    </row>
    <row r="6" spans="2:45" x14ac:dyDescent="0.25">
      <c r="B6" s="13"/>
      <c r="C6" s="29" t="s">
        <v>32</v>
      </c>
      <c r="D6" s="327">
        <v>180000</v>
      </c>
      <c r="E6" s="20">
        <f t="shared" si="1"/>
        <v>180000</v>
      </c>
      <c r="F6" s="20">
        <v>180000</v>
      </c>
      <c r="G6" s="20">
        <f t="shared" ca="1" si="2"/>
        <v>180000</v>
      </c>
      <c r="H6" s="20"/>
      <c r="I6" s="78">
        <v>180000</v>
      </c>
      <c r="J6" s="2"/>
      <c r="K6" s="2"/>
      <c r="L6" s="2"/>
      <c r="M6" s="2"/>
      <c r="N6" s="2"/>
      <c r="O6" s="2"/>
      <c r="P6" s="2"/>
      <c r="Q6" s="2"/>
      <c r="R6" s="2"/>
      <c r="S6" s="2"/>
      <c r="T6" s="2"/>
      <c r="U6" s="2"/>
      <c r="V6" s="2"/>
      <c r="W6" s="2"/>
      <c r="X6" s="2"/>
      <c r="Y6" s="2"/>
      <c r="Z6" s="2"/>
      <c r="AG6" s="8"/>
      <c r="AR6" s="131"/>
    </row>
    <row r="7" spans="2:45" x14ac:dyDescent="0.25">
      <c r="B7" s="14" t="s">
        <v>35</v>
      </c>
      <c r="C7" s="262"/>
      <c r="D7" s="352">
        <v>40000</v>
      </c>
      <c r="E7" s="21">
        <f t="shared" si="1"/>
        <v>163439.20000000001</v>
      </c>
      <c r="F7" s="21">
        <v>40000</v>
      </c>
      <c r="G7" s="21">
        <f t="shared" ca="1" si="2"/>
        <v>163439.20000000001</v>
      </c>
      <c r="H7" s="21" t="s">
        <v>204</v>
      </c>
      <c r="I7" s="130">
        <v>48000</v>
      </c>
      <c r="J7" s="28">
        <f>10000+10000</f>
        <v>20000</v>
      </c>
      <c r="K7" s="2"/>
      <c r="L7" s="2"/>
      <c r="M7" s="2"/>
      <c r="N7" s="2"/>
      <c r="O7" s="2"/>
      <c r="P7" s="2"/>
      <c r="Q7" s="2"/>
      <c r="R7" s="2"/>
      <c r="S7" s="2"/>
      <c r="T7" s="2"/>
      <c r="U7" s="2"/>
      <c r="V7" s="2"/>
      <c r="W7" s="2"/>
      <c r="X7" s="2"/>
      <c r="Y7" s="2"/>
      <c r="AA7" s="28">
        <v>2460</v>
      </c>
      <c r="AB7" s="28">
        <v>1750</v>
      </c>
      <c r="AC7" s="2">
        <f>500+950+3000+750+250</f>
        <v>5450</v>
      </c>
      <c r="AD7" s="2">
        <f>4500+3000</f>
        <v>7500</v>
      </c>
      <c r="AF7" s="26">
        <v>4200</v>
      </c>
      <c r="AG7" s="153">
        <v>12714</v>
      </c>
      <c r="AH7" s="26">
        <v>449</v>
      </c>
      <c r="AJ7" s="272">
        <f>3000+13.35</f>
        <v>3013.35</v>
      </c>
      <c r="AK7" s="272">
        <f>13.35+3000</f>
        <v>3013.35</v>
      </c>
      <c r="AL7" s="272">
        <v>1750</v>
      </c>
      <c r="AN7" s="26">
        <v>3198</v>
      </c>
      <c r="AO7" s="26">
        <f>2500+3000</f>
        <v>5500</v>
      </c>
      <c r="AP7" s="26">
        <v>19800</v>
      </c>
      <c r="AR7" s="353">
        <f>8910+9824+5907.5</f>
        <v>24641.5</v>
      </c>
    </row>
    <row r="8" spans="2:45" x14ac:dyDescent="0.25">
      <c r="B8" s="14" t="s">
        <v>205</v>
      </c>
      <c r="C8" s="262"/>
      <c r="D8" s="21"/>
      <c r="E8" s="21">
        <f t="shared" si="1"/>
        <v>2666.19</v>
      </c>
      <c r="F8" s="21"/>
      <c r="G8" s="21">
        <f t="shared" ca="1" si="2"/>
        <v>2666.19</v>
      </c>
      <c r="H8" s="21"/>
      <c r="I8" s="130">
        <f>500</f>
        <v>500</v>
      </c>
      <c r="J8" s="28">
        <v>1166.19</v>
      </c>
      <c r="K8" s="2"/>
      <c r="L8" s="2"/>
      <c r="M8" s="2"/>
      <c r="N8" s="2"/>
      <c r="O8" s="2"/>
      <c r="P8" s="2"/>
      <c r="Q8" s="2"/>
      <c r="R8" s="2"/>
      <c r="S8" s="2"/>
      <c r="T8" s="2"/>
      <c r="U8" s="28">
        <v>500</v>
      </c>
      <c r="V8" s="2"/>
      <c r="W8" s="2"/>
      <c r="X8" s="2"/>
      <c r="Y8" s="2"/>
      <c r="Z8" s="2"/>
      <c r="AG8" s="8"/>
      <c r="AH8" s="26">
        <v>500</v>
      </c>
      <c r="AR8" s="131"/>
    </row>
    <row r="9" spans="2:45" x14ac:dyDescent="0.25">
      <c r="B9" s="14" t="s">
        <v>40</v>
      </c>
      <c r="C9" s="262"/>
      <c r="D9" s="21">
        <v>24000</v>
      </c>
      <c r="E9" s="21">
        <f t="shared" si="1"/>
        <v>41988.5</v>
      </c>
      <c r="F9" s="21">
        <v>21000</v>
      </c>
      <c r="G9" s="21">
        <f t="shared" ca="1" si="2"/>
        <v>41988.5</v>
      </c>
      <c r="H9" s="21" t="s">
        <v>206</v>
      </c>
      <c r="I9" s="130">
        <v>1938.5</v>
      </c>
      <c r="J9" s="28">
        <f>3949+197.5+1345.25</f>
        <v>5491.75</v>
      </c>
      <c r="K9" s="26">
        <v>2533.5</v>
      </c>
      <c r="L9" s="2"/>
      <c r="M9" s="28">
        <f>4608+334</f>
        <v>4942</v>
      </c>
      <c r="N9" s="28">
        <v>1795.75</v>
      </c>
      <c r="O9" s="28">
        <v>3158.13</v>
      </c>
      <c r="P9" s="2"/>
      <c r="Q9" s="28">
        <v>384.5</v>
      </c>
      <c r="R9" s="28">
        <f>196+462</f>
        <v>658</v>
      </c>
      <c r="S9" s="28">
        <v>428.25</v>
      </c>
      <c r="T9" s="2"/>
      <c r="U9" s="28">
        <v>3209.75</v>
      </c>
      <c r="W9" s="28">
        <v>261.5</v>
      </c>
      <c r="X9" s="28">
        <v>548</v>
      </c>
      <c r="Y9" s="28">
        <v>3835.5</v>
      </c>
      <c r="Z9" s="28">
        <v>187</v>
      </c>
      <c r="AA9" s="28">
        <v>750</v>
      </c>
      <c r="AB9" s="28">
        <f>2543.5+499.37</f>
        <v>3042.87</v>
      </c>
      <c r="AC9" s="28">
        <v>1500</v>
      </c>
      <c r="AD9" s="28">
        <f>2950+806</f>
        <v>3756</v>
      </c>
      <c r="AE9" s="28">
        <v>1000</v>
      </c>
      <c r="AF9" s="28">
        <v>137.5</v>
      </c>
      <c r="AG9" s="153">
        <v>750</v>
      </c>
      <c r="AJ9" s="26">
        <v>750</v>
      </c>
      <c r="AK9" s="272">
        <v>930</v>
      </c>
      <c r="AR9" s="131"/>
    </row>
    <row r="10" spans="2:45" x14ac:dyDescent="0.25">
      <c r="B10" s="14" t="s">
        <v>37</v>
      </c>
      <c r="C10" s="262"/>
      <c r="D10" s="352">
        <v>150000</v>
      </c>
      <c r="E10" s="21">
        <f t="shared" si="1"/>
        <v>186651</v>
      </c>
      <c r="F10" s="21">
        <v>150000</v>
      </c>
      <c r="G10" s="21">
        <f t="shared" ca="1" si="2"/>
        <v>186651</v>
      </c>
      <c r="H10" s="21"/>
      <c r="I10" s="78"/>
      <c r="J10" s="2"/>
      <c r="L10" s="2"/>
      <c r="M10" s="2"/>
      <c r="N10" s="28">
        <v>171651</v>
      </c>
      <c r="O10" s="2"/>
      <c r="P10" s="2"/>
      <c r="Q10" s="2"/>
      <c r="R10" s="2"/>
      <c r="S10" s="2"/>
      <c r="T10" s="2"/>
      <c r="U10" s="2"/>
      <c r="V10" s="2"/>
      <c r="W10" s="2"/>
      <c r="X10" s="2"/>
      <c r="Y10" s="2"/>
      <c r="Z10" s="2"/>
      <c r="AE10" s="2">
        <v>15000</v>
      </c>
      <c r="AG10" s="8"/>
      <c r="AR10" s="131"/>
    </row>
    <row r="11" spans="2:45" x14ac:dyDescent="0.25">
      <c r="B11" s="16" t="s">
        <v>42</v>
      </c>
      <c r="C11" s="26" t="s">
        <v>43</v>
      </c>
      <c r="D11" s="19">
        <v>5000</v>
      </c>
      <c r="E11" s="19">
        <f t="shared" si="1"/>
        <v>10098</v>
      </c>
      <c r="F11" s="19">
        <v>4400</v>
      </c>
      <c r="G11" s="19">
        <f t="shared" ca="1" si="2"/>
        <v>10098</v>
      </c>
      <c r="H11" s="19" t="s">
        <v>206</v>
      </c>
      <c r="I11" s="78"/>
      <c r="J11" s="28">
        <f>1650+2750</f>
        <v>4400</v>
      </c>
      <c r="L11" s="2"/>
      <c r="M11" s="2"/>
      <c r="N11" s="2"/>
      <c r="O11" s="2"/>
      <c r="P11" s="2"/>
      <c r="Q11" s="2"/>
      <c r="R11" s="2"/>
      <c r="S11" s="2"/>
      <c r="T11" s="2"/>
      <c r="U11" s="2"/>
      <c r="V11" s="2"/>
      <c r="W11" s="2"/>
      <c r="X11" s="2"/>
      <c r="Y11" s="2"/>
      <c r="Z11" s="2"/>
      <c r="AD11" s="26">
        <v>2978</v>
      </c>
      <c r="AE11" s="2"/>
      <c r="AG11" s="153">
        <v>2720</v>
      </c>
      <c r="AR11" s="131"/>
    </row>
    <row r="12" spans="2:45" x14ac:dyDescent="0.25">
      <c r="B12" s="16"/>
      <c r="C12" s="26" t="s">
        <v>44</v>
      </c>
      <c r="D12" s="19">
        <v>5000</v>
      </c>
      <c r="E12" s="19">
        <f t="shared" si="1"/>
        <v>0</v>
      </c>
      <c r="F12" s="19">
        <v>4300</v>
      </c>
      <c r="G12" s="19">
        <f t="shared" ca="1" si="2"/>
        <v>0</v>
      </c>
      <c r="H12" s="19"/>
      <c r="I12" s="78"/>
      <c r="J12" s="2"/>
      <c r="L12" s="2"/>
      <c r="M12" s="2"/>
      <c r="N12" s="2"/>
      <c r="O12" s="2"/>
      <c r="P12" s="2"/>
      <c r="Q12" s="2"/>
      <c r="R12" s="2"/>
      <c r="S12" s="2"/>
      <c r="T12" s="2"/>
      <c r="U12" s="2"/>
      <c r="V12" s="2"/>
      <c r="W12" s="2"/>
      <c r="X12" s="2"/>
      <c r="Y12" s="2"/>
      <c r="Z12" s="2"/>
      <c r="AE12" s="2"/>
      <c r="AG12" s="8"/>
      <c r="AR12" s="131"/>
    </row>
    <row r="13" spans="2:45" x14ac:dyDescent="0.25">
      <c r="B13" s="16"/>
      <c r="C13" s="26" t="s">
        <v>46</v>
      </c>
      <c r="D13" s="19">
        <v>5000</v>
      </c>
      <c r="E13" s="19">
        <f t="shared" si="1"/>
        <v>10035</v>
      </c>
      <c r="F13" s="19"/>
      <c r="G13" s="19">
        <f t="shared" ca="1" si="2"/>
        <v>10035</v>
      </c>
      <c r="H13" s="19" t="s">
        <v>207</v>
      </c>
      <c r="I13" s="78"/>
      <c r="J13" s="2"/>
      <c r="L13" s="2"/>
      <c r="M13" s="2"/>
      <c r="N13" s="2"/>
      <c r="O13" s="2"/>
      <c r="P13" s="2"/>
      <c r="Q13" s="2"/>
      <c r="R13" s="28">
        <v>8500</v>
      </c>
      <c r="S13" s="2"/>
      <c r="T13" s="2"/>
      <c r="U13" s="2"/>
      <c r="V13" s="2"/>
      <c r="W13" s="2"/>
      <c r="X13" s="2"/>
      <c r="Y13" s="2"/>
      <c r="Z13" s="2"/>
      <c r="AD13" s="26">
        <v>685</v>
      </c>
      <c r="AE13" s="2"/>
      <c r="AG13" s="8"/>
      <c r="AQ13" s="26">
        <v>850</v>
      </c>
      <c r="AR13" s="131"/>
    </row>
    <row r="14" spans="2:45" x14ac:dyDescent="0.25">
      <c r="B14" s="16"/>
      <c r="C14" s="26" t="s">
        <v>47</v>
      </c>
      <c r="D14" s="19">
        <v>4000</v>
      </c>
      <c r="E14" s="19">
        <f t="shared" si="1"/>
        <v>3700</v>
      </c>
      <c r="F14" s="19">
        <v>3000</v>
      </c>
      <c r="G14" s="19">
        <f t="shared" ca="1" si="2"/>
        <v>3700</v>
      </c>
      <c r="H14" s="19" t="s">
        <v>135</v>
      </c>
      <c r="I14" s="78"/>
      <c r="J14" s="2"/>
      <c r="L14" s="2"/>
      <c r="M14" s="2"/>
      <c r="N14" s="2"/>
      <c r="O14" s="2"/>
      <c r="P14" s="2"/>
      <c r="Q14" s="2"/>
      <c r="R14" s="2"/>
      <c r="S14" s="2"/>
      <c r="T14" s="2"/>
      <c r="U14" s="2"/>
      <c r="V14" s="2"/>
      <c r="W14" s="2"/>
      <c r="X14" s="2"/>
      <c r="Y14" s="2"/>
      <c r="Z14" s="2"/>
      <c r="AD14" s="26">
        <v>2950</v>
      </c>
      <c r="AE14" s="2"/>
      <c r="AG14" s="8"/>
      <c r="AH14" s="26">
        <v>750</v>
      </c>
      <c r="AR14" s="131"/>
    </row>
    <row r="15" spans="2:45" x14ac:dyDescent="0.25">
      <c r="B15" s="16"/>
      <c r="C15" s="26" t="s">
        <v>48</v>
      </c>
      <c r="D15" s="19">
        <v>25000</v>
      </c>
      <c r="E15" s="19">
        <f t="shared" si="1"/>
        <v>26114</v>
      </c>
      <c r="F15" s="19">
        <v>30600</v>
      </c>
      <c r="G15" s="19">
        <f t="shared" ca="1" si="2"/>
        <v>26114</v>
      </c>
      <c r="H15" s="19"/>
      <c r="I15" s="78"/>
      <c r="J15" s="28">
        <v>26114</v>
      </c>
      <c r="L15" s="2"/>
      <c r="M15" s="2"/>
      <c r="N15" s="2"/>
      <c r="O15" s="2"/>
      <c r="P15" s="2"/>
      <c r="Q15" s="2"/>
      <c r="R15" s="2"/>
      <c r="S15" s="2"/>
      <c r="T15" s="2"/>
      <c r="U15" s="2"/>
      <c r="V15" s="2"/>
      <c r="W15" s="2"/>
      <c r="X15" s="2"/>
      <c r="Y15" s="2"/>
      <c r="Z15" s="2"/>
      <c r="AE15" s="2"/>
      <c r="AG15" s="8"/>
      <c r="AR15" s="131"/>
    </row>
    <row r="16" spans="2:45" x14ac:dyDescent="0.25">
      <c r="B16" s="16"/>
      <c r="C16" s="26" t="s">
        <v>171</v>
      </c>
      <c r="D16" s="19">
        <v>75000</v>
      </c>
      <c r="E16" s="19">
        <f t="shared" si="1"/>
        <v>0</v>
      </c>
      <c r="F16" s="19"/>
      <c r="G16" s="19">
        <f t="shared" ca="1" si="2"/>
        <v>0</v>
      </c>
      <c r="H16" s="19"/>
      <c r="I16" s="78"/>
      <c r="J16" s="2"/>
      <c r="K16" s="2"/>
      <c r="L16" s="2"/>
      <c r="P16" s="2"/>
      <c r="Q16" s="2"/>
      <c r="R16" s="2"/>
      <c r="S16" s="2"/>
      <c r="T16" s="2"/>
      <c r="U16" s="2"/>
      <c r="V16" s="2"/>
      <c r="AB16" s="2"/>
      <c r="AD16" s="2"/>
      <c r="AE16" s="2"/>
      <c r="AG16" s="8"/>
      <c r="AR16" s="131"/>
    </row>
    <row r="17" spans="2:44" x14ac:dyDescent="0.25">
      <c r="B17" s="16"/>
      <c r="C17" s="26" t="s">
        <v>172</v>
      </c>
      <c r="D17" s="19">
        <v>3000</v>
      </c>
      <c r="E17" s="19">
        <f t="shared" si="1"/>
        <v>3000</v>
      </c>
      <c r="F17" s="19"/>
      <c r="G17" s="19">
        <f t="shared" ca="1" si="2"/>
        <v>3000</v>
      </c>
      <c r="H17" s="19"/>
      <c r="I17" s="78"/>
      <c r="J17" s="2"/>
      <c r="K17" s="2"/>
      <c r="L17" s="2">
        <v>2000</v>
      </c>
      <c r="M17" s="2"/>
      <c r="N17" s="2"/>
      <c r="O17" s="2"/>
      <c r="P17" s="2">
        <v>1000</v>
      </c>
      <c r="Q17" s="2"/>
      <c r="R17" s="2"/>
      <c r="S17" s="2"/>
      <c r="T17" s="2"/>
      <c r="U17" s="2"/>
      <c r="V17" s="2"/>
      <c r="W17" s="2"/>
      <c r="X17" s="2"/>
      <c r="Y17" s="2"/>
      <c r="Z17" s="2"/>
      <c r="AE17" s="2"/>
      <c r="AG17" s="8"/>
      <c r="AR17" s="131"/>
    </row>
    <row r="18" spans="2:44" x14ac:dyDescent="0.25">
      <c r="B18" s="16"/>
      <c r="C18" s="26" t="s">
        <v>54</v>
      </c>
      <c r="D18" s="19">
        <v>5000</v>
      </c>
      <c r="E18" s="19">
        <f t="shared" si="1"/>
        <v>4800</v>
      </c>
      <c r="F18" s="19">
        <v>4100</v>
      </c>
      <c r="G18" s="19">
        <f t="shared" ca="1" si="2"/>
        <v>4800</v>
      </c>
      <c r="H18" s="19" t="s">
        <v>135</v>
      </c>
      <c r="I18" s="78"/>
      <c r="J18" s="2"/>
      <c r="K18" s="28">
        <v>900</v>
      </c>
      <c r="L18" s="2">
        <v>3000</v>
      </c>
      <c r="M18" s="2"/>
      <c r="N18" s="2"/>
      <c r="O18" s="2"/>
      <c r="P18" s="2"/>
      <c r="Q18" s="2"/>
      <c r="R18" s="2"/>
      <c r="S18" s="2"/>
      <c r="T18" s="2"/>
      <c r="U18" s="2"/>
      <c r="V18" s="2"/>
      <c r="W18" s="28">
        <v>900</v>
      </c>
      <c r="X18" s="2"/>
      <c r="Y18" s="2"/>
      <c r="Z18" s="2"/>
      <c r="AE18" s="2"/>
      <c r="AG18" s="192"/>
      <c r="AR18" s="131"/>
    </row>
    <row r="19" spans="2:44" x14ac:dyDescent="0.25">
      <c r="B19" s="16"/>
      <c r="C19" s="26" t="s">
        <v>56</v>
      </c>
      <c r="D19" s="19">
        <v>10000</v>
      </c>
      <c r="E19" s="19">
        <f t="shared" si="1"/>
        <v>29685</v>
      </c>
      <c r="F19" s="19">
        <v>6000</v>
      </c>
      <c r="G19" s="19">
        <f t="shared" ca="1" si="2"/>
        <v>29685</v>
      </c>
      <c r="H19" s="19" t="s">
        <v>135</v>
      </c>
      <c r="I19" s="130">
        <f>1500+1000</f>
        <v>2500</v>
      </c>
      <c r="J19" s="28">
        <f>3000+450</f>
        <v>3450</v>
      </c>
      <c r="K19" s="2"/>
      <c r="L19" s="28">
        <v>2500</v>
      </c>
      <c r="M19" s="2"/>
      <c r="N19" s="28">
        <v>2500</v>
      </c>
      <c r="O19" s="28">
        <v>2500</v>
      </c>
      <c r="P19" s="2"/>
      <c r="Q19" s="28">
        <v>490</v>
      </c>
      <c r="R19" s="28">
        <f>2450+6970</f>
        <v>9420</v>
      </c>
      <c r="S19" s="2"/>
      <c r="T19" s="2"/>
      <c r="U19" s="2"/>
      <c r="V19" s="2"/>
      <c r="W19" s="2"/>
      <c r="X19" s="2">
        <v>1000</v>
      </c>
      <c r="Y19" s="2"/>
      <c r="Z19" s="2"/>
      <c r="AE19" s="28">
        <v>5325</v>
      </c>
      <c r="AG19" s="8"/>
      <c r="AR19" s="131"/>
    </row>
    <row r="20" spans="2:44" x14ac:dyDescent="0.25">
      <c r="B20" s="16"/>
      <c r="C20" s="26" t="s">
        <v>58</v>
      </c>
      <c r="D20" s="19">
        <v>7500</v>
      </c>
      <c r="E20" s="19">
        <f t="shared" si="1"/>
        <v>19933.75</v>
      </c>
      <c r="F20" s="19">
        <v>9575</v>
      </c>
      <c r="G20" s="19">
        <f t="shared" ca="1" si="2"/>
        <v>19933.75</v>
      </c>
      <c r="H20" s="19" t="s">
        <v>208</v>
      </c>
      <c r="I20" s="78"/>
      <c r="J20" s="28">
        <v>2825</v>
      </c>
      <c r="L20" s="2"/>
      <c r="M20" s="28">
        <v>4848.75</v>
      </c>
      <c r="N20" s="2"/>
      <c r="O20" s="2"/>
      <c r="P20" s="2"/>
      <c r="Q20" s="2"/>
      <c r="R20" s="2"/>
      <c r="S20" s="2"/>
      <c r="T20" s="2"/>
      <c r="U20" s="2"/>
      <c r="V20" s="2"/>
      <c r="X20" s="2"/>
      <c r="Y20" s="28">
        <f>475+285+850+850</f>
        <v>2460</v>
      </c>
      <c r="Z20" s="2"/>
      <c r="AE20" s="28">
        <f>7300+2500</f>
        <v>9800</v>
      </c>
      <c r="AG20" s="8"/>
      <c r="AR20" s="131"/>
    </row>
    <row r="21" spans="2:44" x14ac:dyDescent="0.25">
      <c r="B21" s="16"/>
      <c r="C21" s="26" t="s">
        <v>59</v>
      </c>
      <c r="D21" s="19">
        <v>3000</v>
      </c>
      <c r="E21" s="19">
        <f t="shared" si="1"/>
        <v>7190</v>
      </c>
      <c r="F21" s="19">
        <v>0</v>
      </c>
      <c r="G21" s="19">
        <f t="shared" ca="1" si="2"/>
        <v>7190</v>
      </c>
      <c r="H21" s="19"/>
      <c r="I21" s="78"/>
      <c r="J21" s="2"/>
      <c r="K21" s="2"/>
      <c r="L21" s="2"/>
      <c r="M21" s="2"/>
      <c r="N21" s="2"/>
      <c r="O21" s="2"/>
      <c r="P21" s="2">
        <v>1000</v>
      </c>
      <c r="Q21" s="2"/>
      <c r="R21" s="2"/>
      <c r="S21" s="2"/>
      <c r="T21" s="2"/>
      <c r="U21" s="2"/>
      <c r="V21" s="2"/>
      <c r="W21" s="2"/>
      <c r="X21" s="2"/>
      <c r="Y21" s="2"/>
      <c r="Z21" s="2"/>
      <c r="AE21" s="28">
        <v>3400</v>
      </c>
      <c r="AG21" s="153">
        <v>1950</v>
      </c>
      <c r="AR21" s="353">
        <v>840</v>
      </c>
    </row>
    <row r="22" spans="2:44" x14ac:dyDescent="0.25">
      <c r="B22" s="16"/>
      <c r="C22" s="26" t="s">
        <v>60</v>
      </c>
      <c r="D22" s="19">
        <v>3000</v>
      </c>
      <c r="E22" s="19">
        <f t="shared" si="1"/>
        <v>2550</v>
      </c>
      <c r="F22" s="19"/>
      <c r="G22" s="19">
        <f t="shared" ca="1" si="2"/>
        <v>2550</v>
      </c>
      <c r="H22" s="19" t="s">
        <v>209</v>
      </c>
      <c r="I22" s="78"/>
      <c r="J22" s="2"/>
      <c r="K22" s="2"/>
      <c r="L22" s="2">
        <v>2000</v>
      </c>
      <c r="M22" s="2"/>
      <c r="N22" s="2"/>
      <c r="O22" s="2"/>
      <c r="P22" s="28">
        <v>550</v>
      </c>
      <c r="Q22" s="2"/>
      <c r="R22" s="2"/>
      <c r="S22" s="2"/>
      <c r="T22" s="2"/>
      <c r="U22" s="2"/>
      <c r="V22" s="2"/>
      <c r="W22" s="2"/>
      <c r="X22" s="2"/>
      <c r="Y22" s="2"/>
      <c r="Z22" s="2"/>
      <c r="AE22" s="2"/>
      <c r="AG22" s="8"/>
      <c r="AR22" s="131"/>
    </row>
    <row r="23" spans="2:44" x14ac:dyDescent="0.25">
      <c r="B23" s="16"/>
      <c r="C23" s="26" t="s">
        <v>61</v>
      </c>
      <c r="D23" s="19">
        <v>15000</v>
      </c>
      <c r="E23" s="19">
        <f t="shared" si="1"/>
        <v>2500</v>
      </c>
      <c r="F23" s="19"/>
      <c r="G23" s="19">
        <f t="shared" ca="1" si="2"/>
        <v>2500</v>
      </c>
      <c r="H23" s="19"/>
      <c r="I23" s="78"/>
      <c r="J23" s="2"/>
      <c r="K23" s="2"/>
      <c r="L23" s="2"/>
      <c r="M23" s="2"/>
      <c r="N23" s="2"/>
      <c r="O23" s="2"/>
      <c r="P23" s="2">
        <v>2500</v>
      </c>
      <c r="Q23" s="2"/>
      <c r="R23" s="2"/>
      <c r="S23" s="2"/>
      <c r="T23" s="2"/>
      <c r="U23" s="2"/>
      <c r="V23" s="2"/>
      <c r="W23" s="2"/>
      <c r="X23" s="2"/>
      <c r="Y23" s="2"/>
      <c r="Z23" s="2"/>
      <c r="AE23" s="2"/>
      <c r="AG23" s="8"/>
      <c r="AR23" s="131"/>
    </row>
    <row r="24" spans="2:44" x14ac:dyDescent="0.25">
      <c r="B24" s="16"/>
      <c r="C24" s="26" t="s">
        <v>64</v>
      </c>
      <c r="D24" s="19">
        <v>7500</v>
      </c>
      <c r="E24" s="19">
        <f t="shared" si="1"/>
        <v>7500</v>
      </c>
      <c r="F24" s="19">
        <v>4750</v>
      </c>
      <c r="G24" s="19">
        <f t="shared" ca="1" si="2"/>
        <v>7500</v>
      </c>
      <c r="H24" s="19" t="s">
        <v>130</v>
      </c>
      <c r="I24" s="78"/>
      <c r="J24" s="2"/>
      <c r="K24" s="2"/>
      <c r="L24" s="2">
        <v>5000</v>
      </c>
      <c r="M24" s="2"/>
      <c r="N24" s="2"/>
      <c r="O24" s="2"/>
      <c r="P24" s="2">
        <v>2500</v>
      </c>
      <c r="Q24" s="2"/>
      <c r="R24" s="2"/>
      <c r="S24" s="2"/>
      <c r="T24" s="2"/>
      <c r="U24" s="2"/>
      <c r="V24" s="2"/>
      <c r="W24" s="2"/>
      <c r="X24" s="2"/>
      <c r="Y24" s="2"/>
      <c r="Z24" s="2"/>
      <c r="AE24" s="2"/>
      <c r="AG24" s="8"/>
      <c r="AR24" s="131"/>
    </row>
    <row r="25" spans="2:44" x14ac:dyDescent="0.25">
      <c r="B25" s="16"/>
      <c r="C25" s="26" t="s">
        <v>174</v>
      </c>
      <c r="D25" s="19">
        <v>15000</v>
      </c>
      <c r="E25" s="19">
        <f t="shared" si="1"/>
        <v>0</v>
      </c>
      <c r="F25" s="19">
        <v>18000</v>
      </c>
      <c r="G25" s="19">
        <f t="shared" ca="1" si="2"/>
        <v>0</v>
      </c>
      <c r="H25" s="19"/>
      <c r="I25" s="78"/>
      <c r="J25" s="2"/>
      <c r="K25" s="2"/>
      <c r="L25" s="2"/>
      <c r="M25" s="2"/>
      <c r="N25" s="2"/>
      <c r="O25" s="2"/>
      <c r="P25" s="2"/>
      <c r="Q25" s="2"/>
      <c r="R25" s="2"/>
      <c r="S25" s="2"/>
      <c r="T25" s="2"/>
      <c r="U25" s="2"/>
      <c r="V25" s="2"/>
      <c r="W25" s="2"/>
      <c r="X25" s="2"/>
      <c r="Y25" s="2"/>
      <c r="Z25" s="2"/>
      <c r="AE25" s="2"/>
      <c r="AG25" s="8"/>
      <c r="AR25" s="131"/>
    </row>
    <row r="26" spans="2:44" x14ac:dyDescent="0.25">
      <c r="B26" s="16"/>
      <c r="C26" s="26" t="s">
        <v>210</v>
      </c>
      <c r="D26" s="19"/>
      <c r="E26" s="19">
        <f t="shared" si="1"/>
        <v>5000</v>
      </c>
      <c r="F26" s="19"/>
      <c r="G26" s="19">
        <f t="shared" ca="1" si="2"/>
        <v>5000</v>
      </c>
      <c r="H26" s="19"/>
      <c r="I26" s="78"/>
      <c r="J26" s="2"/>
      <c r="K26" s="2"/>
      <c r="L26" s="2"/>
      <c r="M26" s="2"/>
      <c r="N26" s="2"/>
      <c r="O26" s="2"/>
      <c r="P26" s="2"/>
      <c r="Q26" s="2"/>
      <c r="R26" s="2"/>
      <c r="S26" s="2"/>
      <c r="T26" s="2"/>
      <c r="U26" s="2"/>
      <c r="V26" s="2"/>
      <c r="W26" s="2"/>
      <c r="X26" s="2"/>
      <c r="Y26" s="2"/>
      <c r="Z26" s="2"/>
      <c r="AE26" s="2">
        <v>5000</v>
      </c>
      <c r="AG26" s="8"/>
      <c r="AR26" s="131"/>
    </row>
    <row r="27" spans="2:44" x14ac:dyDescent="0.25">
      <c r="B27" s="16"/>
      <c r="C27" s="26" t="s">
        <v>211</v>
      </c>
      <c r="D27" s="19"/>
      <c r="E27" s="19">
        <f t="shared" si="1"/>
        <v>3000</v>
      </c>
      <c r="F27" s="19"/>
      <c r="G27" s="19">
        <f t="shared" ca="1" si="2"/>
        <v>3000</v>
      </c>
      <c r="H27" s="19"/>
      <c r="I27" s="78"/>
      <c r="J27" s="2"/>
      <c r="K27" s="2"/>
      <c r="L27" s="2"/>
      <c r="M27" s="2"/>
      <c r="N27" s="2"/>
      <c r="O27" s="2"/>
      <c r="P27" s="2"/>
      <c r="Q27" s="2"/>
      <c r="R27" s="2"/>
      <c r="S27" s="2"/>
      <c r="T27" s="2"/>
      <c r="U27" s="2"/>
      <c r="V27" s="2"/>
      <c r="W27" s="2"/>
      <c r="X27" s="2"/>
      <c r="Y27" s="2"/>
      <c r="Z27" s="2"/>
      <c r="AD27" s="28">
        <v>3000</v>
      </c>
      <c r="AG27" s="8"/>
      <c r="AR27" s="131"/>
    </row>
    <row r="28" spans="2:44" x14ac:dyDescent="0.25">
      <c r="B28" s="17"/>
      <c r="C28" s="29" t="s">
        <v>212</v>
      </c>
      <c r="D28" s="20">
        <v>10000</v>
      </c>
      <c r="E28" s="20">
        <f t="shared" si="1"/>
        <v>10068.9</v>
      </c>
      <c r="F28" s="20"/>
      <c r="G28" s="20">
        <f t="shared" ca="1" si="2"/>
        <v>10068.9</v>
      </c>
      <c r="H28" s="19"/>
      <c r="I28" s="78"/>
      <c r="J28" s="2"/>
      <c r="K28" s="2"/>
      <c r="L28" s="2"/>
      <c r="M28" s="2"/>
      <c r="N28" s="2"/>
      <c r="O28" s="2"/>
      <c r="P28" s="2"/>
      <c r="Q28" s="2"/>
      <c r="R28" s="2"/>
      <c r="S28" s="2"/>
      <c r="T28" s="2"/>
      <c r="U28" s="2"/>
      <c r="V28" s="2"/>
      <c r="W28" s="2"/>
      <c r="X28" s="2"/>
      <c r="Y28" s="2"/>
      <c r="Z28" s="2"/>
      <c r="AG28" s="153">
        <f>2248+4950</f>
        <v>7198</v>
      </c>
      <c r="AN28" s="26">
        <v>1322</v>
      </c>
      <c r="AQ28" s="26">
        <v>1548.9</v>
      </c>
      <c r="AR28" s="131"/>
    </row>
    <row r="29" spans="2:44" x14ac:dyDescent="0.25">
      <c r="B29" s="17"/>
      <c r="C29" s="29"/>
      <c r="D29" s="20"/>
      <c r="E29" s="20"/>
      <c r="F29" s="20"/>
      <c r="G29" s="20"/>
      <c r="H29" s="78"/>
      <c r="I29" s="78"/>
      <c r="J29" s="2"/>
      <c r="K29" s="2"/>
      <c r="L29" s="2"/>
      <c r="M29" s="2"/>
      <c r="N29" s="2"/>
      <c r="O29" s="2"/>
      <c r="P29" s="2"/>
      <c r="Q29" s="2"/>
      <c r="R29" s="2"/>
      <c r="S29" s="2"/>
      <c r="T29" s="2"/>
      <c r="U29" s="2"/>
      <c r="V29" s="2"/>
      <c r="W29" s="2"/>
      <c r="X29" s="2"/>
      <c r="Y29" s="2"/>
      <c r="Z29" s="2"/>
      <c r="AG29" s="153"/>
      <c r="AQ29" s="26">
        <f>12522.67+1736.51+917.67+500</f>
        <v>15676.85</v>
      </c>
      <c r="AR29" s="131"/>
    </row>
    <row r="30" spans="2:44" x14ac:dyDescent="0.25">
      <c r="B30" s="14" t="s">
        <v>93</v>
      </c>
      <c r="C30" s="262" t="s">
        <v>94</v>
      </c>
      <c r="D30" s="20">
        <v>35700</v>
      </c>
      <c r="E30" s="20">
        <f ca="1">SUMIF($I$3:$AR$3,"&gt;"&amp;TODAY(),$I$30:$AR$30)</f>
        <v>0</v>
      </c>
      <c r="F30" s="20"/>
      <c r="G30" s="20" t="s">
        <v>199</v>
      </c>
      <c r="H30" s="80"/>
      <c r="I30" s="80">
        <f>SUM(I9:I28)*0.1</f>
        <v>443.85</v>
      </c>
      <c r="J30" s="136">
        <f>SUM(J9:J28)*0.1</f>
        <v>4228.0749999999998</v>
      </c>
      <c r="K30" s="136">
        <f t="shared" ref="K30:Y30" si="3">SUM(K9:K28)*0.1</f>
        <v>343.35</v>
      </c>
      <c r="L30" s="136">
        <f t="shared" si="3"/>
        <v>1450</v>
      </c>
      <c r="M30" s="136">
        <f t="shared" si="3"/>
        <v>979.07500000000005</v>
      </c>
      <c r="N30" s="136">
        <f t="shared" si="3"/>
        <v>17594.674999999999</v>
      </c>
      <c r="O30" s="136">
        <f t="shared" si="3"/>
        <v>565.81299999999999</v>
      </c>
      <c r="P30" s="136">
        <f t="shared" si="3"/>
        <v>755</v>
      </c>
      <c r="Q30" s="136">
        <f t="shared" si="3"/>
        <v>87.45</v>
      </c>
      <c r="R30" s="136">
        <f t="shared" si="3"/>
        <v>1857.8000000000002</v>
      </c>
      <c r="S30" s="136">
        <f t="shared" si="3"/>
        <v>42.825000000000003</v>
      </c>
      <c r="T30" s="136">
        <f t="shared" si="3"/>
        <v>0</v>
      </c>
      <c r="U30" s="136">
        <f t="shared" si="3"/>
        <v>320.97500000000002</v>
      </c>
      <c r="V30" s="136">
        <f t="shared" si="3"/>
        <v>0</v>
      </c>
      <c r="W30" s="136">
        <f>SUM(W9:W28)*0.1</f>
        <v>116.15</v>
      </c>
      <c r="X30" s="136">
        <f t="shared" si="3"/>
        <v>154.80000000000001</v>
      </c>
      <c r="Y30" s="136">
        <f t="shared" si="3"/>
        <v>629.55000000000007</v>
      </c>
      <c r="Z30" s="136">
        <f t="shared" ref="Z30:AE30" si="4">SUM(Z9:Z28)*0.1</f>
        <v>18.7</v>
      </c>
      <c r="AA30" s="136">
        <f t="shared" si="4"/>
        <v>75</v>
      </c>
      <c r="AB30" s="136">
        <f t="shared" si="4"/>
        <v>304.28699999999998</v>
      </c>
      <c r="AC30" s="136">
        <f t="shared" si="4"/>
        <v>150</v>
      </c>
      <c r="AD30" s="136">
        <f>SUM(AD9:AD28)*0.1</f>
        <v>1336.9</v>
      </c>
      <c r="AE30" s="136">
        <f t="shared" si="4"/>
        <v>3952.5</v>
      </c>
      <c r="AF30" s="136">
        <f>SUM(AF9:AF28)*0.1</f>
        <v>13.75</v>
      </c>
      <c r="AG30" s="14"/>
      <c r="AH30" s="15"/>
      <c r="AI30" s="15"/>
      <c r="AJ30" s="15"/>
      <c r="AK30" s="15"/>
      <c r="AL30" s="15"/>
      <c r="AM30" s="15"/>
      <c r="AN30" s="15"/>
      <c r="AO30" s="15"/>
      <c r="AP30" s="15"/>
      <c r="AQ30" s="15"/>
      <c r="AR30" s="250"/>
    </row>
    <row r="31" spans="2:44" x14ac:dyDescent="0.25">
      <c r="B31" s="14" t="s">
        <v>148</v>
      </c>
      <c r="C31" s="262"/>
      <c r="D31" s="21">
        <v>0</v>
      </c>
      <c r="E31" s="21">
        <f>SUM(I31:AR31)</f>
        <v>25000</v>
      </c>
      <c r="F31" s="21"/>
      <c r="G31" s="21">
        <f t="shared" ca="1" si="2"/>
        <v>25000</v>
      </c>
      <c r="H31" s="20"/>
      <c r="I31" s="78"/>
      <c r="J31" s="2"/>
      <c r="K31" s="2"/>
      <c r="L31" s="2">
        <v>10000</v>
      </c>
      <c r="M31" s="2">
        <v>5000</v>
      </c>
      <c r="N31" s="2">
        <v>2500</v>
      </c>
      <c r="O31" s="2">
        <v>2500</v>
      </c>
      <c r="P31" s="2"/>
      <c r="Q31" s="2"/>
      <c r="R31" s="2"/>
      <c r="S31" s="2"/>
      <c r="T31" s="2"/>
      <c r="U31" s="2"/>
      <c r="V31" s="2"/>
      <c r="W31" s="2"/>
      <c r="X31" s="2"/>
      <c r="Y31" s="2"/>
      <c r="Z31" s="2"/>
      <c r="AG31" s="153">
        <v>5000</v>
      </c>
      <c r="AR31" s="131"/>
    </row>
    <row r="32" spans="2:44" x14ac:dyDescent="0.25">
      <c r="B32" s="14" t="s">
        <v>95</v>
      </c>
      <c r="C32" s="262"/>
      <c r="D32" s="21">
        <v>15000</v>
      </c>
      <c r="E32" s="21">
        <f t="shared" si="1"/>
        <v>0</v>
      </c>
      <c r="F32" s="21"/>
      <c r="G32" s="21">
        <f t="shared" ca="1" si="2"/>
        <v>0</v>
      </c>
      <c r="H32" s="21"/>
      <c r="I32" s="78"/>
      <c r="J32" s="2"/>
      <c r="K32" s="2"/>
      <c r="L32" s="2"/>
      <c r="M32" s="2"/>
      <c r="N32" s="2"/>
      <c r="O32" s="2"/>
      <c r="P32" s="2"/>
      <c r="Q32" s="2"/>
      <c r="R32" s="2"/>
      <c r="S32" s="2"/>
      <c r="W32" s="2"/>
      <c r="X32" s="2"/>
      <c r="Y32" s="2"/>
      <c r="Z32" s="2"/>
      <c r="AA32" s="2"/>
      <c r="AB32" s="2"/>
      <c r="AG32" s="8"/>
      <c r="AR32" s="131"/>
    </row>
    <row r="33" spans="2:44" ht="15.75" thickBot="1" x14ac:dyDescent="0.3">
      <c r="B33" s="8" t="s">
        <v>97</v>
      </c>
      <c r="C33" s="26" t="s">
        <v>213</v>
      </c>
      <c r="D33" s="19">
        <v>15000</v>
      </c>
      <c r="E33" s="19">
        <f t="shared" si="1"/>
        <v>15000</v>
      </c>
      <c r="F33" s="19"/>
      <c r="G33" s="19">
        <f ca="1">SUMIF($I$3:$AR$3,"&lt;"&amp;TODAY(),$I33:$AR33)</f>
        <v>15000</v>
      </c>
      <c r="H33" s="19"/>
      <c r="I33" s="78"/>
      <c r="J33" s="2"/>
      <c r="K33" s="2"/>
      <c r="L33" s="2"/>
      <c r="M33" s="2"/>
      <c r="N33" s="2"/>
      <c r="O33" s="2"/>
      <c r="P33" s="2"/>
      <c r="Q33" s="2"/>
      <c r="R33" s="2"/>
      <c r="S33" s="2"/>
      <c r="W33" s="2"/>
      <c r="X33" s="2"/>
      <c r="Y33" s="2"/>
      <c r="Z33" s="2">
        <v>5000</v>
      </c>
      <c r="AA33" s="2">
        <v>5000</v>
      </c>
      <c r="AB33" s="2">
        <v>5000</v>
      </c>
      <c r="AG33" s="8"/>
      <c r="AR33" s="131"/>
    </row>
    <row r="34" spans="2:44" ht="15.75" thickBot="1" x14ac:dyDescent="0.3">
      <c r="B34" s="11" t="s">
        <v>98</v>
      </c>
      <c r="C34" s="315"/>
      <c r="D34" s="22">
        <v>657700</v>
      </c>
      <c r="E34" s="22">
        <f ca="1">SUM(E4:E33)</f>
        <v>846719.54</v>
      </c>
      <c r="F34" s="22">
        <f t="shared" ref="F34" si="5">SUM(F4:F33)</f>
        <v>475725</v>
      </c>
      <c r="G34" s="22">
        <f ca="1">SUM(G4:G33)</f>
        <v>846719.54</v>
      </c>
      <c r="H34" s="22"/>
      <c r="I34" s="81">
        <f>SUM(I4:I33)</f>
        <v>233382.35</v>
      </c>
      <c r="J34" s="155">
        <f t="shared" ref="J34:Y34" si="6">SUM(J4:J33)</f>
        <v>67675.014999999999</v>
      </c>
      <c r="K34" s="155">
        <f t="shared" si="6"/>
        <v>3776.85</v>
      </c>
      <c r="L34" s="155">
        <f t="shared" si="6"/>
        <v>25950</v>
      </c>
      <c r="M34" s="155">
        <f t="shared" si="6"/>
        <v>15769.825000000001</v>
      </c>
      <c r="N34" s="155">
        <f t="shared" si="6"/>
        <v>196041.42499999999</v>
      </c>
      <c r="O34" s="155">
        <f t="shared" si="6"/>
        <v>8723.9429999999993</v>
      </c>
      <c r="P34" s="155">
        <f t="shared" si="6"/>
        <v>8305</v>
      </c>
      <c r="Q34" s="155">
        <f t="shared" si="6"/>
        <v>961.95</v>
      </c>
      <c r="R34" s="155">
        <f t="shared" si="6"/>
        <v>20435.8</v>
      </c>
      <c r="S34" s="155">
        <f t="shared" si="6"/>
        <v>471.07499999999999</v>
      </c>
      <c r="T34" s="155">
        <f t="shared" si="6"/>
        <v>0</v>
      </c>
      <c r="U34" s="155">
        <f t="shared" si="6"/>
        <v>4030.7249999999999</v>
      </c>
      <c r="V34" s="155">
        <f t="shared" si="6"/>
        <v>0</v>
      </c>
      <c r="W34" s="155">
        <f t="shared" si="6"/>
        <v>1277.6500000000001</v>
      </c>
      <c r="X34" s="155">
        <f t="shared" si="6"/>
        <v>1702.8</v>
      </c>
      <c r="Y34" s="155">
        <f t="shared" si="6"/>
        <v>6925.05</v>
      </c>
      <c r="Z34" s="155">
        <f>SUM(Z4:Z33)</f>
        <v>5205.7</v>
      </c>
      <c r="AA34" s="155">
        <f>SUM(AA4:AA33)</f>
        <v>8285</v>
      </c>
      <c r="AB34" s="155">
        <f>SUM(AB4:AB33)</f>
        <v>10097.156999999999</v>
      </c>
      <c r="AC34" s="155">
        <f t="shared" ref="AC34:AF34" si="7">SUM(AC4:AC33)</f>
        <v>7100</v>
      </c>
      <c r="AD34" s="155">
        <f t="shared" si="7"/>
        <v>22205.9</v>
      </c>
      <c r="AE34" s="155">
        <f t="shared" si="7"/>
        <v>43477.5</v>
      </c>
      <c r="AF34" s="155">
        <f t="shared" si="7"/>
        <v>7151.25</v>
      </c>
      <c r="AG34" s="251"/>
      <c r="AH34" s="252"/>
      <c r="AI34" s="252"/>
      <c r="AJ34" s="252"/>
      <c r="AK34" s="252"/>
      <c r="AL34" s="252"/>
      <c r="AM34" s="252"/>
      <c r="AN34" s="252"/>
      <c r="AO34" s="252"/>
      <c r="AP34" s="252"/>
      <c r="AQ34" s="252"/>
      <c r="AR34" s="253"/>
    </row>
    <row r="35" spans="2:44" ht="15.75" thickBot="1" x14ac:dyDescent="0.3">
      <c r="B35" s="9" t="s">
        <v>176</v>
      </c>
      <c r="C35" s="316">
        <v>65</v>
      </c>
      <c r="D35" s="36"/>
      <c r="E35" s="36"/>
      <c r="F35" s="36"/>
      <c r="G35" s="36"/>
      <c r="H35" s="36"/>
      <c r="I35" s="78"/>
      <c r="J35" s="2"/>
      <c r="K35" s="2"/>
      <c r="L35" s="2"/>
      <c r="M35" s="2"/>
      <c r="N35" s="2"/>
      <c r="O35" s="2"/>
      <c r="P35" s="2"/>
      <c r="Q35" s="2"/>
      <c r="R35" s="2"/>
      <c r="S35" s="2"/>
      <c r="T35" s="2"/>
      <c r="U35" s="2"/>
      <c r="V35" s="2"/>
      <c r="W35" s="2"/>
      <c r="X35" s="2"/>
      <c r="Y35" s="2"/>
      <c r="Z35" s="2"/>
      <c r="AG35" s="8"/>
      <c r="AR35" s="131"/>
    </row>
    <row r="36" spans="2:44" ht="15.75" thickBot="1" x14ac:dyDescent="0.3">
      <c r="B36" s="35" t="s">
        <v>100</v>
      </c>
      <c r="C36" s="317"/>
      <c r="D36" s="23">
        <v>10118.461538461501</v>
      </c>
      <c r="E36" s="23">
        <f ca="1">E34/$C$35</f>
        <v>13026.454461538462</v>
      </c>
      <c r="F36" s="23">
        <f t="shared" ref="F36:G36" si="8">F34/$C$35</f>
        <v>7318.8461538461543</v>
      </c>
      <c r="G36" s="23">
        <f t="shared" ca="1" si="8"/>
        <v>13026.454461538462</v>
      </c>
      <c r="H36" s="23"/>
      <c r="I36" s="9"/>
      <c r="J36" s="10"/>
      <c r="K36" s="10"/>
      <c r="L36" s="10"/>
      <c r="M36" s="10"/>
      <c r="N36" s="10"/>
      <c r="O36" s="10"/>
      <c r="P36" s="10"/>
      <c r="Q36" s="10"/>
      <c r="R36" s="10"/>
      <c r="S36" s="10"/>
      <c r="T36" s="10"/>
      <c r="U36" s="10"/>
      <c r="V36" s="10"/>
      <c r="W36" s="10"/>
      <c r="X36" s="10"/>
      <c r="Y36" s="10"/>
      <c r="Z36" s="10"/>
      <c r="AA36" s="10"/>
      <c r="AB36" s="10"/>
      <c r="AC36" s="10"/>
      <c r="AD36" s="10"/>
      <c r="AE36" s="10"/>
      <c r="AF36" s="10"/>
      <c r="AG36" s="9"/>
      <c r="AH36" s="10"/>
      <c r="AI36" s="10"/>
      <c r="AJ36" s="10"/>
      <c r="AK36" s="10"/>
      <c r="AL36" s="10"/>
      <c r="AM36" s="10"/>
      <c r="AN36" s="10"/>
      <c r="AO36" s="10"/>
      <c r="AP36" s="10"/>
      <c r="AQ36" s="10"/>
      <c r="AR36" s="132"/>
    </row>
    <row r="37" spans="2:44" x14ac:dyDescent="0.25">
      <c r="G37" s="2"/>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73D8-EEE7-4918-B000-25987AB0ABAA}">
  <dimension ref="B2:AR75"/>
  <sheetViews>
    <sheetView showGridLines="0" zoomScale="80" zoomScaleNormal="80" workbookViewId="0">
      <pane xSplit="8" ySplit="3" topLeftCell="I4" activePane="bottomRight" state="frozen"/>
      <selection pane="topRight" activeCell="I1" sqref="I1"/>
      <selection pane="bottomLeft" activeCell="A4" sqref="A4"/>
      <selection pane="bottomRight" activeCell="G4" sqref="G4"/>
    </sheetView>
  </sheetViews>
  <sheetFormatPr defaultRowHeight="15" x14ac:dyDescent="0.25"/>
  <cols>
    <col min="1" max="1" width="4.42578125" customWidth="1"/>
    <col min="2" max="2" width="31.5703125" customWidth="1"/>
    <col min="3" max="3" width="33.5703125" customWidth="1"/>
    <col min="4" max="4" width="16.5703125" customWidth="1"/>
    <col min="5" max="5" width="17.42578125" bestFit="1" customWidth="1"/>
    <col min="6" max="6" width="16.5703125" customWidth="1"/>
    <col min="7" max="7" width="17.5703125" bestFit="1" customWidth="1"/>
    <col min="8" max="8" width="30.5703125" bestFit="1" customWidth="1"/>
    <col min="9" max="9" width="9" customWidth="1"/>
    <col min="11" max="11" width="9.42578125" customWidth="1"/>
    <col min="25" max="25" width="10.5703125" bestFit="1" customWidth="1"/>
    <col min="28" max="28" width="11.42578125" customWidth="1"/>
    <col min="31" max="31" width="9.42578125" customWidth="1"/>
    <col min="33" max="33" width="11.5703125" bestFit="1" customWidth="1"/>
    <col min="35" max="35" width="11.5703125" bestFit="1" customWidth="1"/>
  </cols>
  <sheetData>
    <row r="2" spans="2:44" ht="73.349999999999994" customHeight="1" thickBot="1" x14ac:dyDescent="0.3">
      <c r="B2" s="1" t="s">
        <v>214</v>
      </c>
      <c r="C2" s="138"/>
      <c r="M2" s="85"/>
      <c r="Q2" s="117" t="s">
        <v>166</v>
      </c>
      <c r="AB2" s="117" t="s">
        <v>215</v>
      </c>
      <c r="AD2" s="117" t="s">
        <v>216</v>
      </c>
      <c r="AE2" s="117" t="s">
        <v>217</v>
      </c>
      <c r="AI2" s="117" t="s">
        <v>218</v>
      </c>
    </row>
    <row r="3" spans="2:44" ht="67.5" customHeight="1" thickBot="1" x14ac:dyDescent="0.3">
      <c r="B3" s="11" t="s">
        <v>16</v>
      </c>
      <c r="C3" s="12" t="s">
        <v>17</v>
      </c>
      <c r="D3" s="120" t="s">
        <v>184</v>
      </c>
      <c r="E3" s="121" t="s">
        <v>185</v>
      </c>
      <c r="F3" s="41" t="s">
        <v>186</v>
      </c>
      <c r="G3" s="134" t="s">
        <v>187</v>
      </c>
      <c r="H3" s="121" t="s">
        <v>111</v>
      </c>
      <c r="I3" s="142">
        <v>44227</v>
      </c>
      <c r="J3" s="143">
        <v>44255</v>
      </c>
      <c r="K3" s="143">
        <v>44286</v>
      </c>
      <c r="L3" s="143">
        <v>44316</v>
      </c>
      <c r="M3" s="143">
        <v>44347</v>
      </c>
      <c r="N3" s="143">
        <v>44377</v>
      </c>
      <c r="O3" s="143">
        <v>44408</v>
      </c>
      <c r="P3" s="143">
        <v>44439</v>
      </c>
      <c r="Q3" s="143">
        <v>44469</v>
      </c>
      <c r="R3" s="143">
        <v>44500</v>
      </c>
      <c r="S3" s="143">
        <v>44530</v>
      </c>
      <c r="T3" s="143">
        <v>44561</v>
      </c>
      <c r="U3" s="144">
        <v>44592</v>
      </c>
      <c r="V3" s="144">
        <v>44620</v>
      </c>
      <c r="W3" s="144">
        <v>44651</v>
      </c>
      <c r="X3" s="144">
        <v>44681</v>
      </c>
      <c r="Y3" s="144">
        <v>44712</v>
      </c>
      <c r="Z3" s="144">
        <v>44742</v>
      </c>
      <c r="AA3" s="144">
        <v>44773</v>
      </c>
      <c r="AB3" s="144">
        <v>44804</v>
      </c>
      <c r="AC3" s="144">
        <v>44834</v>
      </c>
      <c r="AD3" s="144">
        <v>44865</v>
      </c>
      <c r="AE3" s="144">
        <v>44895</v>
      </c>
      <c r="AF3" s="144">
        <v>44926</v>
      </c>
      <c r="AG3" s="143">
        <v>44957</v>
      </c>
      <c r="AH3" s="143">
        <v>44985</v>
      </c>
      <c r="AI3" s="143">
        <v>45016</v>
      </c>
      <c r="AJ3" s="143">
        <v>45046</v>
      </c>
      <c r="AK3" s="143">
        <v>45077</v>
      </c>
      <c r="AL3" s="143">
        <v>45107</v>
      </c>
      <c r="AM3" s="143">
        <v>45138</v>
      </c>
      <c r="AN3" s="143">
        <v>45169</v>
      </c>
      <c r="AO3" s="143">
        <v>45199</v>
      </c>
      <c r="AP3" s="143">
        <v>45230</v>
      </c>
      <c r="AQ3" s="143">
        <v>45260</v>
      </c>
      <c r="AR3" s="154">
        <v>45291</v>
      </c>
    </row>
    <row r="4" spans="2:44" x14ac:dyDescent="0.25">
      <c r="B4" s="8" t="s">
        <v>29</v>
      </c>
      <c r="C4" t="s">
        <v>170</v>
      </c>
      <c r="D4" s="19">
        <v>0</v>
      </c>
      <c r="E4" s="67">
        <f>SUM(I4:AR4)</f>
        <v>889925</v>
      </c>
      <c r="F4" s="67">
        <v>20000</v>
      </c>
      <c r="G4" s="67">
        <f ca="1">SUMIF($I$3:$AR$3,"&lt;"&amp;TODAY(),I4:AR4)</f>
        <v>889925</v>
      </c>
      <c r="H4" s="8"/>
      <c r="I4" s="130">
        <v>19925</v>
      </c>
      <c r="J4" s="2"/>
      <c r="K4" s="2"/>
      <c r="L4" s="2"/>
      <c r="M4" s="2"/>
      <c r="N4" s="2"/>
      <c r="O4" s="2"/>
      <c r="P4" s="2"/>
      <c r="Q4" s="2"/>
      <c r="R4" s="2"/>
      <c r="S4" s="2"/>
      <c r="T4" s="2"/>
      <c r="U4" s="2"/>
      <c r="V4" s="2"/>
      <c r="W4" s="2"/>
      <c r="X4" s="2"/>
      <c r="Y4" s="2"/>
      <c r="Z4" s="2"/>
      <c r="AA4" s="2"/>
      <c r="AB4" s="2"/>
      <c r="AC4" s="2"/>
      <c r="AD4" s="2"/>
      <c r="AE4" s="2"/>
      <c r="AF4" s="2"/>
      <c r="AI4" s="26">
        <v>250000</v>
      </c>
      <c r="AL4" s="26">
        <v>250000</v>
      </c>
      <c r="AN4" s="26">
        <f>250000+120000</f>
        <v>370000</v>
      </c>
      <c r="AR4" s="131"/>
    </row>
    <row r="5" spans="2:44" x14ac:dyDescent="0.25">
      <c r="B5" s="8"/>
      <c r="C5" t="s">
        <v>111</v>
      </c>
      <c r="D5" s="19">
        <v>500</v>
      </c>
      <c r="E5" s="19">
        <f t="shared" ref="E5:E30" si="0">SUM(I5:AR5)</f>
        <v>5000</v>
      </c>
      <c r="F5" s="19"/>
      <c r="G5" s="19">
        <f t="shared" ref="G5:G35" ca="1" si="1">SUMIF($I$3:$AR$3,"&lt;"&amp;TODAY(),I5:AR5)</f>
        <v>5000</v>
      </c>
      <c r="H5" s="8" t="s">
        <v>219</v>
      </c>
      <c r="I5" s="78"/>
      <c r="J5" s="2"/>
      <c r="K5" s="2"/>
      <c r="L5" s="2"/>
      <c r="M5" s="2"/>
      <c r="O5" s="28">
        <v>5000</v>
      </c>
      <c r="P5" s="2"/>
      <c r="Q5" s="2"/>
      <c r="R5" s="2"/>
      <c r="S5" s="2"/>
      <c r="T5" s="2"/>
      <c r="U5" s="2"/>
      <c r="V5" s="2"/>
      <c r="W5" s="2"/>
      <c r="X5" s="2"/>
      <c r="Y5" s="2"/>
      <c r="Z5" s="2"/>
      <c r="AA5" s="2"/>
      <c r="AB5" s="2"/>
      <c r="AC5" s="2"/>
      <c r="AD5" s="2"/>
      <c r="AE5" s="2"/>
      <c r="AF5" s="2"/>
      <c r="AR5" s="131"/>
    </row>
    <row r="6" spans="2:44" x14ac:dyDescent="0.25">
      <c r="B6" s="13"/>
      <c r="C6" s="6" t="s">
        <v>32</v>
      </c>
      <c r="D6" s="20">
        <v>50000</v>
      </c>
      <c r="E6" s="20">
        <v>250000</v>
      </c>
      <c r="F6" s="20">
        <v>250000</v>
      </c>
      <c r="G6" s="20">
        <f t="shared" ca="1" si="1"/>
        <v>250000</v>
      </c>
      <c r="H6" s="13"/>
      <c r="I6" s="78"/>
      <c r="J6" s="2"/>
      <c r="K6" s="2"/>
      <c r="L6" s="2"/>
      <c r="M6" s="2"/>
      <c r="N6" s="2"/>
      <c r="O6" s="2"/>
      <c r="P6" s="2"/>
      <c r="Q6" s="2"/>
      <c r="R6" s="2"/>
      <c r="S6" s="2"/>
      <c r="T6" s="2"/>
      <c r="U6" s="2"/>
      <c r="V6" s="2"/>
      <c r="W6" s="2"/>
      <c r="X6" s="182">
        <v>250000</v>
      </c>
      <c r="Y6" s="2"/>
      <c r="Z6" s="2"/>
      <c r="AA6" s="2"/>
      <c r="AB6" s="2"/>
      <c r="AC6" s="2"/>
      <c r="AD6" s="2"/>
      <c r="AE6" s="2"/>
      <c r="AF6" s="2"/>
      <c r="AR6" s="131"/>
    </row>
    <row r="7" spans="2:44" x14ac:dyDescent="0.25">
      <c r="B7" s="14" t="s">
        <v>35</v>
      </c>
      <c r="C7" s="15"/>
      <c r="D7" s="21">
        <v>0</v>
      </c>
      <c r="E7" s="21">
        <f t="shared" si="0"/>
        <v>151373.46</v>
      </c>
      <c r="F7" s="21"/>
      <c r="G7" s="21">
        <f t="shared" ca="1" si="1"/>
        <v>151373.46</v>
      </c>
      <c r="H7" s="14" t="s">
        <v>204</v>
      </c>
      <c r="I7" s="78"/>
      <c r="J7" s="2"/>
      <c r="K7" s="2"/>
      <c r="L7" s="2"/>
      <c r="M7" s="28">
        <v>1137.5</v>
      </c>
      <c r="N7" s="2"/>
      <c r="O7" s="2"/>
      <c r="P7" s="28">
        <v>4000</v>
      </c>
      <c r="Q7" s="2"/>
      <c r="R7" s="2"/>
      <c r="S7" s="2"/>
      <c r="T7" s="2"/>
      <c r="U7" s="2"/>
      <c r="V7" s="2"/>
      <c r="W7" s="28">
        <v>5000</v>
      </c>
      <c r="X7" s="2"/>
      <c r="Y7" s="28">
        <v>213.96</v>
      </c>
      <c r="Z7" s="2"/>
      <c r="AA7" s="2"/>
      <c r="AB7" s="28">
        <f>3000+3000+3000+4000</f>
        <v>13000</v>
      </c>
      <c r="AC7" s="2"/>
      <c r="AD7" s="2"/>
      <c r="AE7" s="2"/>
      <c r="AF7" s="26">
        <v>2580</v>
      </c>
      <c r="AG7" s="26">
        <f>1000+70000</f>
        <v>71000</v>
      </c>
      <c r="AH7" s="26">
        <v>650</v>
      </c>
      <c r="AK7" s="272">
        <f>200+200+600+4800</f>
        <v>5800</v>
      </c>
      <c r="AL7" s="272">
        <f>800+3600+35280</f>
        <v>39680</v>
      </c>
      <c r="AM7" s="28">
        <f>5152+960</f>
        <v>6112</v>
      </c>
      <c r="AN7" s="26">
        <f>1200+1000</f>
        <v>2200</v>
      </c>
      <c r="AR7" s="131"/>
    </row>
    <row r="8" spans="2:44" x14ac:dyDescent="0.25">
      <c r="B8" s="14" t="s">
        <v>220</v>
      </c>
      <c r="C8" s="15"/>
      <c r="D8" s="21"/>
      <c r="E8" s="21">
        <f t="shared" si="0"/>
        <v>4668.9799999999996</v>
      </c>
      <c r="F8" s="21"/>
      <c r="G8" s="21">
        <f t="shared" ca="1" si="1"/>
        <v>4668.9799999999996</v>
      </c>
      <c r="H8" s="14"/>
      <c r="I8" s="130">
        <f>500+1175</f>
        <v>1675</v>
      </c>
      <c r="J8" s="2"/>
      <c r="K8" s="2"/>
      <c r="L8" s="2"/>
      <c r="M8" s="2"/>
      <c r="N8" s="2"/>
      <c r="O8" s="2"/>
      <c r="P8" s="2"/>
      <c r="Q8" s="2"/>
      <c r="R8" s="2"/>
      <c r="S8" s="2"/>
      <c r="T8" s="2"/>
      <c r="U8" s="28">
        <v>500</v>
      </c>
      <c r="V8" s="2"/>
      <c r="W8" s="2"/>
      <c r="X8" s="2"/>
      <c r="Y8" s="2"/>
      <c r="Z8" s="2"/>
      <c r="AA8" s="2"/>
      <c r="AB8" s="2"/>
      <c r="AC8" s="2"/>
      <c r="AD8" s="2"/>
      <c r="AE8" s="2"/>
      <c r="AF8" s="2"/>
      <c r="AG8" s="26">
        <v>500</v>
      </c>
      <c r="AL8" s="26">
        <v>1993.98</v>
      </c>
      <c r="AR8" s="131"/>
    </row>
    <row r="9" spans="2:44" x14ac:dyDescent="0.25">
      <c r="B9" s="14" t="s">
        <v>198</v>
      </c>
      <c r="C9" s="15"/>
      <c r="D9" s="21"/>
      <c r="E9" s="21">
        <f>SUM(I9:AR9)</f>
        <v>31200</v>
      </c>
      <c r="F9" s="21">
        <v>16200</v>
      </c>
      <c r="G9" s="21">
        <f t="shared" ca="1" si="1"/>
        <v>31200</v>
      </c>
      <c r="H9" s="21" t="s">
        <v>221</v>
      </c>
      <c r="I9" s="177"/>
      <c r="J9" s="178"/>
      <c r="K9" s="178"/>
      <c r="L9" s="178"/>
      <c r="M9" s="178"/>
      <c r="N9" s="178"/>
      <c r="O9" s="178"/>
      <c r="P9" s="178"/>
      <c r="Q9" s="178"/>
      <c r="R9" s="178"/>
      <c r="S9" s="178"/>
      <c r="T9" s="178"/>
      <c r="U9" s="178"/>
      <c r="V9" s="178"/>
      <c r="W9" s="2"/>
      <c r="AA9" s="2"/>
      <c r="AB9" s="28">
        <v>16200</v>
      </c>
      <c r="AC9" s="28">
        <v>15000</v>
      </c>
      <c r="AD9" s="2"/>
      <c r="AE9" s="2"/>
      <c r="AF9" s="2"/>
      <c r="AR9" s="131"/>
    </row>
    <row r="10" spans="2:44" x14ac:dyDescent="0.25">
      <c r="B10" s="14" t="s">
        <v>40</v>
      </c>
      <c r="C10" s="15"/>
      <c r="D10" s="21">
        <v>22000</v>
      </c>
      <c r="E10" s="21">
        <f>SUM(I10:AR10)</f>
        <v>79334.22</v>
      </c>
      <c r="F10" s="21">
        <f>1000+1500+900+1400+2200+3500+1500+2600+4000+750+5500+1100+650+500+500+2500+1800+1900+3000+500+800+(2000*7)+(650*4)</f>
        <v>54700</v>
      </c>
      <c r="G10" s="21">
        <f t="shared" ca="1" si="1"/>
        <v>79334.22</v>
      </c>
      <c r="H10" s="14" t="s">
        <v>113</v>
      </c>
      <c r="I10" s="78"/>
      <c r="J10" s="2"/>
      <c r="K10" s="28">
        <f>39230.32-3000-3500-6000+1250-1900</f>
        <v>26080.32</v>
      </c>
      <c r="L10" s="2"/>
      <c r="M10" s="2"/>
      <c r="N10" s="28">
        <f>1900+1800+2500+1100+400+1200+2500</f>
        <v>11400</v>
      </c>
      <c r="O10" s="28">
        <v>1520</v>
      </c>
      <c r="P10" s="2"/>
      <c r="Q10" s="28">
        <f>10700-1500-1850</f>
        <v>7350</v>
      </c>
      <c r="R10" s="28">
        <f>2500+1500+500+1700+25+169.8</f>
        <v>6394.8</v>
      </c>
      <c r="S10" s="2"/>
      <c r="U10" s="28">
        <v>1450</v>
      </c>
      <c r="V10" s="28">
        <f>1750+1500+1000+1250+350+250+500+250</f>
        <v>6850</v>
      </c>
      <c r="W10" s="2"/>
      <c r="X10" s="2"/>
      <c r="AA10" s="28">
        <v>1376.6</v>
      </c>
      <c r="AB10" s="2"/>
      <c r="AC10" s="28">
        <f>8353.5-2441</f>
        <v>5912.5</v>
      </c>
      <c r="AD10" s="2"/>
      <c r="AG10" s="2">
        <v>2000</v>
      </c>
      <c r="AK10">
        <v>5000</v>
      </c>
      <c r="AL10" s="272">
        <f>750+2750+500</f>
        <v>4000</v>
      </c>
      <c r="AR10" s="131"/>
    </row>
    <row r="11" spans="2:44" x14ac:dyDescent="0.25">
      <c r="B11" s="14" t="s">
        <v>37</v>
      </c>
      <c r="C11" s="15"/>
      <c r="D11" s="21">
        <v>150000</v>
      </c>
      <c r="E11" s="21">
        <f t="shared" si="0"/>
        <v>59906.59</v>
      </c>
      <c r="F11" s="21"/>
      <c r="G11" s="21">
        <f t="shared" ca="1" si="1"/>
        <v>59906.59</v>
      </c>
      <c r="H11" s="14" t="s">
        <v>222</v>
      </c>
      <c r="I11" s="78"/>
      <c r="J11" s="2"/>
      <c r="K11" s="28">
        <f>580+780.32</f>
        <v>1360.3200000000002</v>
      </c>
      <c r="L11" s="2"/>
      <c r="M11" s="2"/>
      <c r="N11" s="28">
        <f>15350+7750</f>
        <v>23100</v>
      </c>
      <c r="O11" s="2"/>
      <c r="P11" s="2"/>
      <c r="Q11" s="28">
        <v>500</v>
      </c>
      <c r="R11" s="2"/>
      <c r="S11" s="2"/>
      <c r="T11" s="28">
        <v>250</v>
      </c>
      <c r="U11" s="2"/>
      <c r="V11" s="2"/>
      <c r="W11" s="2"/>
      <c r="AA11" s="2"/>
      <c r="AB11" s="26">
        <f>3*920</f>
        <v>2760</v>
      </c>
      <c r="AD11" s="2"/>
      <c r="AE11" s="2"/>
      <c r="AF11" s="28">
        <f>21687.58+8015.44</f>
        <v>29703.02</v>
      </c>
      <c r="AG11" s="2"/>
      <c r="AH11" s="240">
        <v>1888.25</v>
      </c>
      <c r="AK11" s="2">
        <f>115*3</f>
        <v>345</v>
      </c>
      <c r="AR11" s="131"/>
    </row>
    <row r="12" spans="2:44" x14ac:dyDescent="0.25">
      <c r="B12" s="16" t="s">
        <v>42</v>
      </c>
      <c r="C12" t="s">
        <v>43</v>
      </c>
      <c r="D12" s="19">
        <v>5000</v>
      </c>
      <c r="E12" s="19">
        <f t="shared" si="0"/>
        <v>8063.75</v>
      </c>
      <c r="F12" s="19">
        <f>2500+3500</f>
        <v>6000</v>
      </c>
      <c r="G12" s="19">
        <f ca="1">SUMIF($I$3:$AR$3,"&lt;"&amp;TODAY(),I12:AR12)</f>
        <v>8063.75</v>
      </c>
      <c r="H12" s="8" t="s">
        <v>113</v>
      </c>
      <c r="I12" s="78"/>
      <c r="J12" s="2"/>
      <c r="K12" s="28">
        <v>3000</v>
      </c>
      <c r="L12" s="2"/>
      <c r="M12" s="2"/>
      <c r="N12" s="28">
        <v>800</v>
      </c>
      <c r="O12" s="2"/>
      <c r="P12" s="2"/>
      <c r="Q12" s="28">
        <v>1850</v>
      </c>
      <c r="R12" s="28">
        <v>373.75</v>
      </c>
      <c r="S12" s="2"/>
      <c r="T12" s="2"/>
      <c r="U12" s="2"/>
      <c r="V12" s="2"/>
      <c r="W12" s="2"/>
      <c r="Y12" s="2"/>
      <c r="AA12" s="2"/>
      <c r="AB12" s="2">
        <v>800</v>
      </c>
      <c r="AC12" s="2"/>
      <c r="AD12" s="2"/>
      <c r="AE12" s="2"/>
      <c r="AF12" s="2"/>
      <c r="AL12" s="272">
        <f>1100+140</f>
        <v>1240</v>
      </c>
      <c r="AR12" s="131"/>
    </row>
    <row r="13" spans="2:44" x14ac:dyDescent="0.25">
      <c r="B13" s="16"/>
      <c r="C13" t="s">
        <v>223</v>
      </c>
      <c r="D13" s="19"/>
      <c r="E13" s="19">
        <f t="shared" si="0"/>
        <v>600</v>
      </c>
      <c r="F13" s="19">
        <v>600</v>
      </c>
      <c r="G13" s="19">
        <f t="shared" ca="1" si="1"/>
        <v>600</v>
      </c>
      <c r="H13" s="8" t="s">
        <v>224</v>
      </c>
      <c r="I13" s="78"/>
      <c r="J13" s="2"/>
      <c r="K13" s="2"/>
      <c r="L13" s="2"/>
      <c r="M13" s="2"/>
      <c r="N13" s="2"/>
      <c r="O13" s="2"/>
      <c r="P13" s="2"/>
      <c r="Q13" s="28">
        <v>600</v>
      </c>
      <c r="R13" s="2"/>
      <c r="S13" s="2"/>
      <c r="T13" s="2"/>
      <c r="U13" s="2"/>
      <c r="V13" s="2"/>
      <c r="W13" s="2"/>
      <c r="X13" s="2"/>
      <c r="Y13" s="2"/>
      <c r="Z13" s="2"/>
      <c r="AA13" s="2"/>
      <c r="AB13" s="2"/>
      <c r="AC13" s="2"/>
      <c r="AD13" s="2"/>
      <c r="AE13" s="2"/>
      <c r="AF13" s="2"/>
      <c r="AR13" s="131"/>
    </row>
    <row r="14" spans="2:44" x14ac:dyDescent="0.25">
      <c r="B14" s="16"/>
      <c r="C14" t="s">
        <v>44</v>
      </c>
      <c r="D14" s="19">
        <v>5000</v>
      </c>
      <c r="E14" s="19">
        <f t="shared" si="0"/>
        <v>6560</v>
      </c>
      <c r="F14" s="19">
        <v>975</v>
      </c>
      <c r="G14" s="19">
        <f t="shared" ca="1" si="1"/>
        <v>6560</v>
      </c>
      <c r="H14" s="8"/>
      <c r="I14" s="78"/>
      <c r="J14" s="2"/>
      <c r="K14" s="2"/>
      <c r="L14" s="2"/>
      <c r="M14" s="2"/>
      <c r="N14" s="2"/>
      <c r="O14" s="28">
        <v>975</v>
      </c>
      <c r="P14" s="2"/>
      <c r="Q14" s="2"/>
      <c r="R14" s="2"/>
      <c r="S14" s="2"/>
      <c r="T14" s="2"/>
      <c r="U14" s="2"/>
      <c r="V14" s="2"/>
      <c r="W14" s="2"/>
      <c r="X14" s="2"/>
      <c r="Y14" s="2"/>
      <c r="Z14" s="2"/>
      <c r="AA14" s="2"/>
      <c r="AB14" s="2"/>
      <c r="AC14" s="2"/>
      <c r="AD14" s="2"/>
      <c r="AE14" s="2"/>
      <c r="AF14" s="2"/>
      <c r="AL14" s="26">
        <v>5585</v>
      </c>
      <c r="AR14" s="131"/>
    </row>
    <row r="15" spans="2:44" x14ac:dyDescent="0.25">
      <c r="B15" s="16"/>
      <c r="C15" t="s">
        <v>225</v>
      </c>
      <c r="D15" s="19"/>
      <c r="E15" s="19">
        <f t="shared" si="0"/>
        <v>5300</v>
      </c>
      <c r="F15" s="19">
        <v>1800</v>
      </c>
      <c r="G15" s="19">
        <f t="shared" ca="1" si="1"/>
        <v>5300</v>
      </c>
      <c r="H15" s="8" t="s">
        <v>226</v>
      </c>
      <c r="I15" s="78"/>
      <c r="J15" s="2"/>
      <c r="K15" s="2"/>
      <c r="L15" s="2"/>
      <c r="M15" s="2"/>
      <c r="N15" s="2"/>
      <c r="O15" s="2"/>
      <c r="P15" s="2"/>
      <c r="Q15" s="2"/>
      <c r="R15" s="2"/>
      <c r="S15" s="2"/>
      <c r="T15" s="2"/>
      <c r="U15" s="28">
        <v>1800</v>
      </c>
      <c r="V15" s="2"/>
      <c r="W15" s="2"/>
      <c r="X15" s="2"/>
      <c r="Y15" s="2"/>
      <c r="Z15" s="2"/>
      <c r="AA15" s="2"/>
      <c r="AB15" s="2"/>
      <c r="AC15" s="2">
        <v>1500</v>
      </c>
      <c r="AD15" s="2"/>
      <c r="AE15" s="2"/>
      <c r="AF15" s="2"/>
      <c r="AK15">
        <v>2000</v>
      </c>
      <c r="AR15" s="131"/>
    </row>
    <row r="16" spans="2:44" x14ac:dyDescent="0.25">
      <c r="B16" s="16"/>
      <c r="C16" t="s">
        <v>46</v>
      </c>
      <c r="D16" s="19">
        <v>4000</v>
      </c>
      <c r="E16" s="19">
        <f t="shared" si="0"/>
        <v>4872</v>
      </c>
      <c r="F16" s="19"/>
      <c r="G16" s="19">
        <f ca="1">SUMIF($I$3:$AR$3,"&lt;"&amp;TODAY(),I16:AR16)</f>
        <v>4872</v>
      </c>
      <c r="H16" s="8" t="s">
        <v>227</v>
      </c>
      <c r="I16" s="8"/>
      <c r="J16" s="28">
        <v>4872</v>
      </c>
      <c r="K16" s="2"/>
      <c r="L16" s="2"/>
      <c r="M16" s="2"/>
      <c r="N16" s="2"/>
      <c r="O16" s="2"/>
      <c r="P16" s="2"/>
      <c r="Q16" s="2"/>
      <c r="R16" s="2"/>
      <c r="S16" s="2"/>
      <c r="T16" s="2"/>
      <c r="U16" s="2"/>
      <c r="V16" s="2"/>
      <c r="W16" s="2"/>
      <c r="X16" s="2"/>
      <c r="Y16" s="2"/>
      <c r="Z16" s="2"/>
      <c r="AA16" s="2"/>
      <c r="AB16" s="2"/>
      <c r="AC16" s="2"/>
      <c r="AD16" s="2"/>
      <c r="AE16" s="2"/>
      <c r="AF16" s="2"/>
      <c r="AH16" t="s">
        <v>228</v>
      </c>
      <c r="AR16" s="131"/>
    </row>
    <row r="17" spans="2:44" x14ac:dyDescent="0.25">
      <c r="B17" s="16"/>
      <c r="C17" t="s">
        <v>47</v>
      </c>
      <c r="D17" s="19">
        <v>4000</v>
      </c>
      <c r="E17" s="19">
        <f>SUM(I17:AR17)</f>
        <v>5200</v>
      </c>
      <c r="F17" s="19"/>
      <c r="G17" s="19">
        <f ca="1">SUMIF($I$3:$AR$3,"&lt;"&amp;TODAY(),I17:AR17)</f>
        <v>5200</v>
      </c>
      <c r="H17" s="8" t="s">
        <v>229</v>
      </c>
      <c r="I17" s="78"/>
      <c r="J17" s="2"/>
      <c r="K17" s="2"/>
      <c r="L17" s="28">
        <v>1500</v>
      </c>
      <c r="M17" s="2"/>
      <c r="N17" s="28">
        <f>1200+500</f>
        <v>1700</v>
      </c>
      <c r="O17" s="2"/>
      <c r="P17" s="2"/>
      <c r="Q17" s="2"/>
      <c r="R17" s="2"/>
      <c r="S17" s="2"/>
      <c r="T17" s="2"/>
      <c r="U17" s="2"/>
      <c r="V17" s="2"/>
      <c r="W17" s="2"/>
      <c r="X17" s="2"/>
      <c r="Y17" s="2"/>
      <c r="Z17" s="2"/>
      <c r="AA17" s="2"/>
      <c r="AB17" s="2"/>
      <c r="AC17" s="2"/>
      <c r="AD17" s="2"/>
      <c r="AE17" s="2"/>
      <c r="AF17" s="2"/>
      <c r="AH17" t="s">
        <v>230</v>
      </c>
      <c r="AK17">
        <v>2000</v>
      </c>
      <c r="AR17" s="131"/>
    </row>
    <row r="18" spans="2:44" x14ac:dyDescent="0.25">
      <c r="B18" s="16"/>
      <c r="C18" t="s">
        <v>231</v>
      </c>
      <c r="D18" s="19"/>
      <c r="E18" s="19">
        <f>SUM(I18:AR18)</f>
        <v>40010.6</v>
      </c>
      <c r="F18" s="19">
        <f>28950+15000+3000</f>
        <v>46950</v>
      </c>
      <c r="G18" s="19">
        <f ca="1">SUMIF($I$3:$AR$3,"&lt;"&amp;TODAY(),I18:AR18)</f>
        <v>40010.6</v>
      </c>
      <c r="H18" s="8" t="s">
        <v>232</v>
      </c>
      <c r="I18" s="78"/>
      <c r="J18" s="2"/>
      <c r="K18" s="2"/>
      <c r="L18" s="28"/>
      <c r="M18" s="2"/>
      <c r="N18" s="28"/>
      <c r="O18" s="2"/>
      <c r="P18" s="2"/>
      <c r="Q18" s="2"/>
      <c r="R18" s="2"/>
      <c r="S18" s="2"/>
      <c r="T18" s="2"/>
      <c r="U18" s="2"/>
      <c r="V18" s="2"/>
      <c r="W18" s="2"/>
      <c r="X18" s="2"/>
      <c r="Y18" s="2"/>
      <c r="Z18" s="2"/>
      <c r="AA18" s="2"/>
      <c r="AB18" s="2"/>
      <c r="AC18" s="2"/>
      <c r="AD18" s="2"/>
      <c r="AE18" s="2"/>
      <c r="AF18" s="2"/>
      <c r="AK18" s="272">
        <v>4960</v>
      </c>
      <c r="AM18" s="26">
        <v>25862</v>
      </c>
      <c r="AN18" s="26">
        <v>9188.6</v>
      </c>
      <c r="AR18" s="131"/>
    </row>
    <row r="19" spans="2:44" x14ac:dyDescent="0.25">
      <c r="B19" s="16"/>
      <c r="C19" t="s">
        <v>48</v>
      </c>
      <c r="D19" s="19">
        <v>20000</v>
      </c>
      <c r="E19" s="19">
        <f t="shared" si="0"/>
        <v>14400</v>
      </c>
      <c r="F19" s="19">
        <v>11950</v>
      </c>
      <c r="G19" s="19">
        <f t="shared" ca="1" si="1"/>
        <v>14400</v>
      </c>
      <c r="H19" s="8" t="s">
        <v>233</v>
      </c>
      <c r="I19" s="78"/>
      <c r="J19" s="2"/>
      <c r="K19" s="2"/>
      <c r="L19" s="2"/>
      <c r="M19" s="28">
        <v>11950</v>
      </c>
      <c r="N19" s="2"/>
      <c r="O19" s="28">
        <v>2450</v>
      </c>
      <c r="P19" s="2"/>
      <c r="Q19" s="2"/>
      <c r="R19" s="2"/>
      <c r="S19" s="2"/>
      <c r="T19" s="2"/>
      <c r="U19" s="2"/>
      <c r="V19" s="2"/>
      <c r="W19" s="2"/>
      <c r="X19" s="2"/>
      <c r="Y19" s="2"/>
      <c r="Z19" s="2"/>
      <c r="AA19" s="2"/>
      <c r="AB19" s="2"/>
      <c r="AC19" s="2"/>
      <c r="AD19" s="2"/>
      <c r="AE19" s="2"/>
      <c r="AF19" s="2"/>
      <c r="AR19" s="131"/>
    </row>
    <row r="20" spans="2:44" x14ac:dyDescent="0.25">
      <c r="B20" s="16"/>
      <c r="C20" t="s">
        <v>171</v>
      </c>
      <c r="D20" s="19">
        <v>60000</v>
      </c>
      <c r="E20" s="19">
        <f t="shared" si="0"/>
        <v>6147</v>
      </c>
      <c r="F20" s="19"/>
      <c r="G20" s="19">
        <f t="shared" ca="1" si="1"/>
        <v>6147</v>
      </c>
      <c r="H20" s="8"/>
      <c r="I20" s="78"/>
      <c r="J20" s="2"/>
      <c r="N20" s="2"/>
      <c r="O20" s="2"/>
      <c r="P20" s="2"/>
      <c r="Q20" s="2"/>
      <c r="R20" s="2"/>
      <c r="S20" s="2"/>
      <c r="T20" s="2"/>
      <c r="U20" s="2"/>
      <c r="V20" s="2"/>
      <c r="W20" s="2"/>
      <c r="X20" s="2"/>
      <c r="Y20" s="2"/>
      <c r="Z20" s="2"/>
      <c r="AA20" s="2"/>
      <c r="AB20" s="2"/>
      <c r="AC20" s="2"/>
      <c r="AD20" s="2"/>
      <c r="AE20" s="2"/>
      <c r="AK20" s="272">
        <v>6147</v>
      </c>
      <c r="AL20" s="2"/>
      <c r="AR20" s="131"/>
    </row>
    <row r="21" spans="2:44" x14ac:dyDescent="0.25">
      <c r="B21" s="16"/>
      <c r="C21" t="s">
        <v>172</v>
      </c>
      <c r="D21" s="19">
        <v>3000</v>
      </c>
      <c r="E21" s="19">
        <f t="shared" si="0"/>
        <v>7811</v>
      </c>
      <c r="F21" s="19">
        <v>4180</v>
      </c>
      <c r="G21" s="19">
        <f t="shared" ca="1" si="1"/>
        <v>7811</v>
      </c>
      <c r="H21" s="8" t="s">
        <v>234</v>
      </c>
      <c r="I21" s="78"/>
      <c r="J21" s="2"/>
      <c r="K21" s="2"/>
      <c r="L21" s="2"/>
      <c r="M21" s="28">
        <f>3330+850</f>
        <v>4180</v>
      </c>
      <c r="N21" s="2"/>
      <c r="O21" s="2"/>
      <c r="P21" s="2"/>
      <c r="Q21" s="2"/>
      <c r="R21" s="2"/>
      <c r="S21" s="2"/>
      <c r="T21" s="2"/>
      <c r="U21" s="2"/>
      <c r="V21" s="2"/>
      <c r="W21" s="2"/>
      <c r="X21" s="2"/>
      <c r="Y21" s="2"/>
      <c r="Z21" s="2"/>
      <c r="AA21" s="2"/>
      <c r="AB21" s="28">
        <v>1706</v>
      </c>
      <c r="AC21" s="28">
        <v>950</v>
      </c>
      <c r="AD21" s="2"/>
      <c r="AE21" s="2"/>
      <c r="AF21" s="2"/>
      <c r="AK21" s="272">
        <v>975</v>
      </c>
      <c r="AR21" s="131"/>
    </row>
    <row r="22" spans="2:44" x14ac:dyDescent="0.25">
      <c r="B22" s="16"/>
      <c r="C22" t="s">
        <v>54</v>
      </c>
      <c r="D22" s="19">
        <v>5000</v>
      </c>
      <c r="E22" s="19">
        <f t="shared" si="0"/>
        <v>4220</v>
      </c>
      <c r="F22" s="19">
        <f>3900+600</f>
        <v>4500</v>
      </c>
      <c r="G22" s="19">
        <f t="shared" ca="1" si="1"/>
        <v>4220</v>
      </c>
      <c r="H22" s="8" t="s">
        <v>113</v>
      </c>
      <c r="I22" s="78"/>
      <c r="J22" s="2"/>
      <c r="K22" s="2"/>
      <c r="L22" s="2"/>
      <c r="M22" s="2"/>
      <c r="N22" s="28">
        <v>1500</v>
      </c>
      <c r="O22" s="2"/>
      <c r="P22" s="2"/>
      <c r="Q22" s="2"/>
      <c r="R22" s="2"/>
      <c r="S22" s="2"/>
      <c r="T22" s="2"/>
      <c r="U22" s="2"/>
      <c r="V22" s="28">
        <v>720</v>
      </c>
      <c r="W22" s="2"/>
      <c r="X22" s="2"/>
      <c r="Y22" s="2"/>
      <c r="Z22" s="2"/>
      <c r="AA22" s="2"/>
      <c r="AB22" s="2"/>
      <c r="AC22" s="2"/>
      <c r="AD22" s="2"/>
      <c r="AE22" s="2"/>
      <c r="AF22" s="2"/>
      <c r="AK22">
        <v>2000</v>
      </c>
      <c r="AR22" s="131"/>
    </row>
    <row r="23" spans="2:44" x14ac:dyDescent="0.25">
      <c r="B23" s="16"/>
      <c r="C23" t="s">
        <v>56</v>
      </c>
      <c r="D23" s="19">
        <v>8000</v>
      </c>
      <c r="E23" s="19">
        <f t="shared" si="0"/>
        <v>40580</v>
      </c>
      <c r="F23" s="19">
        <f>1660+1730+18290+5440+1760</f>
        <v>28880</v>
      </c>
      <c r="G23" s="19">
        <f t="shared" ca="1" si="1"/>
        <v>40580</v>
      </c>
      <c r="H23" s="8" t="s">
        <v>235</v>
      </c>
      <c r="I23" s="78"/>
      <c r="J23" s="2"/>
      <c r="K23" s="28">
        <v>4520</v>
      </c>
      <c r="L23" s="2"/>
      <c r="M23" s="2"/>
      <c r="N23" s="28">
        <f>2000+2637</f>
        <v>4637</v>
      </c>
      <c r="O23" s="2"/>
      <c r="P23" s="28">
        <v>4332</v>
      </c>
      <c r="Q23" s="28">
        <v>4557</v>
      </c>
      <c r="R23" s="2"/>
      <c r="S23" s="2"/>
      <c r="T23" s="2"/>
      <c r="U23" s="28">
        <f>997+3250</f>
        <v>4247</v>
      </c>
      <c r="V23" s="2"/>
      <c r="W23" s="2"/>
      <c r="AA23" s="2"/>
      <c r="AB23" s="2"/>
      <c r="AC23" s="2"/>
      <c r="AD23" s="28">
        <f>13050+792</f>
        <v>13842</v>
      </c>
      <c r="AE23" s="2"/>
      <c r="AF23" s="2"/>
      <c r="AK23" s="272">
        <f>1995+2450</f>
        <v>4445</v>
      </c>
      <c r="AR23" s="131"/>
    </row>
    <row r="24" spans="2:44" x14ac:dyDescent="0.25">
      <c r="B24" s="16"/>
      <c r="C24" t="s">
        <v>58</v>
      </c>
      <c r="D24" s="19">
        <v>7500</v>
      </c>
      <c r="E24" s="19">
        <f t="shared" si="0"/>
        <v>34591.25</v>
      </c>
      <c r="F24" s="19">
        <f>2500+6000+2500+1550+1550</f>
        <v>14100</v>
      </c>
      <c r="G24" s="19">
        <f t="shared" ca="1" si="1"/>
        <v>34591.25</v>
      </c>
      <c r="H24" s="8" t="s">
        <v>113</v>
      </c>
      <c r="I24" s="78"/>
      <c r="J24" s="2"/>
      <c r="K24" s="28">
        <f>6000+1250+1900</f>
        <v>9150</v>
      </c>
      <c r="L24" s="2"/>
      <c r="M24" s="2"/>
      <c r="N24" s="28">
        <f>2600+5000+2400+2800</f>
        <v>12800</v>
      </c>
      <c r="O24" s="2"/>
      <c r="P24" s="2"/>
      <c r="Q24" s="28">
        <v>1500</v>
      </c>
      <c r="R24" s="2"/>
      <c r="S24" s="2"/>
      <c r="T24" s="2"/>
      <c r="U24" s="2"/>
      <c r="V24" s="28">
        <f>1500+1000+2500+2500+750</f>
        <v>8250</v>
      </c>
      <c r="W24" s="2"/>
      <c r="X24" s="2"/>
      <c r="Y24" s="2"/>
      <c r="Z24" s="2"/>
      <c r="AA24" s="2"/>
      <c r="AB24" s="2"/>
      <c r="AC24" s="28">
        <f>1900+220+220+101.25</f>
        <v>2441.25</v>
      </c>
      <c r="AD24" s="2"/>
      <c r="AE24" s="2"/>
      <c r="AF24" s="2"/>
      <c r="AL24" s="272">
        <v>450</v>
      </c>
      <c r="AR24" s="131"/>
    </row>
    <row r="25" spans="2:44" x14ac:dyDescent="0.25">
      <c r="B25" s="16"/>
      <c r="C25" t="s">
        <v>59</v>
      </c>
      <c r="D25" s="19">
        <v>3000</v>
      </c>
      <c r="E25" s="19">
        <f t="shared" si="0"/>
        <v>10245</v>
      </c>
      <c r="F25" s="19"/>
      <c r="G25" s="19">
        <f t="shared" ca="1" si="1"/>
        <v>10245</v>
      </c>
      <c r="H25" s="8" t="s">
        <v>113</v>
      </c>
      <c r="I25" s="78"/>
      <c r="J25" s="2"/>
      <c r="K25" s="28">
        <v>3500</v>
      </c>
      <c r="L25" s="2"/>
      <c r="M25" s="2"/>
      <c r="N25" s="2"/>
      <c r="O25" s="2"/>
      <c r="P25" s="2"/>
      <c r="Q25" s="2"/>
      <c r="R25" s="2"/>
      <c r="S25" s="2"/>
      <c r="T25" s="2"/>
      <c r="U25" s="2"/>
      <c r="V25" s="28">
        <f>850+500+500+750</f>
        <v>2600</v>
      </c>
      <c r="W25" s="2"/>
      <c r="X25" s="2"/>
      <c r="Y25" s="2"/>
      <c r="Z25" s="2"/>
      <c r="AA25" s="2"/>
      <c r="AB25" s="2">
        <f>445</f>
        <v>445</v>
      </c>
      <c r="AC25" s="2">
        <v>1500</v>
      </c>
      <c r="AD25" s="2"/>
      <c r="AE25" s="2"/>
      <c r="AF25" s="2"/>
      <c r="AL25" s="272">
        <v>2200</v>
      </c>
      <c r="AR25" s="131"/>
    </row>
    <row r="26" spans="2:44" x14ac:dyDescent="0.25">
      <c r="B26" s="16"/>
      <c r="C26" t="s">
        <v>60</v>
      </c>
      <c r="D26" s="19">
        <v>3000</v>
      </c>
      <c r="E26" s="19">
        <f t="shared" si="0"/>
        <v>7155</v>
      </c>
      <c r="F26" s="19">
        <f>1300+1500</f>
        <v>2800</v>
      </c>
      <c r="G26" s="19">
        <f t="shared" ca="1" si="1"/>
        <v>7155</v>
      </c>
      <c r="H26" s="8" t="s">
        <v>236</v>
      </c>
      <c r="I26" s="78"/>
      <c r="J26" s="2"/>
      <c r="K26" s="28">
        <v>1300</v>
      </c>
      <c r="L26" s="2"/>
      <c r="M26" s="28">
        <v>400</v>
      </c>
      <c r="N26" s="2"/>
      <c r="O26" s="28">
        <v>1000</v>
      </c>
      <c r="P26" s="2"/>
      <c r="Q26" s="2"/>
      <c r="R26" s="2"/>
      <c r="S26" s="2"/>
      <c r="T26" s="2"/>
      <c r="U26" s="2"/>
      <c r="V26" s="2"/>
      <c r="W26" s="2"/>
      <c r="Y26" s="28">
        <v>1275</v>
      </c>
      <c r="AA26" s="2"/>
      <c r="AB26" s="2"/>
      <c r="AC26" s="28">
        <v>680</v>
      </c>
      <c r="AD26" s="2"/>
      <c r="AE26" s="2"/>
      <c r="AF26" s="2"/>
      <c r="AJ26" s="26">
        <v>2500</v>
      </c>
      <c r="AR26" s="131"/>
    </row>
    <row r="27" spans="2:44" x14ac:dyDescent="0.25">
      <c r="B27" s="16"/>
      <c r="C27" t="s">
        <v>237</v>
      </c>
      <c r="D27" s="19"/>
      <c r="E27" s="19">
        <f t="shared" si="0"/>
        <v>27906.799999999999</v>
      </c>
      <c r="F27" s="19">
        <f>2250+1250</f>
        <v>3500</v>
      </c>
      <c r="G27" s="19">
        <f t="shared" ca="1" si="1"/>
        <v>27906.799999999999</v>
      </c>
      <c r="H27" s="8" t="s">
        <v>238</v>
      </c>
      <c r="I27" s="78"/>
      <c r="J27" s="2"/>
      <c r="K27" s="28">
        <v>3225</v>
      </c>
      <c r="L27" s="2"/>
      <c r="M27" s="28">
        <v>925</v>
      </c>
      <c r="N27" s="2"/>
      <c r="O27" s="28">
        <v>1960</v>
      </c>
      <c r="P27" s="2"/>
      <c r="Q27" s="28">
        <v>695</v>
      </c>
      <c r="R27" s="2"/>
      <c r="S27" s="2"/>
      <c r="T27" s="2"/>
      <c r="U27" s="2"/>
      <c r="V27" s="2"/>
      <c r="W27" s="2"/>
      <c r="Z27" s="2"/>
      <c r="AA27" s="28">
        <v>1435</v>
      </c>
      <c r="AB27" s="2"/>
      <c r="AC27" s="2">
        <v>500</v>
      </c>
      <c r="AD27" s="2"/>
      <c r="AE27" s="2"/>
      <c r="AF27" s="2"/>
      <c r="AL27" s="272">
        <f>15806.8+3360</f>
        <v>19166.8</v>
      </c>
      <c r="AR27" s="131"/>
    </row>
    <row r="28" spans="2:44" x14ac:dyDescent="0.25">
      <c r="B28" s="16"/>
      <c r="C28" t="s">
        <v>61</v>
      </c>
      <c r="D28" s="19">
        <v>15000</v>
      </c>
      <c r="E28" s="19">
        <f t="shared" si="0"/>
        <v>0</v>
      </c>
      <c r="F28" s="19"/>
      <c r="G28" s="19">
        <f t="shared" ca="1" si="1"/>
        <v>0</v>
      </c>
      <c r="H28" s="8"/>
      <c r="I28" s="78"/>
      <c r="J28" s="2"/>
      <c r="K28" s="2"/>
      <c r="L28" s="2"/>
      <c r="M28" s="2"/>
      <c r="N28" s="2"/>
      <c r="O28" s="2"/>
      <c r="P28" s="2"/>
      <c r="Q28" s="2"/>
      <c r="R28" s="2"/>
      <c r="S28" s="2"/>
      <c r="T28" s="2"/>
      <c r="U28" s="2"/>
      <c r="V28" s="2"/>
      <c r="W28" s="2"/>
      <c r="X28" s="2"/>
      <c r="Y28" s="2"/>
      <c r="Z28" s="2"/>
      <c r="AA28" s="2"/>
      <c r="AB28" s="2"/>
      <c r="AC28" s="2"/>
      <c r="AD28" s="2"/>
      <c r="AE28" s="2"/>
      <c r="AF28" s="2"/>
      <c r="AR28" s="131"/>
    </row>
    <row r="29" spans="2:44" x14ac:dyDescent="0.25">
      <c r="B29" s="16"/>
      <c r="C29" t="s">
        <v>64</v>
      </c>
      <c r="D29" s="19">
        <v>7500</v>
      </c>
      <c r="E29" s="19">
        <f t="shared" si="0"/>
        <v>15178</v>
      </c>
      <c r="F29" s="19"/>
      <c r="G29" s="19">
        <f t="shared" ca="1" si="1"/>
        <v>15178</v>
      </c>
      <c r="H29" s="8" t="s">
        <v>130</v>
      </c>
      <c r="I29" s="78"/>
      <c r="J29" s="2"/>
      <c r="K29" s="2"/>
      <c r="L29" s="2"/>
      <c r="M29" s="2"/>
      <c r="N29" s="28">
        <v>2855</v>
      </c>
      <c r="O29" s="2"/>
      <c r="P29" s="2"/>
      <c r="Q29" s="2"/>
      <c r="R29" s="2"/>
      <c r="S29" s="2"/>
      <c r="T29" s="2"/>
      <c r="U29" s="28">
        <v>1325</v>
      </c>
      <c r="V29" s="2"/>
      <c r="W29" s="2"/>
      <c r="X29" s="2"/>
      <c r="Y29" s="28">
        <v>3710</v>
      </c>
      <c r="Z29" s="28">
        <v>4638</v>
      </c>
      <c r="AA29" s="2"/>
      <c r="AB29" s="28">
        <v>2650</v>
      </c>
      <c r="AC29" s="2"/>
      <c r="AD29" s="2"/>
      <c r="AE29" s="2"/>
      <c r="AF29" s="2"/>
      <c r="AR29" s="131"/>
    </row>
    <row r="30" spans="2:44" x14ac:dyDescent="0.25">
      <c r="B30" s="16"/>
      <c r="C30" t="s">
        <v>174</v>
      </c>
      <c r="D30" s="19">
        <v>15000</v>
      </c>
      <c r="E30" s="19">
        <f t="shared" si="0"/>
        <v>0</v>
      </c>
      <c r="F30" s="19"/>
      <c r="G30" s="19">
        <f t="shared" ca="1" si="1"/>
        <v>0</v>
      </c>
      <c r="H30" s="8"/>
      <c r="I30" s="78"/>
      <c r="J30" s="2"/>
      <c r="K30" s="2"/>
      <c r="Q30" s="2"/>
      <c r="R30" s="2"/>
      <c r="S30" s="2"/>
      <c r="T30" s="2"/>
      <c r="U30" s="2"/>
      <c r="V30" s="2"/>
      <c r="W30" s="2"/>
      <c r="X30" s="2"/>
      <c r="Y30" s="2"/>
      <c r="Z30" s="2"/>
      <c r="AA30" s="2"/>
      <c r="AB30" s="2"/>
      <c r="AC30" s="2"/>
      <c r="AD30" s="2"/>
      <c r="AE30" s="2"/>
      <c r="AF30" s="2"/>
      <c r="AR30" s="131"/>
    </row>
    <row r="31" spans="2:44" x14ac:dyDescent="0.25">
      <c r="B31" s="139" t="s">
        <v>93</v>
      </c>
      <c r="C31" s="15" t="s">
        <v>94</v>
      </c>
      <c r="D31" s="21">
        <v>34500</v>
      </c>
      <c r="E31" s="21">
        <f ca="1">SUMIF($I$3:$AR$3,"&gt;"&amp;TODAY(),$I$31:$AR$31)</f>
        <v>0</v>
      </c>
      <c r="F31" s="21"/>
      <c r="G31" s="157" t="s">
        <v>199</v>
      </c>
      <c r="H31" s="14"/>
      <c r="I31" s="80"/>
      <c r="J31" s="136">
        <f t="shared" ref="J31:AR31" si="2">SUM(J10:J30)*0.1</f>
        <v>487.20000000000005</v>
      </c>
      <c r="K31" s="136">
        <f t="shared" si="2"/>
        <v>5213.5640000000003</v>
      </c>
      <c r="L31" s="136">
        <f t="shared" si="2"/>
        <v>150</v>
      </c>
      <c r="M31" s="136">
        <f t="shared" si="2"/>
        <v>1745.5</v>
      </c>
      <c r="N31" s="136">
        <f t="shared" si="2"/>
        <v>5879.2000000000007</v>
      </c>
      <c r="O31" s="136">
        <f t="shared" si="2"/>
        <v>790.5</v>
      </c>
      <c r="P31" s="136">
        <f t="shared" si="2"/>
        <v>433.20000000000005</v>
      </c>
      <c r="Q31" s="136">
        <f t="shared" si="2"/>
        <v>1705.2</v>
      </c>
      <c r="R31" s="136">
        <f t="shared" si="2"/>
        <v>676.85500000000002</v>
      </c>
      <c r="S31" s="136">
        <f t="shared" si="2"/>
        <v>0</v>
      </c>
      <c r="T31" s="136">
        <f t="shared" si="2"/>
        <v>25</v>
      </c>
      <c r="U31" s="136">
        <f t="shared" si="2"/>
        <v>882.2</v>
      </c>
      <c r="V31" s="136">
        <f t="shared" si="2"/>
        <v>1842</v>
      </c>
      <c r="W31" s="136">
        <f t="shared" si="2"/>
        <v>0</v>
      </c>
      <c r="X31" s="136">
        <f t="shared" si="2"/>
        <v>0</v>
      </c>
      <c r="Y31" s="136">
        <f t="shared" si="2"/>
        <v>498.5</v>
      </c>
      <c r="Z31" s="136">
        <f t="shared" si="2"/>
        <v>463.8</v>
      </c>
      <c r="AA31" s="136">
        <f t="shared" si="2"/>
        <v>281.16000000000003</v>
      </c>
      <c r="AB31" s="136">
        <f t="shared" si="2"/>
        <v>836.1</v>
      </c>
      <c r="AC31" s="136">
        <f t="shared" si="2"/>
        <v>1348.375</v>
      </c>
      <c r="AD31" s="136">
        <f t="shared" si="2"/>
        <v>1384.2</v>
      </c>
      <c r="AE31" s="136">
        <f t="shared" si="2"/>
        <v>0</v>
      </c>
      <c r="AF31" s="136">
        <f t="shared" si="2"/>
        <v>2970.3020000000001</v>
      </c>
      <c r="AG31" s="136">
        <f t="shared" si="2"/>
        <v>200</v>
      </c>
      <c r="AH31" s="136">
        <f t="shared" si="2"/>
        <v>188.82500000000002</v>
      </c>
      <c r="AI31" s="136">
        <f t="shared" si="2"/>
        <v>0</v>
      </c>
      <c r="AJ31" s="136">
        <f>SUM(AJ28:AJ30)*0.1</f>
        <v>0</v>
      </c>
      <c r="AK31" s="136">
        <f>SUM(AK28:AK30)*0.1</f>
        <v>0</v>
      </c>
      <c r="AL31" s="136">
        <f t="shared" si="2"/>
        <v>3264.1800000000003</v>
      </c>
      <c r="AM31" s="136">
        <f t="shared" si="2"/>
        <v>2586.2000000000003</v>
      </c>
      <c r="AN31" s="136">
        <f t="shared" si="2"/>
        <v>918.86000000000013</v>
      </c>
      <c r="AO31" s="136">
        <f t="shared" si="2"/>
        <v>0</v>
      </c>
      <c r="AP31" s="136">
        <f t="shared" si="2"/>
        <v>0</v>
      </c>
      <c r="AQ31" s="136">
        <f t="shared" si="2"/>
        <v>0</v>
      </c>
      <c r="AR31" s="140">
        <f t="shared" si="2"/>
        <v>0</v>
      </c>
    </row>
    <row r="32" spans="2:44" x14ac:dyDescent="0.25">
      <c r="B32" s="13" t="s">
        <v>148</v>
      </c>
      <c r="C32" s="6"/>
      <c r="D32" s="20">
        <v>20000</v>
      </c>
      <c r="E32" s="20">
        <f>SUM(I32:AR32)</f>
        <v>20000</v>
      </c>
      <c r="F32" s="20"/>
      <c r="G32" s="20">
        <f t="shared" ca="1" si="1"/>
        <v>20000</v>
      </c>
      <c r="H32" s="13"/>
      <c r="I32" s="78"/>
      <c r="N32" s="2"/>
      <c r="O32" s="2"/>
      <c r="P32" s="2"/>
      <c r="Q32" s="2"/>
      <c r="R32" s="2"/>
      <c r="S32" s="2"/>
      <c r="T32" s="2"/>
      <c r="U32" s="2"/>
      <c r="V32" s="2"/>
      <c r="W32" s="2"/>
      <c r="X32" s="2"/>
      <c r="Y32" s="2"/>
      <c r="AF32" s="2"/>
      <c r="AG32" s="2">
        <v>10000</v>
      </c>
      <c r="AH32" s="2">
        <v>5000</v>
      </c>
      <c r="AI32" s="2">
        <v>2500</v>
      </c>
      <c r="AJ32" s="2">
        <v>2500</v>
      </c>
      <c r="AK32" s="2"/>
      <c r="AL32" s="2"/>
      <c r="AR32" s="131"/>
    </row>
    <row r="33" spans="2:44" x14ac:dyDescent="0.25">
      <c r="B33" s="14" t="s">
        <v>95</v>
      </c>
      <c r="C33" s="15"/>
      <c r="D33" s="21">
        <v>15000</v>
      </c>
      <c r="E33" s="20">
        <f t="shared" ref="E33:E34" si="3">SUM(I33:AR33)</f>
        <v>0</v>
      </c>
      <c r="F33" s="21"/>
      <c r="G33" s="21">
        <f t="shared" ca="1" si="1"/>
        <v>0</v>
      </c>
      <c r="H33" s="14"/>
      <c r="I33" s="78"/>
      <c r="J33" s="2"/>
      <c r="K33" s="2"/>
      <c r="L33" s="2"/>
      <c r="M33" s="2"/>
      <c r="N33" s="2"/>
      <c r="O33" s="2"/>
      <c r="P33" s="2"/>
      <c r="Q33" s="2"/>
      <c r="X33" s="2"/>
      <c r="Y33" s="2"/>
      <c r="AF33" s="2"/>
      <c r="AG33" s="2"/>
      <c r="AH33" s="2"/>
      <c r="AI33" s="2"/>
      <c r="AJ33" s="2"/>
      <c r="AK33" s="2"/>
      <c r="AL33" s="2"/>
      <c r="AR33" s="131"/>
    </row>
    <row r="34" spans="2:44" x14ac:dyDescent="0.25">
      <c r="B34" s="14" t="s">
        <v>97</v>
      </c>
      <c r="C34" s="15"/>
      <c r="D34" s="21">
        <v>15000</v>
      </c>
      <c r="E34" s="20">
        <f t="shared" si="3"/>
        <v>16994</v>
      </c>
      <c r="F34" s="21"/>
      <c r="G34" s="21">
        <f t="shared" ca="1" si="1"/>
        <v>16994</v>
      </c>
      <c r="H34" s="14"/>
      <c r="I34" s="78"/>
      <c r="J34" s="2"/>
      <c r="K34" s="2"/>
      <c r="L34" s="2"/>
      <c r="M34" s="2"/>
      <c r="N34" s="2"/>
      <c r="O34" s="2"/>
      <c r="P34" s="2"/>
      <c r="Q34" s="2"/>
      <c r="X34" s="2"/>
      <c r="Y34" s="2"/>
      <c r="AF34" s="2"/>
      <c r="AG34" s="2"/>
      <c r="AH34" s="2"/>
      <c r="AI34" s="2"/>
      <c r="AJ34" s="26">
        <v>1994</v>
      </c>
      <c r="AK34" s="2">
        <v>5000</v>
      </c>
      <c r="AL34" s="2">
        <v>5000</v>
      </c>
      <c r="AM34" s="2">
        <v>5000</v>
      </c>
      <c r="AR34" s="131"/>
    </row>
    <row r="35" spans="2:44" ht="15.75" thickBot="1" x14ac:dyDescent="0.3">
      <c r="B35" s="8" t="s">
        <v>98</v>
      </c>
      <c r="D35" s="137">
        <f>SUM(D4:D34)</f>
        <v>472000</v>
      </c>
      <c r="E35" s="137">
        <f ca="1">SUM(E4:E34)</f>
        <v>1747242.6500000001</v>
      </c>
      <c r="F35" s="137">
        <f>SUM(F4:F34)</f>
        <v>467135</v>
      </c>
      <c r="G35" s="137">
        <f t="shared" ca="1" si="1"/>
        <v>1782013.5709999998</v>
      </c>
      <c r="H35" s="8"/>
      <c r="I35" s="80">
        <f t="shared" ref="I35:AR35" si="4">SUM(I4:I34)</f>
        <v>21600</v>
      </c>
      <c r="J35" s="136">
        <f t="shared" si="4"/>
        <v>5359.2</v>
      </c>
      <c r="K35" s="136">
        <f t="shared" si="4"/>
        <v>57349.203999999998</v>
      </c>
      <c r="L35" s="136">
        <f t="shared" si="4"/>
        <v>1650</v>
      </c>
      <c r="M35" s="136">
        <f t="shared" si="4"/>
        <v>20338</v>
      </c>
      <c r="N35" s="136">
        <f t="shared" si="4"/>
        <v>64671.199999999997</v>
      </c>
      <c r="O35" s="136">
        <f t="shared" si="4"/>
        <v>13695.5</v>
      </c>
      <c r="P35" s="136">
        <f t="shared" si="4"/>
        <v>8765.2000000000007</v>
      </c>
      <c r="Q35" s="136">
        <f t="shared" si="4"/>
        <v>18757.2</v>
      </c>
      <c r="R35" s="136">
        <f t="shared" si="4"/>
        <v>7445.4050000000007</v>
      </c>
      <c r="S35" s="136">
        <f t="shared" si="4"/>
        <v>0</v>
      </c>
      <c r="T35" s="136">
        <f t="shared" si="4"/>
        <v>275</v>
      </c>
      <c r="U35" s="136">
        <f t="shared" si="4"/>
        <v>10204.200000000001</v>
      </c>
      <c r="V35" s="136">
        <f t="shared" si="4"/>
        <v>20262</v>
      </c>
      <c r="W35" s="136">
        <f t="shared" si="4"/>
        <v>5000</v>
      </c>
      <c r="X35" s="136">
        <f t="shared" si="4"/>
        <v>250000</v>
      </c>
      <c r="Y35" s="136">
        <f t="shared" si="4"/>
        <v>5697.46</v>
      </c>
      <c r="Z35" s="136">
        <f t="shared" si="4"/>
        <v>5101.8</v>
      </c>
      <c r="AA35" s="136">
        <f t="shared" si="4"/>
        <v>3092.7599999999998</v>
      </c>
      <c r="AB35" s="136">
        <f t="shared" si="4"/>
        <v>38397.1</v>
      </c>
      <c r="AC35" s="136">
        <f t="shared" si="4"/>
        <v>29832.125</v>
      </c>
      <c r="AD35" s="136">
        <f t="shared" si="4"/>
        <v>15226.2</v>
      </c>
      <c r="AE35" s="136">
        <f t="shared" si="4"/>
        <v>0</v>
      </c>
      <c r="AF35" s="136">
        <f t="shared" si="4"/>
        <v>35253.322</v>
      </c>
      <c r="AG35" s="136">
        <f t="shared" si="4"/>
        <v>83700</v>
      </c>
      <c r="AH35" s="136">
        <f t="shared" si="4"/>
        <v>7727.0749999999998</v>
      </c>
      <c r="AI35" s="136">
        <f t="shared" si="4"/>
        <v>252500</v>
      </c>
      <c r="AJ35" s="136">
        <f t="shared" si="4"/>
        <v>6994</v>
      </c>
      <c r="AK35" s="136">
        <f t="shared" si="4"/>
        <v>38672</v>
      </c>
      <c r="AL35" s="136">
        <f t="shared" si="4"/>
        <v>332579.95999999996</v>
      </c>
      <c r="AM35" s="136">
        <f>SUM(AM4:AM34)</f>
        <v>39560.199999999997</v>
      </c>
      <c r="AN35" s="136">
        <f t="shared" si="4"/>
        <v>382307.45999999996</v>
      </c>
      <c r="AO35" s="136">
        <f t="shared" si="4"/>
        <v>0</v>
      </c>
      <c r="AP35" s="136">
        <f t="shared" si="4"/>
        <v>0</v>
      </c>
      <c r="AQ35" s="136">
        <f t="shared" si="4"/>
        <v>0</v>
      </c>
      <c r="AR35" s="140">
        <f t="shared" si="4"/>
        <v>0</v>
      </c>
    </row>
    <row r="36" spans="2:44" ht="15.75" thickBot="1" x14ac:dyDescent="0.3">
      <c r="B36" s="11" t="s">
        <v>176</v>
      </c>
      <c r="C36" s="12">
        <v>33</v>
      </c>
      <c r="D36" s="18"/>
      <c r="E36" s="18"/>
      <c r="F36" s="18"/>
      <c r="G36" s="18"/>
      <c r="H36" s="11"/>
      <c r="I36" s="78"/>
      <c r="J36" s="2"/>
      <c r="K36" s="2"/>
      <c r="L36" s="2"/>
      <c r="M36" s="2"/>
      <c r="N36" s="2"/>
      <c r="O36" s="2"/>
      <c r="P36" s="2"/>
      <c r="Q36" s="2"/>
      <c r="R36" s="2"/>
      <c r="S36" s="2"/>
      <c r="T36" s="2"/>
      <c r="U36" s="2"/>
      <c r="V36" s="2"/>
      <c r="W36" s="2"/>
      <c r="X36" s="2"/>
      <c r="Y36" s="2"/>
      <c r="Z36" s="2"/>
      <c r="AA36" s="2"/>
      <c r="AR36" s="131"/>
    </row>
    <row r="37" spans="2:44" ht="15.75" thickBot="1" x14ac:dyDescent="0.3">
      <c r="B37" s="35" t="s">
        <v>100</v>
      </c>
      <c r="C37" s="37"/>
      <c r="D37" s="166">
        <f>D35/$C$36</f>
        <v>14303.030303030304</v>
      </c>
      <c r="E37" s="166">
        <f ca="1">E35/$C$36</f>
        <v>52946.746969696971</v>
      </c>
      <c r="F37" s="166">
        <f t="shared" ref="F37:G37" si="5">F35/$C$36</f>
        <v>14155.60606060606</v>
      </c>
      <c r="G37" s="166">
        <f t="shared" ca="1" si="5"/>
        <v>54000.411242424234</v>
      </c>
      <c r="H37" s="141"/>
      <c r="I37" s="82"/>
      <c r="J37" s="162"/>
      <c r="K37" s="162"/>
      <c r="L37" s="162"/>
      <c r="M37" s="162"/>
      <c r="N37" s="162"/>
      <c r="O37" s="162"/>
      <c r="P37" s="162"/>
      <c r="Q37" s="162"/>
      <c r="R37" s="162"/>
      <c r="S37" s="162"/>
      <c r="T37" s="162"/>
      <c r="U37" s="162"/>
      <c r="V37" s="162"/>
      <c r="W37" s="162"/>
      <c r="X37" s="162"/>
      <c r="Y37" s="162"/>
      <c r="Z37" s="162"/>
      <c r="AA37" s="162"/>
      <c r="AB37" s="10"/>
      <c r="AC37" s="10"/>
      <c r="AD37" s="10"/>
      <c r="AE37" s="10"/>
      <c r="AF37" s="10"/>
      <c r="AG37" s="10"/>
      <c r="AH37" s="10"/>
      <c r="AI37" s="10"/>
      <c r="AJ37" s="10"/>
      <c r="AK37" s="10"/>
      <c r="AL37" s="10"/>
      <c r="AM37" s="10"/>
      <c r="AN37" s="10"/>
      <c r="AO37" s="10"/>
      <c r="AP37" s="10"/>
      <c r="AQ37" s="10"/>
      <c r="AR37" s="132"/>
    </row>
    <row r="43" spans="2:44" x14ac:dyDescent="0.25">
      <c r="C43" s="179" t="s">
        <v>239</v>
      </c>
      <c r="D43" s="180" t="s">
        <v>240</v>
      </c>
      <c r="E43" s="180" t="s">
        <v>241</v>
      </c>
      <c r="F43" s="180" t="s">
        <v>242</v>
      </c>
    </row>
    <row r="44" spans="2:44" ht="45" x14ac:dyDescent="0.25">
      <c r="C44" s="179" t="s">
        <v>243</v>
      </c>
      <c r="D44" s="180" t="s">
        <v>244</v>
      </c>
      <c r="E44" s="181">
        <v>2500</v>
      </c>
      <c r="F44" s="180"/>
      <c r="H44" s="85" t="s">
        <v>245</v>
      </c>
      <c r="I44">
        <f>2000*14</f>
        <v>28000</v>
      </c>
    </row>
    <row r="45" spans="2:44" x14ac:dyDescent="0.25">
      <c r="C45" s="180"/>
      <c r="D45" s="180"/>
      <c r="E45" s="180"/>
      <c r="F45" s="180"/>
    </row>
    <row r="46" spans="2:44" x14ac:dyDescent="0.25">
      <c r="C46" s="180"/>
      <c r="D46" s="180"/>
      <c r="E46" s="180"/>
      <c r="F46" s="180"/>
    </row>
    <row r="47" spans="2:44" x14ac:dyDescent="0.25">
      <c r="C47" s="179" t="s">
        <v>246</v>
      </c>
      <c r="D47" s="180"/>
      <c r="E47" s="180"/>
      <c r="F47" s="180"/>
    </row>
    <row r="48" spans="2:44" x14ac:dyDescent="0.25">
      <c r="C48" s="180"/>
      <c r="D48" s="180"/>
      <c r="E48" s="180"/>
      <c r="F48" s="180"/>
    </row>
    <row r="49" spans="3:6" x14ac:dyDescent="0.25">
      <c r="C49" s="180" t="s">
        <v>247</v>
      </c>
      <c r="D49" s="180" t="s">
        <v>248</v>
      </c>
      <c r="E49" s="181">
        <v>3100</v>
      </c>
      <c r="F49" s="180"/>
    </row>
    <row r="50" spans="3:6" ht="30" x14ac:dyDescent="0.25">
      <c r="C50" s="180" t="s">
        <v>249</v>
      </c>
      <c r="D50" s="180" t="s">
        <v>244</v>
      </c>
      <c r="E50" s="181">
        <v>1000</v>
      </c>
      <c r="F50" s="180"/>
    </row>
    <row r="51" spans="3:6" x14ac:dyDescent="0.25">
      <c r="C51" s="179" t="s">
        <v>250</v>
      </c>
      <c r="D51" s="180"/>
      <c r="E51" s="180"/>
      <c r="F51" s="180"/>
    </row>
    <row r="52" spans="3:6" ht="30" x14ac:dyDescent="0.25">
      <c r="C52" s="180" t="s">
        <v>251</v>
      </c>
      <c r="D52" s="180" t="s">
        <v>252</v>
      </c>
      <c r="E52" s="180" t="s">
        <v>252</v>
      </c>
      <c r="F52" s="180"/>
    </row>
    <row r="53" spans="3:6" ht="30" x14ac:dyDescent="0.25">
      <c r="C53" s="180" t="s">
        <v>253</v>
      </c>
      <c r="D53" s="180" t="s">
        <v>244</v>
      </c>
      <c r="E53" s="181">
        <v>300</v>
      </c>
      <c r="F53" s="180"/>
    </row>
    <row r="54" spans="3:6" ht="30" x14ac:dyDescent="0.25">
      <c r="C54" s="179" t="s">
        <v>254</v>
      </c>
      <c r="D54" s="180"/>
      <c r="E54" s="180"/>
      <c r="F54" s="180"/>
    </row>
    <row r="55" spans="3:6" x14ac:dyDescent="0.25">
      <c r="C55" s="180" t="s">
        <v>255</v>
      </c>
      <c r="D55" s="180" t="s">
        <v>244</v>
      </c>
      <c r="E55" s="181">
        <v>2000</v>
      </c>
      <c r="F55" s="180"/>
    </row>
    <row r="56" spans="3:6" x14ac:dyDescent="0.25">
      <c r="C56" s="180" t="s">
        <v>256</v>
      </c>
      <c r="D56" s="180" t="s">
        <v>257</v>
      </c>
      <c r="E56" s="181">
        <v>500</v>
      </c>
      <c r="F56" s="180"/>
    </row>
    <row r="57" spans="3:6" x14ac:dyDescent="0.25">
      <c r="C57" s="180" t="s">
        <v>258</v>
      </c>
      <c r="D57" s="180" t="s">
        <v>248</v>
      </c>
      <c r="E57" s="181">
        <v>700</v>
      </c>
      <c r="F57" s="180"/>
    </row>
    <row r="58" spans="3:6" x14ac:dyDescent="0.25">
      <c r="C58" s="180" t="s">
        <v>259</v>
      </c>
      <c r="D58" s="180"/>
      <c r="E58" s="180"/>
      <c r="F58" s="180"/>
    </row>
    <row r="59" spans="3:6" ht="45" x14ac:dyDescent="0.25">
      <c r="C59" s="180" t="s">
        <v>260</v>
      </c>
      <c r="D59" s="180"/>
      <c r="E59" s="180"/>
      <c r="F59" s="180"/>
    </row>
    <row r="60" spans="3:6" x14ac:dyDescent="0.25">
      <c r="C60" s="179" t="s">
        <v>261</v>
      </c>
      <c r="D60" s="180" t="s">
        <v>244</v>
      </c>
      <c r="E60" s="181">
        <v>1200</v>
      </c>
      <c r="F60" s="180"/>
    </row>
    <row r="61" spans="3:6" x14ac:dyDescent="0.25">
      <c r="C61" s="179"/>
      <c r="D61" s="180" t="s">
        <v>248</v>
      </c>
      <c r="E61" s="181">
        <v>1900</v>
      </c>
      <c r="F61" s="180"/>
    </row>
    <row r="62" spans="3:6" x14ac:dyDescent="0.25">
      <c r="C62" s="179" t="s">
        <v>262</v>
      </c>
      <c r="D62" s="180" t="s">
        <v>244</v>
      </c>
      <c r="E62" s="181">
        <v>1200</v>
      </c>
      <c r="F62" s="180"/>
    </row>
    <row r="63" spans="3:6" x14ac:dyDescent="0.25">
      <c r="C63" s="179" t="s">
        <v>263</v>
      </c>
      <c r="D63" s="180" t="s">
        <v>244</v>
      </c>
      <c r="E63" s="181">
        <v>1200</v>
      </c>
      <c r="F63" s="180"/>
    </row>
    <row r="64" spans="3:6" x14ac:dyDescent="0.25">
      <c r="C64" s="180"/>
      <c r="D64" s="180" t="s">
        <v>248</v>
      </c>
      <c r="E64" s="181">
        <v>1900</v>
      </c>
      <c r="F64" s="180"/>
    </row>
    <row r="65" spans="3:6" ht="30" x14ac:dyDescent="0.25">
      <c r="C65" s="180"/>
      <c r="D65" s="180" t="s">
        <v>264</v>
      </c>
      <c r="E65" s="181">
        <v>1500</v>
      </c>
      <c r="F65" s="180"/>
    </row>
    <row r="66" spans="3:6" ht="75" x14ac:dyDescent="0.25">
      <c r="C66" s="180" t="s">
        <v>265</v>
      </c>
      <c r="D66" s="180" t="s">
        <v>244</v>
      </c>
      <c r="E66" s="180">
        <v>175</v>
      </c>
      <c r="F66" s="180" t="s">
        <v>266</v>
      </c>
    </row>
    <row r="67" spans="3:6" x14ac:dyDescent="0.25">
      <c r="C67" s="179" t="s">
        <v>267</v>
      </c>
      <c r="D67" s="180"/>
      <c r="E67" s="180"/>
      <c r="F67" s="180"/>
    </row>
    <row r="68" spans="3:6" ht="30" x14ac:dyDescent="0.25">
      <c r="C68" s="180" t="s">
        <v>268</v>
      </c>
      <c r="D68" s="180" t="s">
        <v>252</v>
      </c>
      <c r="E68" s="180" t="s">
        <v>252</v>
      </c>
      <c r="F68" s="180"/>
    </row>
    <row r="69" spans="3:6" x14ac:dyDescent="0.25">
      <c r="C69" s="180" t="s">
        <v>269</v>
      </c>
      <c r="D69" s="180" t="s">
        <v>244</v>
      </c>
      <c r="E69" s="181">
        <v>300</v>
      </c>
      <c r="F69" s="180"/>
    </row>
    <row r="70" spans="3:6" ht="30" x14ac:dyDescent="0.25">
      <c r="C70" s="180" t="s">
        <v>270</v>
      </c>
      <c r="D70" s="180" t="s">
        <v>244</v>
      </c>
      <c r="E70" s="181">
        <v>1900</v>
      </c>
      <c r="F70" s="180"/>
    </row>
    <row r="71" spans="3:6" x14ac:dyDescent="0.25">
      <c r="C71" s="180" t="s">
        <v>271</v>
      </c>
      <c r="D71" s="180"/>
      <c r="E71" s="180"/>
      <c r="F71" s="180"/>
    </row>
    <row r="72" spans="3:6" x14ac:dyDescent="0.25">
      <c r="C72" s="180" t="s">
        <v>272</v>
      </c>
      <c r="D72" s="180" t="s">
        <v>273</v>
      </c>
      <c r="E72" s="180">
        <f>175*5</f>
        <v>875</v>
      </c>
      <c r="F72" s="180"/>
    </row>
    <row r="73" spans="3:6" ht="45" x14ac:dyDescent="0.25">
      <c r="C73" s="180" t="s">
        <v>274</v>
      </c>
      <c r="D73" s="180" t="s">
        <v>252</v>
      </c>
      <c r="E73" s="180" t="s">
        <v>252</v>
      </c>
      <c r="F73" s="180"/>
    </row>
    <row r="74" spans="3:6" ht="75" x14ac:dyDescent="0.25">
      <c r="C74" s="180" t="s">
        <v>275</v>
      </c>
      <c r="D74" s="180" t="s">
        <v>276</v>
      </c>
      <c r="E74" s="180" t="s">
        <v>277</v>
      </c>
      <c r="F74" s="180"/>
    </row>
    <row r="75" spans="3:6" x14ac:dyDescent="0.25">
      <c r="C75" s="180"/>
      <c r="D75" s="180"/>
      <c r="E75" s="181">
        <f>SUM(E44:E74)</f>
        <v>22250</v>
      </c>
      <c r="F75" s="180"/>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B7AE-F65E-4BCA-B724-73F9BDF4F33C}">
  <dimension ref="B2:Y39"/>
  <sheetViews>
    <sheetView zoomScale="70" zoomScaleNormal="70" workbookViewId="0">
      <selection activeCell="C42" sqref="C42"/>
    </sheetView>
  </sheetViews>
  <sheetFormatPr defaultRowHeight="15" x14ac:dyDescent="0.25"/>
  <cols>
    <col min="1" max="1" width="4.42578125" customWidth="1"/>
    <col min="2" max="2" width="44.5703125" bestFit="1" customWidth="1"/>
    <col min="3" max="3" width="28.5703125" customWidth="1"/>
    <col min="4" max="4" width="25.5703125" customWidth="1"/>
    <col min="5" max="5" width="12.42578125" customWidth="1"/>
    <col min="6" max="6" width="22.42578125" customWidth="1"/>
    <col min="7" max="7" width="12.5703125" bestFit="1" customWidth="1"/>
    <col min="9" max="9" width="9.42578125" customWidth="1"/>
    <col min="11" max="11" width="8.5703125" style="30"/>
    <col min="15" max="15" width="8.5703125" style="26"/>
  </cols>
  <sheetData>
    <row r="2" spans="2:25" x14ac:dyDescent="0.25">
      <c r="B2" s="1" t="s">
        <v>278</v>
      </c>
    </row>
    <row r="3" spans="2:25" ht="15.75" thickBot="1" x14ac:dyDescent="0.3">
      <c r="H3" t="s">
        <v>14</v>
      </c>
      <c r="K3" s="30" t="s">
        <v>165</v>
      </c>
      <c r="O3" s="26" t="s">
        <v>166</v>
      </c>
    </row>
    <row r="4" spans="2:25" ht="15.75" thickBot="1" x14ac:dyDescent="0.3">
      <c r="B4" s="11" t="s">
        <v>16</v>
      </c>
      <c r="C4" s="12" t="s">
        <v>17</v>
      </c>
      <c r="D4" s="12" t="s">
        <v>279</v>
      </c>
      <c r="E4" s="43" t="s">
        <v>167</v>
      </c>
      <c r="F4" s="47" t="s">
        <v>242</v>
      </c>
      <c r="G4" s="18" t="s">
        <v>169</v>
      </c>
      <c r="H4" s="3">
        <v>1</v>
      </c>
      <c r="I4" s="3">
        <v>2</v>
      </c>
      <c r="J4" s="3">
        <v>3</v>
      </c>
      <c r="K4" s="31">
        <v>4</v>
      </c>
      <c r="L4" s="3">
        <v>5</v>
      </c>
      <c r="M4" s="3">
        <v>6</v>
      </c>
      <c r="N4" s="3">
        <v>7</v>
      </c>
      <c r="O4" s="27">
        <v>8</v>
      </c>
      <c r="P4" s="3">
        <v>9</v>
      </c>
      <c r="Q4" s="3">
        <v>10</v>
      </c>
      <c r="R4" s="3">
        <v>11</v>
      </c>
      <c r="S4" s="3">
        <v>12</v>
      </c>
      <c r="T4" s="3">
        <v>13</v>
      </c>
      <c r="U4" s="3">
        <v>14</v>
      </c>
      <c r="V4" s="3">
        <v>15</v>
      </c>
      <c r="W4" s="3">
        <v>16</v>
      </c>
      <c r="X4" s="3">
        <v>17</v>
      </c>
      <c r="Y4" s="4">
        <v>18</v>
      </c>
    </row>
    <row r="5" spans="2:25" x14ac:dyDescent="0.25">
      <c r="B5" s="8" t="s">
        <v>29</v>
      </c>
      <c r="C5" t="s">
        <v>170</v>
      </c>
      <c r="E5" s="19">
        <v>5000</v>
      </c>
      <c r="F5" s="19"/>
      <c r="G5" s="19"/>
      <c r="H5" s="2"/>
      <c r="I5" s="2"/>
      <c r="J5" s="2"/>
      <c r="K5" s="32"/>
      <c r="L5" s="2"/>
      <c r="M5" s="2"/>
      <c r="N5" s="2"/>
      <c r="O5" s="28"/>
      <c r="P5" s="2"/>
      <c r="Q5" s="2"/>
      <c r="R5" s="2"/>
      <c r="S5" s="2"/>
      <c r="T5" s="2"/>
      <c r="U5" s="2"/>
      <c r="V5" s="2"/>
      <c r="W5" s="2"/>
      <c r="X5" s="2"/>
      <c r="Y5" s="5"/>
    </row>
    <row r="6" spans="2:25" x14ac:dyDescent="0.25">
      <c r="B6" s="8"/>
      <c r="C6" t="s">
        <v>111</v>
      </c>
      <c r="E6" s="19">
        <v>500</v>
      </c>
      <c r="F6" s="19">
        <v>500</v>
      </c>
      <c r="G6" s="19">
        <v>500</v>
      </c>
      <c r="H6" s="2">
        <v>500</v>
      </c>
      <c r="I6" s="2"/>
      <c r="J6" s="2"/>
      <c r="K6" s="32"/>
      <c r="L6" s="2"/>
      <c r="M6" s="2"/>
      <c r="N6" s="2"/>
      <c r="O6" s="28"/>
      <c r="P6" s="2"/>
      <c r="Q6" s="2"/>
      <c r="R6" s="2"/>
      <c r="S6" s="2"/>
      <c r="T6" s="2"/>
      <c r="U6" s="2"/>
      <c r="V6" s="2"/>
      <c r="W6" s="2"/>
      <c r="X6" s="2"/>
      <c r="Y6" s="5"/>
    </row>
    <row r="7" spans="2:25" x14ac:dyDescent="0.25">
      <c r="B7" s="13"/>
      <c r="C7" s="6" t="s">
        <v>32</v>
      </c>
      <c r="D7" s="6"/>
      <c r="E7" s="20"/>
      <c r="F7" s="20"/>
      <c r="G7" s="20"/>
      <c r="H7" s="2">
        <v>50000</v>
      </c>
      <c r="I7" s="2"/>
      <c r="J7" s="2"/>
      <c r="K7" s="32"/>
      <c r="L7" s="2"/>
      <c r="M7" s="2"/>
      <c r="N7" s="2"/>
      <c r="O7" s="28"/>
      <c r="P7" s="2"/>
      <c r="Q7" s="2"/>
      <c r="R7" s="2"/>
      <c r="S7" s="2"/>
      <c r="T7" s="2"/>
      <c r="U7" s="2"/>
      <c r="V7" s="2"/>
      <c r="W7" s="2"/>
      <c r="X7" s="2"/>
      <c r="Y7" s="5"/>
    </row>
    <row r="8" spans="2:25" x14ac:dyDescent="0.25">
      <c r="B8" s="14" t="s">
        <v>35</v>
      </c>
      <c r="C8" s="15"/>
      <c r="D8" s="15"/>
      <c r="E8" s="21">
        <v>15000</v>
      </c>
      <c r="F8" s="21">
        <v>15000</v>
      </c>
      <c r="G8" s="21">
        <v>10000</v>
      </c>
      <c r="H8" s="2"/>
      <c r="I8" s="2"/>
      <c r="J8" s="2"/>
      <c r="K8" s="32"/>
      <c r="L8" s="2"/>
      <c r="M8" s="2"/>
      <c r="N8" s="2"/>
      <c r="O8" s="28"/>
      <c r="P8" s="2"/>
      <c r="Q8" s="2"/>
      <c r="R8" s="2"/>
      <c r="S8" s="2"/>
      <c r="T8" s="2"/>
      <c r="U8" s="2"/>
      <c r="V8" s="2"/>
      <c r="W8" s="2"/>
      <c r="X8" s="2"/>
      <c r="Y8" s="5"/>
    </row>
    <row r="9" spans="2:25" x14ac:dyDescent="0.25">
      <c r="B9" s="14" t="s">
        <v>40</v>
      </c>
      <c r="C9" s="15"/>
      <c r="D9" s="15"/>
      <c r="E9" s="46">
        <v>1000</v>
      </c>
      <c r="F9" s="50"/>
      <c r="G9" s="21">
        <v>1000</v>
      </c>
      <c r="H9" s="2">
        <v>2000</v>
      </c>
      <c r="I9" s="2">
        <v>2000</v>
      </c>
      <c r="J9" s="2">
        <v>2000</v>
      </c>
      <c r="K9" s="32">
        <v>2000</v>
      </c>
      <c r="L9" s="2">
        <v>2000</v>
      </c>
      <c r="M9" s="2">
        <v>2000</v>
      </c>
      <c r="N9" s="2">
        <v>2000</v>
      </c>
      <c r="O9" s="28">
        <v>2000</v>
      </c>
      <c r="P9" s="2">
        <v>2000</v>
      </c>
      <c r="Q9" s="2">
        <v>2000</v>
      </c>
      <c r="R9" s="2">
        <v>2000</v>
      </c>
      <c r="S9" s="2"/>
      <c r="T9" s="2"/>
      <c r="U9" s="2"/>
      <c r="V9" s="2"/>
      <c r="W9" s="2"/>
      <c r="X9" s="2"/>
      <c r="Y9" s="5"/>
    </row>
    <row r="10" spans="2:25" x14ac:dyDescent="0.25">
      <c r="B10" s="14" t="s">
        <v>37</v>
      </c>
      <c r="C10" s="15"/>
      <c r="D10" s="15"/>
      <c r="E10" s="46"/>
      <c r="F10" s="50"/>
      <c r="G10" s="21"/>
      <c r="H10" s="2"/>
      <c r="I10" s="2"/>
      <c r="J10" s="2">
        <v>150000</v>
      </c>
      <c r="K10" s="32"/>
      <c r="L10" s="2"/>
      <c r="M10" s="2"/>
      <c r="N10" s="2"/>
      <c r="O10" s="28"/>
      <c r="P10" s="2"/>
      <c r="Q10" s="2"/>
      <c r="R10" s="2"/>
      <c r="S10" s="2"/>
      <c r="T10" s="2"/>
      <c r="U10" s="2"/>
      <c r="V10" s="2"/>
      <c r="W10" s="2"/>
      <c r="X10" s="2"/>
      <c r="Y10" s="5"/>
    </row>
    <row r="11" spans="2:25" x14ac:dyDescent="0.25">
      <c r="B11" s="8" t="s">
        <v>280</v>
      </c>
      <c r="C11" t="s">
        <v>281</v>
      </c>
      <c r="D11">
        <v>2000</v>
      </c>
      <c r="E11" s="44" t="s">
        <v>282</v>
      </c>
      <c r="F11" s="48" t="s">
        <v>105</v>
      </c>
      <c r="G11" s="19"/>
      <c r="H11" s="2"/>
      <c r="I11" s="2"/>
      <c r="J11" s="2"/>
      <c r="K11" s="32"/>
      <c r="L11" s="2"/>
      <c r="M11" s="2"/>
      <c r="N11" s="2"/>
      <c r="O11" s="28"/>
      <c r="P11" s="2"/>
      <c r="Q11" s="2"/>
      <c r="R11" s="2"/>
      <c r="S11" s="2"/>
      <c r="T11" s="2"/>
      <c r="U11" s="2"/>
      <c r="V11" s="2"/>
      <c r="W11" s="2"/>
      <c r="X11" s="2"/>
      <c r="Y11" s="5"/>
    </row>
    <row r="12" spans="2:25" x14ac:dyDescent="0.25">
      <c r="B12" s="8"/>
      <c r="C12" t="s">
        <v>283</v>
      </c>
      <c r="D12">
        <v>3000</v>
      </c>
      <c r="E12" s="44">
        <v>2524</v>
      </c>
      <c r="F12" s="48" t="s">
        <v>284</v>
      </c>
      <c r="G12" s="19"/>
      <c r="H12" s="2"/>
      <c r="I12" s="2"/>
      <c r="J12" s="2"/>
      <c r="K12" s="32"/>
      <c r="L12" s="2"/>
      <c r="M12" s="2"/>
      <c r="N12" s="2"/>
      <c r="O12" s="28"/>
      <c r="P12" s="2"/>
      <c r="Q12" s="2"/>
      <c r="R12" s="2"/>
      <c r="S12" s="2"/>
      <c r="T12" s="2"/>
      <c r="U12" s="2"/>
      <c r="V12" s="2"/>
      <c r="W12" s="2"/>
      <c r="X12" s="2"/>
      <c r="Y12" s="5"/>
    </row>
    <row r="13" spans="2:25" x14ac:dyDescent="0.25">
      <c r="B13" s="8"/>
      <c r="C13" t="s">
        <v>285</v>
      </c>
      <c r="D13">
        <v>5000</v>
      </c>
      <c r="E13" s="44">
        <f>300+650+1900+1200+500+850</f>
        <v>5400</v>
      </c>
      <c r="F13" s="48" t="s">
        <v>195</v>
      </c>
      <c r="G13" s="19"/>
      <c r="H13" s="2"/>
      <c r="I13" s="2"/>
      <c r="J13" s="2"/>
      <c r="K13" s="32"/>
      <c r="L13" s="2"/>
      <c r="M13" s="2"/>
      <c r="N13" s="2"/>
      <c r="O13" s="28"/>
      <c r="P13" s="2"/>
      <c r="Q13" s="2"/>
      <c r="R13" s="2"/>
      <c r="S13" s="2"/>
      <c r="T13" s="2"/>
      <c r="U13" s="2"/>
      <c r="V13" s="2"/>
      <c r="W13" s="2"/>
      <c r="X13" s="2"/>
      <c r="Y13" s="5"/>
    </row>
    <row r="14" spans="2:25" x14ac:dyDescent="0.25">
      <c r="B14" s="8"/>
      <c r="C14" t="s">
        <v>286</v>
      </c>
      <c r="D14">
        <v>2000</v>
      </c>
      <c r="E14" s="44"/>
      <c r="F14" s="48" t="s">
        <v>287</v>
      </c>
      <c r="G14" s="19"/>
      <c r="H14" s="2"/>
      <c r="I14" s="2"/>
      <c r="J14" s="2"/>
      <c r="K14" s="32"/>
      <c r="L14" s="2"/>
      <c r="M14" s="2"/>
      <c r="N14" s="2"/>
      <c r="O14" s="28"/>
      <c r="P14" s="2"/>
      <c r="Q14" s="2"/>
      <c r="R14" s="2"/>
      <c r="S14" s="2"/>
      <c r="T14" s="2"/>
      <c r="U14" s="2"/>
      <c r="V14" s="2"/>
      <c r="W14" s="2"/>
      <c r="X14" s="2"/>
      <c r="Y14" s="5"/>
    </row>
    <row r="15" spans="2:25" x14ac:dyDescent="0.25">
      <c r="B15" s="8"/>
      <c r="C15" t="s">
        <v>288</v>
      </c>
      <c r="D15">
        <f>SUM(D11:D13)*0.1</f>
        <v>1000</v>
      </c>
      <c r="E15" s="44"/>
      <c r="F15" s="48"/>
      <c r="G15" s="19"/>
      <c r="H15" s="2"/>
      <c r="I15" s="2"/>
      <c r="J15" s="2"/>
      <c r="K15" s="32"/>
      <c r="L15" s="2"/>
      <c r="M15" s="2"/>
      <c r="N15" s="2"/>
      <c r="O15" s="28"/>
      <c r="P15" s="2"/>
      <c r="Q15" s="2"/>
      <c r="R15" s="2"/>
      <c r="S15" s="2"/>
      <c r="T15" s="2"/>
      <c r="U15" s="2"/>
      <c r="V15" s="2"/>
      <c r="W15" s="2"/>
      <c r="X15" s="2"/>
      <c r="Y15" s="5"/>
    </row>
    <row r="16" spans="2:25" x14ac:dyDescent="0.25">
      <c r="B16" s="8"/>
      <c r="E16" s="44"/>
      <c r="F16" s="48"/>
      <c r="G16" s="19"/>
      <c r="H16" s="2"/>
      <c r="I16" s="2"/>
      <c r="J16" s="2"/>
      <c r="K16" s="32"/>
      <c r="L16" s="2"/>
      <c r="M16" s="2"/>
      <c r="N16" s="2"/>
      <c r="O16" s="28"/>
      <c r="P16" s="2"/>
      <c r="Q16" s="2"/>
      <c r="R16" s="2"/>
      <c r="S16" s="2"/>
      <c r="T16" s="2"/>
      <c r="U16" s="2"/>
      <c r="V16" s="2"/>
      <c r="W16" s="2"/>
      <c r="X16" s="2"/>
      <c r="Y16" s="5"/>
    </row>
    <row r="17" spans="2:25" x14ac:dyDescent="0.25">
      <c r="B17" s="16" t="s">
        <v>42</v>
      </c>
      <c r="C17" t="s">
        <v>43</v>
      </c>
      <c r="D17">
        <f t="shared" ref="D17:D35" si="0">SUM(E17:V17)</f>
        <v>5000</v>
      </c>
      <c r="E17" s="44"/>
      <c r="F17" s="48"/>
      <c r="G17" s="19"/>
      <c r="H17" s="2">
        <v>3000</v>
      </c>
      <c r="I17" s="2"/>
      <c r="J17" s="2"/>
      <c r="K17" s="32"/>
      <c r="L17" s="2">
        <v>2000</v>
      </c>
      <c r="M17" s="2"/>
      <c r="N17" s="2"/>
      <c r="O17" s="28"/>
      <c r="P17" s="2"/>
      <c r="Q17" s="2"/>
      <c r="R17" s="2"/>
      <c r="S17" s="2"/>
      <c r="T17" s="2"/>
      <c r="U17" s="2"/>
      <c r="V17" s="2"/>
      <c r="W17" s="2"/>
      <c r="X17" s="2"/>
      <c r="Y17" s="5"/>
    </row>
    <row r="18" spans="2:25" x14ac:dyDescent="0.25">
      <c r="B18" s="16"/>
      <c r="C18" t="s">
        <v>44</v>
      </c>
      <c r="D18">
        <f t="shared" si="0"/>
        <v>5000</v>
      </c>
      <c r="E18" s="44"/>
      <c r="F18" s="48"/>
      <c r="G18" s="19"/>
      <c r="H18" s="2">
        <v>5000</v>
      </c>
      <c r="I18" s="2"/>
      <c r="J18" s="2"/>
      <c r="K18" s="32"/>
      <c r="L18" s="2"/>
      <c r="M18" s="2"/>
      <c r="N18" s="2"/>
      <c r="O18" s="28"/>
      <c r="P18" s="2"/>
      <c r="Q18" s="2"/>
      <c r="R18" s="2"/>
      <c r="S18" s="2"/>
      <c r="T18" s="2"/>
      <c r="U18" s="2"/>
      <c r="V18" s="2"/>
      <c r="W18" s="2"/>
      <c r="X18" s="2"/>
      <c r="Y18" s="5"/>
    </row>
    <row r="19" spans="2:25" ht="45" x14ac:dyDescent="0.25">
      <c r="B19" s="16"/>
      <c r="C19" t="s">
        <v>46</v>
      </c>
      <c r="D19">
        <v>4000</v>
      </c>
      <c r="E19" s="44">
        <v>5450</v>
      </c>
      <c r="F19" s="66" t="s">
        <v>289</v>
      </c>
      <c r="G19" s="19"/>
      <c r="H19" s="2">
        <v>4000</v>
      </c>
      <c r="I19" s="2"/>
      <c r="J19" s="2"/>
      <c r="K19" s="32"/>
      <c r="L19" s="2">
        <v>1000</v>
      </c>
      <c r="M19" s="2"/>
      <c r="N19" s="2"/>
      <c r="O19" s="28"/>
      <c r="P19" s="2"/>
      <c r="Q19" s="2"/>
      <c r="R19" s="2"/>
      <c r="S19" s="2"/>
      <c r="T19" s="2"/>
      <c r="U19" s="2"/>
      <c r="V19" s="2"/>
      <c r="W19" s="2"/>
      <c r="X19" s="2"/>
      <c r="Y19" s="5"/>
    </row>
    <row r="20" spans="2:25" x14ac:dyDescent="0.25">
      <c r="B20" s="16"/>
      <c r="C20" t="s">
        <v>47</v>
      </c>
      <c r="D20">
        <f t="shared" si="0"/>
        <v>4000</v>
      </c>
      <c r="E20" s="44"/>
      <c r="F20" s="48"/>
      <c r="G20" s="19"/>
      <c r="H20" s="2">
        <v>3000</v>
      </c>
      <c r="I20" s="2"/>
      <c r="J20" s="2"/>
      <c r="K20" s="32"/>
      <c r="L20" s="2">
        <v>1000</v>
      </c>
      <c r="M20" s="2"/>
      <c r="N20" s="2"/>
      <c r="O20" s="28"/>
      <c r="P20" s="2"/>
      <c r="Q20" s="2"/>
      <c r="R20" s="2"/>
      <c r="S20" s="2"/>
      <c r="T20" s="2"/>
      <c r="U20" s="2"/>
      <c r="V20" s="2"/>
      <c r="W20" s="2"/>
      <c r="X20" s="2"/>
      <c r="Y20" s="5"/>
    </row>
    <row r="21" spans="2:25" x14ac:dyDescent="0.25">
      <c r="B21" s="16"/>
      <c r="C21" t="s">
        <v>48</v>
      </c>
      <c r="D21">
        <v>20000</v>
      </c>
      <c r="E21" s="44"/>
      <c r="F21" s="48"/>
      <c r="G21" s="19"/>
      <c r="H21" s="2">
        <v>25000</v>
      </c>
      <c r="I21" s="2"/>
      <c r="J21" s="2"/>
      <c r="K21" s="32"/>
      <c r="L21" s="2"/>
      <c r="M21" s="2"/>
      <c r="N21" s="2"/>
      <c r="O21" s="28"/>
      <c r="P21" s="2"/>
      <c r="Q21" s="2"/>
      <c r="R21" s="2"/>
      <c r="S21" s="2"/>
      <c r="T21" s="2"/>
      <c r="U21" s="2"/>
      <c r="V21" s="2"/>
      <c r="W21" s="2"/>
      <c r="X21" s="2"/>
      <c r="Y21" s="5"/>
    </row>
    <row r="22" spans="2:25" x14ac:dyDescent="0.25">
      <c r="B22" s="16"/>
      <c r="C22" t="s">
        <v>171</v>
      </c>
      <c r="D22">
        <v>60000</v>
      </c>
      <c r="E22" s="44"/>
      <c r="F22" s="48"/>
      <c r="G22" s="19"/>
      <c r="H22" s="2"/>
      <c r="I22" s="2">
        <v>20000</v>
      </c>
      <c r="J22" s="2">
        <v>20000</v>
      </c>
      <c r="K22" s="32">
        <v>20000</v>
      </c>
      <c r="L22" s="2"/>
      <c r="M22" s="2"/>
      <c r="N22" s="2"/>
      <c r="O22" s="28"/>
      <c r="P22" s="2"/>
      <c r="Q22" s="2"/>
      <c r="R22" s="2"/>
      <c r="S22" s="2"/>
      <c r="T22" s="2"/>
      <c r="U22" s="2"/>
      <c r="V22" s="2"/>
      <c r="W22" s="2"/>
      <c r="X22" s="2"/>
      <c r="Y22" s="5"/>
    </row>
    <row r="23" spans="2:25" x14ac:dyDescent="0.25">
      <c r="B23" s="16"/>
      <c r="C23" t="s">
        <v>53</v>
      </c>
      <c r="D23">
        <f t="shared" si="0"/>
        <v>3000</v>
      </c>
      <c r="E23" s="44"/>
      <c r="F23" s="48"/>
      <c r="G23" s="19"/>
      <c r="H23" s="2">
        <v>2000</v>
      </c>
      <c r="I23" s="2"/>
      <c r="J23" s="2"/>
      <c r="K23" s="32"/>
      <c r="L23" s="2">
        <v>1000</v>
      </c>
      <c r="M23" s="2"/>
      <c r="N23" s="2"/>
      <c r="O23" s="28"/>
      <c r="P23" s="2"/>
      <c r="Q23" s="2"/>
      <c r="R23" s="2"/>
      <c r="S23" s="2"/>
      <c r="T23" s="2"/>
      <c r="U23" s="2"/>
      <c r="V23" s="2"/>
      <c r="W23" s="2"/>
      <c r="X23" s="2"/>
      <c r="Y23" s="5"/>
    </row>
    <row r="24" spans="2:25" x14ac:dyDescent="0.25">
      <c r="B24" s="16"/>
      <c r="C24" t="s">
        <v>54</v>
      </c>
      <c r="D24">
        <f t="shared" si="0"/>
        <v>5000</v>
      </c>
      <c r="E24" s="44"/>
      <c r="F24" s="48"/>
      <c r="G24" s="19"/>
      <c r="H24" s="2">
        <v>3000</v>
      </c>
      <c r="I24" s="2"/>
      <c r="J24" s="2"/>
      <c r="K24" s="32"/>
      <c r="L24" s="2">
        <v>1000</v>
      </c>
      <c r="M24" s="2"/>
      <c r="N24" s="2">
        <v>1000</v>
      </c>
      <c r="O24" s="28"/>
      <c r="P24" s="2"/>
      <c r="Q24" s="2"/>
      <c r="R24" s="2"/>
      <c r="S24" s="2"/>
      <c r="T24" s="2"/>
      <c r="U24" s="2"/>
      <c r="V24" s="2"/>
      <c r="W24" s="2"/>
      <c r="X24" s="2"/>
      <c r="Y24" s="5"/>
    </row>
    <row r="25" spans="2:25" ht="60" x14ac:dyDescent="0.25">
      <c r="B25" s="16"/>
      <c r="C25" t="s">
        <v>56</v>
      </c>
      <c r="D25">
        <v>8000</v>
      </c>
      <c r="E25" s="44">
        <v>1900</v>
      </c>
      <c r="F25" s="66" t="s">
        <v>290</v>
      </c>
      <c r="G25" s="19"/>
      <c r="H25" s="2">
        <v>5000</v>
      </c>
      <c r="I25" s="2"/>
      <c r="J25" s="2"/>
      <c r="K25" s="32"/>
      <c r="L25" s="2">
        <v>3000</v>
      </c>
      <c r="M25" s="2"/>
      <c r="N25" s="2">
        <v>2000</v>
      </c>
      <c r="O25" s="28"/>
      <c r="P25" s="2"/>
      <c r="Q25" s="2"/>
      <c r="R25" s="2"/>
      <c r="S25" s="2"/>
      <c r="T25" s="2"/>
      <c r="U25" s="2"/>
      <c r="V25" s="2"/>
      <c r="W25" s="2"/>
      <c r="X25" s="2"/>
      <c r="Y25" s="5"/>
    </row>
    <row r="26" spans="2:25" x14ac:dyDescent="0.25">
      <c r="B26" s="16"/>
      <c r="C26" t="s">
        <v>58</v>
      </c>
      <c r="D26">
        <f t="shared" si="0"/>
        <v>7500</v>
      </c>
      <c r="E26" s="44"/>
      <c r="F26" s="48"/>
      <c r="G26" s="19"/>
      <c r="H26" s="2">
        <v>5000</v>
      </c>
      <c r="I26" s="2"/>
      <c r="J26" s="2"/>
      <c r="K26" s="32"/>
      <c r="L26" s="2">
        <v>1500</v>
      </c>
      <c r="M26" s="2"/>
      <c r="N26" s="2">
        <v>1000</v>
      </c>
      <c r="O26" s="28"/>
      <c r="P26" s="2"/>
      <c r="Q26" s="2"/>
      <c r="R26" s="2"/>
      <c r="S26" s="2"/>
      <c r="T26" s="2"/>
      <c r="U26" s="2"/>
      <c r="V26" s="2"/>
      <c r="W26" s="2"/>
      <c r="X26" s="2"/>
      <c r="Y26" s="5"/>
    </row>
    <row r="27" spans="2:25" x14ac:dyDescent="0.25">
      <c r="B27" s="16"/>
      <c r="C27" t="s">
        <v>59</v>
      </c>
      <c r="D27">
        <f t="shared" si="0"/>
        <v>3000</v>
      </c>
      <c r="E27" s="44"/>
      <c r="F27" s="48"/>
      <c r="G27" s="19"/>
      <c r="H27" s="2">
        <v>2000</v>
      </c>
      <c r="I27" s="2"/>
      <c r="J27" s="2"/>
      <c r="K27" s="32"/>
      <c r="L27" s="2">
        <v>1000</v>
      </c>
      <c r="M27" s="2"/>
      <c r="N27" s="2"/>
      <c r="O27" s="28"/>
      <c r="P27" s="2"/>
      <c r="Q27" s="2"/>
      <c r="R27" s="2"/>
      <c r="S27" s="2"/>
      <c r="T27" s="2"/>
      <c r="U27" s="2"/>
      <c r="V27" s="2"/>
      <c r="W27" s="2"/>
      <c r="X27" s="2"/>
      <c r="Y27" s="5"/>
    </row>
    <row r="28" spans="2:25" x14ac:dyDescent="0.25">
      <c r="B28" s="16"/>
      <c r="C28" t="s">
        <v>60</v>
      </c>
      <c r="D28">
        <f t="shared" si="0"/>
        <v>3000</v>
      </c>
      <c r="E28" s="44"/>
      <c r="F28" s="48"/>
      <c r="G28" s="19"/>
      <c r="H28" s="2">
        <v>2000</v>
      </c>
      <c r="I28" s="2"/>
      <c r="J28" s="2"/>
      <c r="K28" s="32"/>
      <c r="L28" s="2">
        <v>1000</v>
      </c>
      <c r="M28" s="2"/>
      <c r="N28" s="2"/>
      <c r="O28" s="28"/>
      <c r="P28" s="2"/>
      <c r="Q28" s="2"/>
      <c r="R28" s="2"/>
      <c r="S28" s="2"/>
      <c r="T28" s="2"/>
      <c r="U28" s="2"/>
      <c r="V28" s="2"/>
      <c r="W28" s="2"/>
      <c r="X28" s="2"/>
      <c r="Y28" s="5"/>
    </row>
    <row r="29" spans="2:25" x14ac:dyDescent="0.25">
      <c r="B29" s="16"/>
      <c r="C29" t="s">
        <v>61</v>
      </c>
      <c r="D29">
        <f t="shared" si="0"/>
        <v>15000</v>
      </c>
      <c r="E29" s="44"/>
      <c r="F29" s="48"/>
      <c r="G29" s="19"/>
      <c r="H29" s="2">
        <v>12500</v>
      </c>
      <c r="I29" s="2"/>
      <c r="J29" s="2"/>
      <c r="K29" s="32"/>
      <c r="L29" s="2">
        <v>2500</v>
      </c>
      <c r="M29" s="2"/>
      <c r="N29" s="2"/>
      <c r="O29" s="28"/>
      <c r="P29" s="2"/>
      <c r="Q29" s="2"/>
      <c r="R29" s="2"/>
      <c r="S29" s="2"/>
      <c r="T29" s="2"/>
      <c r="U29" s="2"/>
      <c r="V29" s="2"/>
      <c r="W29" s="2"/>
      <c r="X29" s="2"/>
      <c r="Y29" s="5"/>
    </row>
    <row r="30" spans="2:25" x14ac:dyDescent="0.25">
      <c r="B30" s="16"/>
      <c r="C30" t="s">
        <v>64</v>
      </c>
      <c r="D30">
        <f t="shared" si="0"/>
        <v>7500</v>
      </c>
      <c r="E30" s="44"/>
      <c r="F30" s="48"/>
      <c r="G30" s="19"/>
      <c r="H30" s="2">
        <v>5000</v>
      </c>
      <c r="I30" s="2"/>
      <c r="J30" s="2"/>
      <c r="K30" s="32"/>
      <c r="L30" s="2">
        <v>2500</v>
      </c>
      <c r="M30" s="2"/>
      <c r="N30" s="2"/>
      <c r="O30" s="28"/>
      <c r="P30" s="2"/>
      <c r="Q30" s="2"/>
      <c r="R30" s="2"/>
      <c r="S30" s="2"/>
      <c r="T30" s="2"/>
      <c r="U30" s="2"/>
      <c r="V30" s="2"/>
      <c r="W30" s="2"/>
      <c r="X30" s="2"/>
      <c r="Y30" s="5"/>
    </row>
    <row r="31" spans="2:25" x14ac:dyDescent="0.25">
      <c r="B31" s="16"/>
      <c r="C31" t="s">
        <v>174</v>
      </c>
      <c r="D31">
        <f t="shared" si="0"/>
        <v>15000</v>
      </c>
      <c r="E31" s="44"/>
      <c r="F31" s="48"/>
      <c r="G31" s="19"/>
      <c r="H31" s="2">
        <v>5000</v>
      </c>
      <c r="I31" s="2">
        <v>2000</v>
      </c>
      <c r="J31" s="2">
        <v>2000</v>
      </c>
      <c r="K31" s="32">
        <v>2000</v>
      </c>
      <c r="L31" s="2">
        <v>2000</v>
      </c>
      <c r="M31" s="2">
        <v>1000</v>
      </c>
      <c r="N31" s="2">
        <v>1000</v>
      </c>
      <c r="O31" s="28"/>
      <c r="P31" s="2"/>
      <c r="Q31" s="2"/>
      <c r="R31" s="2"/>
      <c r="S31" s="2"/>
      <c r="T31" s="2"/>
      <c r="U31" s="2"/>
      <c r="V31" s="2"/>
      <c r="W31" s="2"/>
      <c r="X31" s="2"/>
      <c r="Y31" s="5"/>
    </row>
    <row r="32" spans="2:25" x14ac:dyDescent="0.25">
      <c r="B32" s="17" t="s">
        <v>93</v>
      </c>
      <c r="C32" s="6" t="s">
        <v>94</v>
      </c>
      <c r="D32" s="6">
        <f t="shared" si="0"/>
        <v>36227.4</v>
      </c>
      <c r="E32" s="45">
        <f t="shared" ref="E32:V32" si="1">SUM(E9:E31)*0.1</f>
        <v>1627.4</v>
      </c>
      <c r="F32" s="49">
        <f t="shared" si="1"/>
        <v>0</v>
      </c>
      <c r="G32" s="20">
        <f t="shared" si="1"/>
        <v>100</v>
      </c>
      <c r="H32" s="2">
        <f>SUM(H9:H31)*0.1</f>
        <v>8350</v>
      </c>
      <c r="I32" s="2">
        <f t="shared" si="1"/>
        <v>2400</v>
      </c>
      <c r="J32" s="2">
        <f t="shared" si="1"/>
        <v>17400</v>
      </c>
      <c r="K32" s="32">
        <f t="shared" si="1"/>
        <v>2400</v>
      </c>
      <c r="L32" s="2">
        <f t="shared" si="1"/>
        <v>2150</v>
      </c>
      <c r="M32" s="2">
        <f t="shared" si="1"/>
        <v>300</v>
      </c>
      <c r="N32" s="2">
        <f t="shared" si="1"/>
        <v>700</v>
      </c>
      <c r="O32" s="28">
        <f t="shared" si="1"/>
        <v>200</v>
      </c>
      <c r="P32" s="2">
        <f t="shared" si="1"/>
        <v>200</v>
      </c>
      <c r="Q32" s="2">
        <f t="shared" si="1"/>
        <v>200</v>
      </c>
      <c r="R32" s="2">
        <f t="shared" si="1"/>
        <v>200</v>
      </c>
      <c r="S32" s="2">
        <f t="shared" si="1"/>
        <v>0</v>
      </c>
      <c r="T32" s="2">
        <f t="shared" si="1"/>
        <v>0</v>
      </c>
      <c r="U32" s="2">
        <f t="shared" si="1"/>
        <v>0</v>
      </c>
      <c r="V32" s="2">
        <f t="shared" si="1"/>
        <v>0</v>
      </c>
      <c r="W32" s="2"/>
      <c r="X32" s="2"/>
      <c r="Y32" s="2"/>
    </row>
    <row r="33" spans="2:25" x14ac:dyDescent="0.25">
      <c r="B33" s="14" t="s">
        <v>148</v>
      </c>
      <c r="C33" s="15"/>
      <c r="D33" s="6">
        <f t="shared" si="0"/>
        <v>20000</v>
      </c>
      <c r="E33" s="20"/>
      <c r="F33" s="20"/>
      <c r="G33" s="20"/>
      <c r="H33" s="2">
        <v>10000</v>
      </c>
      <c r="I33" s="2">
        <v>5000</v>
      </c>
      <c r="J33" s="2">
        <v>2500</v>
      </c>
      <c r="K33" s="2">
        <v>2500</v>
      </c>
      <c r="L33" s="2"/>
      <c r="M33" s="2"/>
      <c r="N33" s="2"/>
      <c r="O33" s="2"/>
      <c r="P33" s="2"/>
      <c r="Q33" s="2"/>
      <c r="R33" s="2"/>
      <c r="S33" s="2"/>
      <c r="T33" s="2"/>
      <c r="U33" s="2"/>
      <c r="V33" s="2"/>
      <c r="W33" s="2"/>
      <c r="X33" s="2"/>
      <c r="Y33" s="2"/>
    </row>
    <row r="34" spans="2:25" x14ac:dyDescent="0.25">
      <c r="B34" s="14" t="s">
        <v>95</v>
      </c>
      <c r="C34" s="15"/>
      <c r="D34" s="15">
        <f t="shared" si="0"/>
        <v>15000</v>
      </c>
      <c r="E34" s="21"/>
      <c r="F34" s="21"/>
      <c r="G34" s="21"/>
      <c r="H34" s="2"/>
      <c r="I34" s="2"/>
      <c r="J34" s="2"/>
      <c r="K34" s="32"/>
      <c r="L34" s="2"/>
      <c r="M34" s="2"/>
      <c r="N34" s="2"/>
      <c r="O34" s="28"/>
      <c r="P34" s="2">
        <v>5000</v>
      </c>
      <c r="Q34" s="2">
        <v>5000</v>
      </c>
      <c r="R34" s="2">
        <v>5000</v>
      </c>
      <c r="S34" s="2"/>
      <c r="T34" s="2"/>
      <c r="U34" s="2"/>
      <c r="V34" s="2"/>
      <c r="W34" s="2"/>
      <c r="X34" s="2"/>
      <c r="Y34" s="5"/>
    </row>
    <row r="35" spans="2:25" x14ac:dyDescent="0.25">
      <c r="B35" s="14" t="s">
        <v>97</v>
      </c>
      <c r="C35" s="15"/>
      <c r="D35" s="15">
        <f t="shared" si="0"/>
        <v>15000</v>
      </c>
      <c r="E35" s="21"/>
      <c r="F35" s="21"/>
      <c r="G35" s="21"/>
      <c r="H35" s="2"/>
      <c r="I35" s="2"/>
      <c r="J35" s="2"/>
      <c r="K35" s="32"/>
      <c r="L35" s="2"/>
      <c r="M35" s="2"/>
      <c r="N35" s="2"/>
      <c r="O35" s="28"/>
      <c r="P35" s="2"/>
      <c r="Q35" s="2"/>
      <c r="R35" s="2"/>
      <c r="S35" s="2">
        <v>5000</v>
      </c>
      <c r="T35" s="2">
        <v>5000</v>
      </c>
      <c r="U35" s="2">
        <v>5000</v>
      </c>
      <c r="V35" s="2"/>
      <c r="W35" s="2"/>
      <c r="X35" s="2"/>
      <c r="Y35" s="5"/>
    </row>
    <row r="36" spans="2:25" ht="15.75" thickBot="1" x14ac:dyDescent="0.3">
      <c r="B36" s="8" t="s">
        <v>98</v>
      </c>
      <c r="D36">
        <f>SUM(D5:D35)</f>
        <v>264227.40000000002</v>
      </c>
      <c r="E36" s="19">
        <f>SUM(E5:E35)</f>
        <v>38401.4</v>
      </c>
      <c r="F36" s="19">
        <f t="shared" ref="F36:V36" si="2">SUM(F5:F35)</f>
        <v>15500</v>
      </c>
      <c r="G36" s="19">
        <f t="shared" si="2"/>
        <v>11600</v>
      </c>
      <c r="H36" s="2">
        <f t="shared" si="2"/>
        <v>152350</v>
      </c>
      <c r="I36" s="2">
        <f t="shared" si="2"/>
        <v>31400</v>
      </c>
      <c r="J36" s="2">
        <f>SUM(J5:J35)</f>
        <v>193900</v>
      </c>
      <c r="K36" s="32">
        <f t="shared" si="2"/>
        <v>28900</v>
      </c>
      <c r="L36" s="2">
        <f t="shared" si="2"/>
        <v>23650</v>
      </c>
      <c r="M36" s="2">
        <f t="shared" si="2"/>
        <v>3300</v>
      </c>
      <c r="N36" s="2">
        <f t="shared" si="2"/>
        <v>7700</v>
      </c>
      <c r="O36" s="28">
        <f t="shared" si="2"/>
        <v>2200</v>
      </c>
      <c r="P36" s="2">
        <f t="shared" si="2"/>
        <v>7200</v>
      </c>
      <c r="Q36" s="2">
        <f t="shared" si="2"/>
        <v>7200</v>
      </c>
      <c r="R36" s="2">
        <f t="shared" si="2"/>
        <v>7200</v>
      </c>
      <c r="S36" s="2">
        <f t="shared" si="2"/>
        <v>5000</v>
      </c>
      <c r="T36" s="2">
        <f t="shared" si="2"/>
        <v>5000</v>
      </c>
      <c r="U36" s="2">
        <f t="shared" si="2"/>
        <v>5000</v>
      </c>
      <c r="V36" s="2">
        <f t="shared" si="2"/>
        <v>0</v>
      </c>
      <c r="W36" s="2"/>
      <c r="X36" s="2"/>
      <c r="Y36" s="5"/>
    </row>
    <row r="37" spans="2:25" ht="15.75" thickBot="1" x14ac:dyDescent="0.3">
      <c r="B37" s="11" t="s">
        <v>176</v>
      </c>
      <c r="C37" s="12">
        <v>43</v>
      </c>
      <c r="D37" s="12"/>
      <c r="E37" s="22"/>
      <c r="F37" s="22"/>
      <c r="G37" s="22"/>
      <c r="H37" s="2"/>
      <c r="I37" s="2"/>
      <c r="J37" s="2"/>
      <c r="K37" s="32"/>
      <c r="L37" s="2"/>
      <c r="M37" s="2"/>
      <c r="N37" s="2"/>
      <c r="O37" s="28"/>
      <c r="P37" s="2"/>
      <c r="Q37" s="2"/>
      <c r="R37" s="2"/>
      <c r="S37" s="2"/>
      <c r="T37" s="2"/>
      <c r="U37" s="2"/>
      <c r="V37" s="2"/>
      <c r="W37" s="2"/>
      <c r="X37" s="2"/>
      <c r="Y37" s="5"/>
    </row>
    <row r="38" spans="2:25" ht="15.75" thickBot="1" x14ac:dyDescent="0.3">
      <c r="B38" s="9" t="s">
        <v>100</v>
      </c>
      <c r="C38" s="37"/>
      <c r="D38" s="37">
        <f>D36/C37</f>
        <v>6144.8232558139543</v>
      </c>
      <c r="E38" s="36"/>
      <c r="F38" s="36"/>
      <c r="G38" s="36"/>
      <c r="H38" s="2"/>
      <c r="I38" s="2"/>
      <c r="J38" s="2"/>
      <c r="K38" s="32"/>
      <c r="L38" s="2"/>
      <c r="M38" s="2"/>
      <c r="N38" s="2"/>
      <c r="O38" s="28"/>
      <c r="P38" s="2"/>
      <c r="Q38" s="2"/>
      <c r="R38" s="2"/>
      <c r="S38" s="2"/>
      <c r="T38" s="2"/>
      <c r="U38" s="2"/>
      <c r="V38" s="2"/>
      <c r="W38" s="2"/>
      <c r="X38" s="2"/>
      <c r="Y38" s="5"/>
    </row>
    <row r="39" spans="2:25" ht="15.75" thickBot="1" x14ac:dyDescent="0.3">
      <c r="B39" s="35" t="s">
        <v>100</v>
      </c>
      <c r="C39" s="10"/>
      <c r="D39" s="10"/>
      <c r="E39" s="23">
        <f>E36/C37</f>
        <v>893.05581395348838</v>
      </c>
      <c r="F39" s="23"/>
      <c r="G39" s="23" t="e">
        <f>G37/C38</f>
        <v>#DIV/0!</v>
      </c>
      <c r="H39" s="6"/>
      <c r="I39" s="6"/>
      <c r="J39" s="6"/>
      <c r="K39" s="33"/>
      <c r="L39" s="6"/>
      <c r="M39" s="6"/>
      <c r="N39" s="6"/>
      <c r="O39" s="29"/>
      <c r="P39" s="6"/>
      <c r="Q39" s="6"/>
      <c r="R39" s="6"/>
      <c r="S39" s="6"/>
      <c r="T39" s="6"/>
      <c r="U39" s="6"/>
      <c r="V39" s="6"/>
      <c r="W39" s="6"/>
      <c r="X39" s="6"/>
      <c r="Y3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977A-FA7C-49FF-9BE4-7FE4DB956F80}">
  <sheetPr>
    <pageSetUpPr fitToPage="1"/>
  </sheetPr>
  <dimension ref="B2:AR40"/>
  <sheetViews>
    <sheetView showGridLines="0" topLeftCell="D1" zoomScale="80" zoomScaleNormal="80" workbookViewId="0">
      <selection activeCell="AK13" sqref="AK13"/>
    </sheetView>
  </sheetViews>
  <sheetFormatPr defaultRowHeight="15" x14ac:dyDescent="0.25"/>
  <cols>
    <col min="1" max="1" width="4.42578125" customWidth="1"/>
    <col min="2" max="2" width="44.5703125" bestFit="1" customWidth="1"/>
    <col min="3" max="3" width="33.42578125" bestFit="1" customWidth="1"/>
    <col min="4" max="4" width="18.5703125" bestFit="1" customWidth="1"/>
    <col min="5" max="6" width="16.5703125" customWidth="1"/>
    <col min="7" max="7" width="17.5703125" bestFit="1" customWidth="1"/>
    <col min="8" max="8" width="16.5703125" customWidth="1"/>
    <col min="9" max="9" width="8.5703125" bestFit="1" customWidth="1"/>
    <col min="10" max="10" width="9.42578125" customWidth="1"/>
    <col min="11" max="11" width="9.42578125" bestFit="1" customWidth="1"/>
    <col min="12" max="16" width="8.5703125" bestFit="1" customWidth="1"/>
    <col min="17" max="17" width="10" customWidth="1"/>
    <col min="21" max="22" width="11.42578125" customWidth="1"/>
    <col min="23" max="23" width="11.42578125" bestFit="1" customWidth="1"/>
    <col min="26" max="26" width="11.5703125" bestFit="1" customWidth="1"/>
    <col min="35" max="35" width="8.5703125" bestFit="1" customWidth="1"/>
  </cols>
  <sheetData>
    <row r="2" spans="2:44" x14ac:dyDescent="0.25">
      <c r="S2" s="944"/>
      <c r="T2" s="944" t="s">
        <v>291</v>
      </c>
    </row>
    <row r="3" spans="2:44" ht="45" x14ac:dyDescent="0.25">
      <c r="B3" s="1" t="s">
        <v>292</v>
      </c>
      <c r="L3" s="1"/>
      <c r="M3" s="1"/>
      <c r="O3" s="1"/>
      <c r="P3" s="229" t="s">
        <v>165</v>
      </c>
      <c r="R3" s="1"/>
      <c r="S3" s="945"/>
      <c r="T3" s="945"/>
      <c r="U3" s="117" t="s">
        <v>293</v>
      </c>
      <c r="Z3" s="117"/>
      <c r="AA3" s="117" t="s">
        <v>294</v>
      </c>
      <c r="AC3" s="117" t="s">
        <v>295</v>
      </c>
      <c r="AD3" s="1"/>
      <c r="AM3" s="1" t="s">
        <v>296</v>
      </c>
    </row>
    <row r="4" spans="2:44" ht="66.75" customHeight="1" x14ac:dyDescent="0.25">
      <c r="B4" s="11" t="s">
        <v>16</v>
      </c>
      <c r="C4" s="12" t="s">
        <v>17</v>
      </c>
      <c r="D4" s="120" t="s">
        <v>184</v>
      </c>
      <c r="E4" s="121" t="s">
        <v>185</v>
      </c>
      <c r="F4" s="41" t="s">
        <v>186</v>
      </c>
      <c r="G4" s="134" t="s">
        <v>187</v>
      </c>
      <c r="H4" s="121" t="s">
        <v>111</v>
      </c>
      <c r="I4" s="142">
        <v>44592</v>
      </c>
      <c r="J4" s="143">
        <v>44620</v>
      </c>
      <c r="K4" s="143">
        <v>44651</v>
      </c>
      <c r="L4" s="143">
        <v>44681</v>
      </c>
      <c r="M4" s="143">
        <v>44712</v>
      </c>
      <c r="N4" s="143">
        <v>44742</v>
      </c>
      <c r="O4" s="143">
        <v>44773</v>
      </c>
      <c r="P4" s="143">
        <v>44804</v>
      </c>
      <c r="Q4" s="143">
        <v>44834</v>
      </c>
      <c r="R4" s="143">
        <v>44865</v>
      </c>
      <c r="S4" s="143">
        <v>44895</v>
      </c>
      <c r="T4" s="143">
        <v>44926</v>
      </c>
      <c r="U4" s="144">
        <v>44957</v>
      </c>
      <c r="V4" s="144">
        <v>44985</v>
      </c>
      <c r="W4" s="144">
        <v>45016</v>
      </c>
      <c r="X4" s="144">
        <v>45046</v>
      </c>
      <c r="Y4" s="144">
        <v>45077</v>
      </c>
      <c r="Z4" s="144">
        <v>45107</v>
      </c>
      <c r="AA4" s="144">
        <v>45138</v>
      </c>
      <c r="AB4" s="144">
        <v>45169</v>
      </c>
      <c r="AC4" s="144">
        <v>45199</v>
      </c>
      <c r="AD4" s="144">
        <v>45230</v>
      </c>
      <c r="AE4" s="144">
        <v>45260</v>
      </c>
      <c r="AF4" s="144">
        <v>45291</v>
      </c>
      <c r="AG4" s="143">
        <v>45322</v>
      </c>
      <c r="AH4" s="143">
        <v>45351</v>
      </c>
      <c r="AI4" s="143">
        <v>45382</v>
      </c>
      <c r="AJ4" s="143">
        <v>45412</v>
      </c>
      <c r="AK4" s="143">
        <v>45443</v>
      </c>
      <c r="AL4" s="143">
        <v>45473</v>
      </c>
      <c r="AM4" s="143">
        <v>45504</v>
      </c>
      <c r="AN4" s="143">
        <v>45535</v>
      </c>
      <c r="AO4" s="143">
        <v>45565</v>
      </c>
      <c r="AP4" s="143">
        <v>45596</v>
      </c>
      <c r="AQ4" s="143">
        <v>45626</v>
      </c>
      <c r="AR4" s="154">
        <v>45657</v>
      </c>
    </row>
    <row r="5" spans="2:44" x14ac:dyDescent="0.25">
      <c r="B5" s="8" t="s">
        <v>29</v>
      </c>
      <c r="C5" t="s">
        <v>297</v>
      </c>
      <c r="D5" s="19">
        <v>33540</v>
      </c>
      <c r="E5" s="19">
        <f t="shared" ref="E5:E33" si="0">SUM($I5:$AR5)</f>
        <v>17534.95</v>
      </c>
      <c r="F5" s="19">
        <v>27950</v>
      </c>
      <c r="G5" s="19">
        <f t="shared" ref="G5:G33" ca="1" si="1">SUMIF($I$4:$AR$4,"&lt;"&amp;TODAY(),$I5:$AR5)</f>
        <v>17534.95</v>
      </c>
      <c r="H5" s="78" t="s">
        <v>298</v>
      </c>
      <c r="I5" s="153">
        <v>27950</v>
      </c>
      <c r="J5" s="2"/>
      <c r="K5" s="2"/>
      <c r="L5" s="2"/>
      <c r="M5" s="2"/>
      <c r="AB5" s="26">
        <v>1342</v>
      </c>
      <c r="AF5" s="26">
        <v>-11757.05</v>
      </c>
      <c r="AR5" s="131"/>
    </row>
    <row r="6" spans="2:44" x14ac:dyDescent="0.25">
      <c r="B6" s="8"/>
      <c r="C6" t="s">
        <v>111</v>
      </c>
      <c r="D6" s="19">
        <v>20000</v>
      </c>
      <c r="E6" s="19">
        <f t="shared" si="0"/>
        <v>29522.690000000006</v>
      </c>
      <c r="F6" s="19"/>
      <c r="G6" s="19">
        <f t="shared" ca="1" si="1"/>
        <v>29522.690000000006</v>
      </c>
      <c r="H6" s="78" t="s">
        <v>117</v>
      </c>
      <c r="I6" s="78"/>
      <c r="J6" s="2"/>
      <c r="K6" s="2"/>
      <c r="L6" s="2"/>
      <c r="M6" s="2"/>
      <c r="N6" s="2"/>
      <c r="O6" s="2"/>
      <c r="P6" s="2"/>
      <c r="Q6" s="2"/>
      <c r="R6" s="2"/>
      <c r="S6" s="28">
        <v>2177.46</v>
      </c>
      <c r="T6" s="26">
        <f>1300+5189.92</f>
        <v>6489.92</v>
      </c>
      <c r="U6" s="28">
        <v>5638.73</v>
      </c>
      <c r="V6" s="28">
        <v>331.69</v>
      </c>
      <c r="W6" s="2"/>
      <c r="X6" s="2"/>
      <c r="Y6" s="278">
        <v>1748</v>
      </c>
      <c r="Z6" s="278">
        <v>3131.51</v>
      </c>
      <c r="AA6" s="28">
        <v>2673</v>
      </c>
      <c r="AB6" s="28">
        <v>2905.21</v>
      </c>
      <c r="AC6" s="2"/>
      <c r="AD6" s="2"/>
      <c r="AE6" s="28">
        <v>120.97</v>
      </c>
      <c r="AF6" s="28">
        <v>120.97</v>
      </c>
      <c r="AG6" s="28">
        <v>241.94</v>
      </c>
      <c r="AI6" s="28">
        <v>483.88</v>
      </c>
      <c r="AJ6" s="240">
        <v>1548.25</v>
      </c>
      <c r="AK6" s="240">
        <v>1911.16</v>
      </c>
      <c r="AR6" s="131"/>
    </row>
    <row r="7" spans="2:44" x14ac:dyDescent="0.25">
      <c r="B7" s="8"/>
      <c r="C7" t="s">
        <v>32</v>
      </c>
      <c r="D7" s="19">
        <v>603845.69999999995</v>
      </c>
      <c r="E7" s="19">
        <f>SUM($I7:$AR7)</f>
        <v>603845.69999999995</v>
      </c>
      <c r="F7" s="19">
        <v>603846</v>
      </c>
      <c r="G7" s="19">
        <f ca="1">SUMIF($I$4:$AR$4,"&lt;"&amp;TODAY(),$I7:$AR7)</f>
        <v>603845.69999999995</v>
      </c>
      <c r="H7" s="78"/>
      <c r="I7" s="78"/>
      <c r="J7" s="2"/>
      <c r="K7" s="28">
        <v>77310</v>
      </c>
      <c r="L7" s="2"/>
      <c r="M7" s="2"/>
      <c r="N7" s="2"/>
      <c r="O7" s="2"/>
      <c r="P7" s="2"/>
      <c r="Q7" s="2">
        <v>31778.7</v>
      </c>
      <c r="R7" s="2"/>
      <c r="S7" s="2"/>
      <c r="T7" s="2"/>
      <c r="U7" s="2"/>
      <c r="V7" s="2"/>
      <c r="Y7" s="241">
        <v>122251</v>
      </c>
      <c r="Z7" s="2"/>
      <c r="AA7" s="2"/>
      <c r="AB7" s="2"/>
      <c r="AC7" s="2"/>
      <c r="AD7" s="2">
        <v>77310</v>
      </c>
      <c r="AK7" s="2">
        <v>295196</v>
      </c>
      <c r="AR7" s="131"/>
    </row>
    <row r="8" spans="2:44" x14ac:dyDescent="0.25">
      <c r="B8" s="13"/>
      <c r="C8" s="6" t="s">
        <v>148</v>
      </c>
      <c r="D8" s="20">
        <v>0</v>
      </c>
      <c r="E8" s="20">
        <f t="shared" si="0"/>
        <v>0</v>
      </c>
      <c r="F8" s="20">
        <v>0</v>
      </c>
      <c r="G8" s="20">
        <f t="shared" ca="1" si="1"/>
        <v>0</v>
      </c>
      <c r="H8" s="79"/>
      <c r="I8" s="78"/>
      <c r="J8" s="2"/>
      <c r="K8" s="2"/>
      <c r="L8" s="2"/>
      <c r="M8" s="2"/>
      <c r="N8" s="2"/>
      <c r="O8" s="2"/>
      <c r="P8" s="2"/>
      <c r="Q8" s="2"/>
      <c r="R8" s="2"/>
      <c r="S8" s="2"/>
      <c r="T8" s="2"/>
      <c r="U8" s="2"/>
      <c r="V8" s="2"/>
      <c r="Y8" s="2"/>
      <c r="Z8" s="2"/>
      <c r="AA8" s="2"/>
      <c r="AB8" s="2"/>
      <c r="AC8" s="2"/>
      <c r="AD8" s="2"/>
      <c r="AE8" s="2"/>
      <c r="AF8" s="2"/>
      <c r="AG8" s="2"/>
      <c r="AR8" s="131"/>
    </row>
    <row r="9" spans="2:44" x14ac:dyDescent="0.25">
      <c r="B9" s="13"/>
      <c r="C9" s="6" t="s">
        <v>299</v>
      </c>
      <c r="D9" s="20"/>
      <c r="E9" s="20"/>
      <c r="F9" s="20">
        <v>3471</v>
      </c>
      <c r="G9" s="20"/>
      <c r="H9" s="79" t="s">
        <v>300</v>
      </c>
      <c r="I9" s="78"/>
      <c r="J9" s="2"/>
      <c r="K9" s="2"/>
      <c r="L9" s="2"/>
      <c r="M9" s="2"/>
      <c r="N9" s="2"/>
      <c r="O9" s="2"/>
      <c r="P9" s="2"/>
      <c r="Q9" s="2"/>
      <c r="R9" s="2"/>
      <c r="S9" s="2"/>
      <c r="T9" s="2"/>
      <c r="U9" s="2"/>
      <c r="V9" s="2"/>
      <c r="Y9" s="2"/>
      <c r="Z9" s="2"/>
      <c r="AA9" s="2"/>
      <c r="AB9" s="2"/>
      <c r="AC9" s="28">
        <v>3471</v>
      </c>
      <c r="AD9" s="2"/>
      <c r="AE9" s="2"/>
      <c r="AF9" s="2"/>
      <c r="AG9" s="2"/>
      <c r="AR9" s="131"/>
    </row>
    <row r="10" spans="2:44" x14ac:dyDescent="0.25">
      <c r="B10" s="14" t="s">
        <v>35</v>
      </c>
      <c r="C10" s="15" t="s">
        <v>35</v>
      </c>
      <c r="D10" s="21">
        <v>34000</v>
      </c>
      <c r="E10" s="21">
        <f t="shared" si="0"/>
        <v>42322.3</v>
      </c>
      <c r="F10" s="21"/>
      <c r="G10" s="21">
        <f t="shared" ca="1" si="1"/>
        <v>42322.3</v>
      </c>
      <c r="H10" s="80"/>
      <c r="I10" s="8"/>
      <c r="J10" s="26">
        <v>4590</v>
      </c>
      <c r="N10" s="28">
        <v>4080</v>
      </c>
      <c r="O10" s="2"/>
      <c r="Q10" s="28">
        <v>7240</v>
      </c>
      <c r="R10" s="28">
        <v>7500</v>
      </c>
      <c r="T10" s="28">
        <v>7500</v>
      </c>
      <c r="U10" s="28">
        <v>1412.3</v>
      </c>
      <c r="V10" s="2"/>
      <c r="Y10" s="2"/>
      <c r="Z10" s="2"/>
      <c r="AA10" s="2"/>
      <c r="AB10" s="2"/>
      <c r="AC10" s="2"/>
      <c r="AD10" s="2"/>
      <c r="AE10" s="2"/>
      <c r="AF10" s="2"/>
      <c r="AG10" s="2"/>
      <c r="AH10" s="2"/>
      <c r="AI10" s="2"/>
      <c r="AJ10" s="2">
        <v>10000</v>
      </c>
      <c r="AR10" s="131"/>
    </row>
    <row r="11" spans="2:44" x14ac:dyDescent="0.25">
      <c r="B11" s="14" t="s">
        <v>301</v>
      </c>
      <c r="C11" s="313" t="s">
        <v>205</v>
      </c>
      <c r="D11" s="21">
        <v>3000</v>
      </c>
      <c r="E11" s="21">
        <f t="shared" si="0"/>
        <v>2610</v>
      </c>
      <c r="F11" s="21"/>
      <c r="G11" s="21">
        <f t="shared" ca="1" si="1"/>
        <v>2610</v>
      </c>
      <c r="H11" s="80"/>
      <c r="I11" s="153">
        <v>1000</v>
      </c>
      <c r="J11" s="2"/>
      <c r="N11" s="2"/>
      <c r="O11" s="2"/>
      <c r="P11" s="2"/>
      <c r="S11" s="2"/>
      <c r="T11" s="2"/>
      <c r="U11" s="2"/>
      <c r="V11" s="2"/>
      <c r="Y11" s="2"/>
      <c r="Z11" s="2"/>
      <c r="AA11" s="2"/>
      <c r="AB11" s="2"/>
      <c r="AC11" s="2"/>
      <c r="AD11" s="2"/>
      <c r="AE11" s="28">
        <v>1610</v>
      </c>
      <c r="AF11" s="2"/>
      <c r="AG11" s="2"/>
      <c r="AH11" s="2"/>
      <c r="AI11" s="2"/>
      <c r="AJ11" s="2"/>
      <c r="AK11" s="2"/>
      <c r="AL11" s="2"/>
      <c r="AR11" s="131"/>
    </row>
    <row r="12" spans="2:44" x14ac:dyDescent="0.25">
      <c r="B12" s="14" t="s">
        <v>37</v>
      </c>
      <c r="C12" s="15" t="s">
        <v>302</v>
      </c>
      <c r="D12" s="21">
        <v>105000</v>
      </c>
      <c r="E12" s="21">
        <f t="shared" si="0"/>
        <v>105000</v>
      </c>
      <c r="F12" s="21">
        <v>100000</v>
      </c>
      <c r="G12" s="21">
        <f t="shared" ca="1" si="1"/>
        <v>100000</v>
      </c>
      <c r="H12" s="80"/>
      <c r="I12" s="78"/>
      <c r="J12" s="2"/>
      <c r="P12" s="2"/>
      <c r="S12" s="2"/>
      <c r="T12" s="2"/>
      <c r="AA12" s="2">
        <v>100000</v>
      </c>
      <c r="AD12" s="2"/>
      <c r="AE12" s="2"/>
      <c r="AF12" s="2"/>
      <c r="AG12" s="2"/>
      <c r="AH12" s="2"/>
      <c r="AI12" s="2"/>
      <c r="AJ12" s="2"/>
      <c r="AK12" s="2"/>
      <c r="AL12" s="2"/>
      <c r="AM12" s="2"/>
      <c r="AN12" s="2"/>
      <c r="AO12" s="2">
        <v>5000</v>
      </c>
      <c r="AP12" s="2"/>
      <c r="AR12" s="131"/>
    </row>
    <row r="13" spans="2:44" x14ac:dyDescent="0.25">
      <c r="B13" s="14" t="s">
        <v>40</v>
      </c>
      <c r="C13" s="15" t="s">
        <v>40</v>
      </c>
      <c r="D13" s="21">
        <v>40000</v>
      </c>
      <c r="E13" s="21">
        <f t="shared" si="0"/>
        <v>46895.9</v>
      </c>
      <c r="F13" s="21">
        <f>31810+6000</f>
        <v>37810</v>
      </c>
      <c r="G13" s="21">
        <f ca="1">SUMIF($I$4:$AR$4,"&lt;"&amp;TODAY(),$I13:$AR13)</f>
        <v>46895.9</v>
      </c>
      <c r="H13" s="80" t="s">
        <v>303</v>
      </c>
      <c r="I13" s="238">
        <f>1846.92-307.82</f>
        <v>1539.1000000000001</v>
      </c>
      <c r="J13" s="2"/>
      <c r="R13" s="28">
        <v>2380</v>
      </c>
      <c r="T13" s="28">
        <v>2660</v>
      </c>
      <c r="U13" s="28">
        <v>3796.8</v>
      </c>
      <c r="V13" s="2"/>
      <c r="Y13" s="272">
        <v>3760</v>
      </c>
      <c r="AA13" s="28">
        <v>4580</v>
      </c>
      <c r="AB13" s="28">
        <v>8720</v>
      </c>
      <c r="AC13" s="28">
        <f>4200+4290</f>
        <v>8490</v>
      </c>
      <c r="AD13" s="2"/>
      <c r="AE13" s="28">
        <v>1440</v>
      </c>
      <c r="AF13" s="28">
        <f>1440+1440</f>
        <v>2880</v>
      </c>
      <c r="AG13" s="28">
        <v>1460</v>
      </c>
      <c r="AH13" s="28">
        <v>530</v>
      </c>
      <c r="AI13" s="2">
        <v>1500</v>
      </c>
      <c r="AJ13" s="2">
        <v>1500</v>
      </c>
      <c r="AK13" s="28">
        <v>970</v>
      </c>
      <c r="AL13" s="28">
        <v>690</v>
      </c>
      <c r="AM13" s="2"/>
      <c r="AN13" s="2"/>
      <c r="AO13" s="2"/>
      <c r="AP13" s="2"/>
      <c r="AQ13" s="2"/>
      <c r="AR13" s="131"/>
    </row>
    <row r="14" spans="2:44" x14ac:dyDescent="0.25">
      <c r="B14" s="16" t="s">
        <v>42</v>
      </c>
      <c r="C14" t="s">
        <v>43</v>
      </c>
      <c r="D14" s="19">
        <v>8000</v>
      </c>
      <c r="E14" s="19">
        <f t="shared" si="0"/>
        <v>6705</v>
      </c>
      <c r="F14" s="19">
        <f>2250+1925</f>
        <v>4175</v>
      </c>
      <c r="G14" s="19">
        <f t="shared" ca="1" si="1"/>
        <v>4705</v>
      </c>
      <c r="H14" s="78" t="s">
        <v>304</v>
      </c>
      <c r="I14" s="78"/>
      <c r="J14" s="2"/>
      <c r="P14" s="2"/>
      <c r="T14" s="2"/>
      <c r="U14" s="28">
        <v>1925</v>
      </c>
      <c r="V14" s="2"/>
      <c r="AA14" s="2"/>
      <c r="AB14">
        <v>200</v>
      </c>
      <c r="AC14" s="2"/>
      <c r="AD14" s="28">
        <v>580</v>
      </c>
      <c r="AE14" s="2">
        <v>2000</v>
      </c>
      <c r="AF14" s="2"/>
      <c r="AG14" s="2"/>
      <c r="AH14" s="2"/>
      <c r="AI14" s="2"/>
      <c r="AJ14" s="2"/>
      <c r="AK14" s="2"/>
      <c r="AL14" s="2"/>
      <c r="AM14" s="2"/>
      <c r="AN14" s="2">
        <v>2000</v>
      </c>
      <c r="AO14" s="2"/>
      <c r="AP14" s="2"/>
      <c r="AR14" s="131"/>
    </row>
    <row r="15" spans="2:44" x14ac:dyDescent="0.25">
      <c r="B15" s="16"/>
      <c r="C15" t="s">
        <v>44</v>
      </c>
      <c r="D15" s="19">
        <v>3000</v>
      </c>
      <c r="E15" s="19">
        <f t="shared" si="0"/>
        <v>3685</v>
      </c>
      <c r="F15" s="19">
        <v>2640</v>
      </c>
      <c r="G15" s="19">
        <f t="shared" ca="1" si="1"/>
        <v>3685</v>
      </c>
      <c r="H15" s="78" t="s">
        <v>305</v>
      </c>
      <c r="I15" s="78"/>
      <c r="J15" s="2"/>
      <c r="P15" s="2"/>
      <c r="R15" s="26">
        <v>2640</v>
      </c>
      <c r="T15" s="2"/>
      <c r="U15" s="2"/>
      <c r="V15" s="2"/>
      <c r="Y15" s="2"/>
      <c r="AA15" s="28">
        <v>1045</v>
      </c>
      <c r="AB15" s="2"/>
      <c r="AC15" s="2"/>
      <c r="AD15" s="2"/>
      <c r="AE15" s="2"/>
      <c r="AF15" s="2"/>
      <c r="AG15" s="2"/>
      <c r="AH15" s="2"/>
      <c r="AI15" s="2"/>
      <c r="AJ15" s="2"/>
      <c r="AK15" s="2"/>
      <c r="AL15" s="2"/>
      <c r="AM15" s="2"/>
      <c r="AN15" s="2"/>
      <c r="AO15" s="2"/>
      <c r="AR15" s="131"/>
    </row>
    <row r="16" spans="2:44" x14ac:dyDescent="0.25">
      <c r="B16" s="16"/>
      <c r="C16" t="s">
        <v>46</v>
      </c>
      <c r="D16" s="19">
        <v>4000</v>
      </c>
      <c r="E16" s="19">
        <f t="shared" si="0"/>
        <v>3965</v>
      </c>
      <c r="F16" s="19">
        <v>1450</v>
      </c>
      <c r="G16" s="19">
        <f t="shared" ca="1" si="1"/>
        <v>3965</v>
      </c>
      <c r="H16" s="78" t="s">
        <v>306</v>
      </c>
      <c r="I16" s="78"/>
      <c r="J16" s="2"/>
      <c r="P16" s="2"/>
      <c r="R16" s="26">
        <v>3965</v>
      </c>
      <c r="T16" s="2"/>
      <c r="U16" s="2"/>
      <c r="V16" s="2"/>
      <c r="Y16" s="2"/>
      <c r="AA16" s="2"/>
      <c r="AB16" s="2"/>
      <c r="AC16" s="2"/>
      <c r="AD16" s="2"/>
      <c r="AE16" s="2"/>
      <c r="AF16" s="2"/>
      <c r="AG16" s="2"/>
      <c r="AH16" s="2"/>
      <c r="AI16" s="2"/>
      <c r="AJ16" s="2"/>
      <c r="AK16" s="2"/>
      <c r="AL16" s="2"/>
      <c r="AM16" s="2"/>
      <c r="AN16" s="2"/>
      <c r="AO16" s="2"/>
      <c r="AR16" s="131"/>
    </row>
    <row r="17" spans="2:44" x14ac:dyDescent="0.25">
      <c r="B17" s="16"/>
      <c r="C17" t="s">
        <v>47</v>
      </c>
      <c r="D17" s="19">
        <v>8000</v>
      </c>
      <c r="E17" s="19">
        <f t="shared" si="0"/>
        <v>11369</v>
      </c>
      <c r="F17" s="19">
        <v>5240</v>
      </c>
      <c r="G17" s="19">
        <f t="shared" ca="1" si="1"/>
        <v>11369</v>
      </c>
      <c r="H17" s="78" t="s">
        <v>307</v>
      </c>
      <c r="I17" s="130">
        <v>1159</v>
      </c>
      <c r="J17" s="2"/>
      <c r="P17" s="2"/>
      <c r="T17" s="2"/>
      <c r="U17" s="2"/>
      <c r="V17" s="2"/>
      <c r="X17" s="272">
        <v>2060</v>
      </c>
      <c r="Y17" s="272">
        <v>2250</v>
      </c>
      <c r="AA17" s="2"/>
      <c r="AB17" s="2"/>
      <c r="AC17" s="2"/>
      <c r="AD17" s="2"/>
      <c r="AE17" s="2"/>
      <c r="AF17" s="2">
        <v>900</v>
      </c>
      <c r="AG17" s="2"/>
      <c r="AH17" s="2"/>
      <c r="AI17" s="2"/>
      <c r="AJ17" s="2"/>
      <c r="AK17" s="2"/>
      <c r="AL17" s="2">
        <v>5000</v>
      </c>
      <c r="AM17" s="2"/>
      <c r="AN17" s="2"/>
      <c r="AO17" s="2"/>
      <c r="AR17" s="131"/>
    </row>
    <row r="18" spans="2:44" x14ac:dyDescent="0.25">
      <c r="B18" s="16"/>
      <c r="C18" t="s">
        <v>308</v>
      </c>
      <c r="D18" s="19">
        <v>5000</v>
      </c>
      <c r="E18" s="19"/>
      <c r="F18" s="19"/>
      <c r="G18" s="19">
        <f t="shared" ca="1" si="1"/>
        <v>15250</v>
      </c>
      <c r="H18" s="78" t="s">
        <v>309</v>
      </c>
      <c r="I18" s="78"/>
      <c r="J18" s="2"/>
      <c r="P18" s="2"/>
      <c r="T18" s="2"/>
      <c r="U18" s="2"/>
      <c r="X18" s="272">
        <v>1250</v>
      </c>
      <c r="Y18" s="2"/>
      <c r="Z18">
        <v>14000</v>
      </c>
      <c r="AA18" s="2"/>
      <c r="AB18" s="2"/>
      <c r="AC18" s="2"/>
      <c r="AD18" s="2"/>
      <c r="AE18" s="2"/>
      <c r="AF18" s="2"/>
      <c r="AG18" s="2"/>
      <c r="AH18" s="2"/>
      <c r="AI18" s="2"/>
      <c r="AJ18" s="2"/>
      <c r="AK18" s="2"/>
      <c r="AL18" s="2"/>
      <c r="AM18" s="2"/>
      <c r="AN18" s="2"/>
      <c r="AO18" s="2"/>
      <c r="AR18" s="131"/>
    </row>
    <row r="19" spans="2:44" x14ac:dyDescent="0.25">
      <c r="B19" s="16"/>
      <c r="C19" t="s">
        <v>310</v>
      </c>
      <c r="D19" s="19">
        <v>6000</v>
      </c>
      <c r="E19" s="19">
        <f t="shared" si="0"/>
        <v>5242.5</v>
      </c>
      <c r="F19" s="19">
        <v>2250</v>
      </c>
      <c r="G19" s="19">
        <f t="shared" ca="1" si="1"/>
        <v>5242.5</v>
      </c>
      <c r="H19" s="78" t="s">
        <v>307</v>
      </c>
      <c r="I19" s="130">
        <v>2137.5</v>
      </c>
      <c r="J19" s="2"/>
      <c r="M19" s="26">
        <v>3105</v>
      </c>
      <c r="P19" s="2"/>
      <c r="T19" s="2"/>
      <c r="U19" s="2"/>
      <c r="V19" s="2"/>
      <c r="Y19" s="2"/>
      <c r="AA19" s="2"/>
      <c r="AB19" s="2"/>
      <c r="AC19" s="2"/>
      <c r="AD19" s="2"/>
      <c r="AE19" s="2"/>
      <c r="AF19" s="2"/>
      <c r="AG19" s="2"/>
      <c r="AH19" s="2"/>
      <c r="AI19" s="2"/>
      <c r="AJ19" s="2"/>
      <c r="AK19" s="2"/>
      <c r="AL19" s="2"/>
      <c r="AM19" s="2"/>
      <c r="AN19" s="2"/>
      <c r="AO19" s="2"/>
      <c r="AR19" s="131"/>
    </row>
    <row r="20" spans="2:44" x14ac:dyDescent="0.25">
      <c r="B20" s="16"/>
      <c r="C20" t="s">
        <v>171</v>
      </c>
      <c r="D20" s="19">
        <v>30000</v>
      </c>
      <c r="E20" s="19">
        <f t="shared" si="0"/>
        <v>30000</v>
      </c>
      <c r="F20" s="19"/>
      <c r="G20" s="19">
        <f t="shared" ca="1" si="1"/>
        <v>0</v>
      </c>
      <c r="H20" s="78" t="s">
        <v>199</v>
      </c>
      <c r="I20" s="78"/>
      <c r="J20" s="2"/>
      <c r="P20" s="2"/>
      <c r="T20" s="2"/>
      <c r="U20" s="2"/>
      <c r="V20" s="2"/>
      <c r="Y20" s="2"/>
      <c r="AA20" s="2"/>
      <c r="AB20" s="2"/>
      <c r="AC20" s="2"/>
      <c r="AD20" s="2"/>
      <c r="AF20" s="2"/>
      <c r="AG20" s="2"/>
      <c r="AH20" s="2"/>
      <c r="AI20" s="2"/>
      <c r="AJ20" s="2"/>
      <c r="AK20" s="2"/>
      <c r="AL20" s="2"/>
      <c r="AM20" s="2"/>
      <c r="AN20" s="2"/>
      <c r="AO20" s="2"/>
      <c r="AP20" s="2">
        <v>30000</v>
      </c>
      <c r="AR20" s="131"/>
    </row>
    <row r="21" spans="2:44" x14ac:dyDescent="0.25">
      <c r="B21" s="16"/>
      <c r="C21" t="s">
        <v>172</v>
      </c>
      <c r="D21" s="19">
        <v>6000</v>
      </c>
      <c r="E21" s="19">
        <f t="shared" si="0"/>
        <v>4000</v>
      </c>
      <c r="F21" s="19"/>
      <c r="G21" s="19">
        <f t="shared" ca="1" si="1"/>
        <v>2000</v>
      </c>
      <c r="H21" s="78" t="s">
        <v>199</v>
      </c>
      <c r="I21" s="78"/>
      <c r="J21" s="2"/>
      <c r="P21" s="2"/>
      <c r="T21" s="2"/>
      <c r="U21" s="2"/>
      <c r="V21" s="2"/>
      <c r="AA21" s="2">
        <v>2000</v>
      </c>
      <c r="AC21" s="2"/>
      <c r="AD21" s="2"/>
      <c r="AE21" s="2"/>
      <c r="AF21" s="2"/>
      <c r="AG21" s="2"/>
      <c r="AH21" s="2"/>
      <c r="AI21" s="2"/>
      <c r="AJ21" s="2"/>
      <c r="AK21" s="2"/>
      <c r="AL21" s="2"/>
      <c r="AM21" s="2"/>
      <c r="AN21" s="2">
        <v>2000</v>
      </c>
      <c r="AO21" s="2"/>
      <c r="AR21" s="131"/>
    </row>
    <row r="22" spans="2:44" x14ac:dyDescent="0.25">
      <c r="B22" s="16"/>
      <c r="C22" t="s">
        <v>54</v>
      </c>
      <c r="D22" s="19">
        <v>11000</v>
      </c>
      <c r="E22" s="19">
        <f t="shared" si="0"/>
        <v>14025</v>
      </c>
      <c r="F22" s="19">
        <v>6245</v>
      </c>
      <c r="G22" s="19">
        <f t="shared" ca="1" si="1"/>
        <v>9025</v>
      </c>
      <c r="H22" s="78" t="s">
        <v>305</v>
      </c>
      <c r="I22" s="78"/>
      <c r="J22" s="2"/>
      <c r="P22" s="2"/>
      <c r="R22" s="26">
        <v>550</v>
      </c>
      <c r="T22" s="2"/>
      <c r="U22" s="28">
        <v>750</v>
      </c>
      <c r="V22" s="2"/>
      <c r="Y22" s="272">
        <v>3500</v>
      </c>
      <c r="AA22">
        <v>3000</v>
      </c>
      <c r="AB22" s="26">
        <v>475</v>
      </c>
      <c r="AC22" s="2"/>
      <c r="AD22" s="2"/>
      <c r="AE22" s="2"/>
      <c r="AF22" s="2">
        <v>750</v>
      </c>
      <c r="AG22" s="2"/>
      <c r="AH22" s="2"/>
      <c r="AI22" s="2"/>
      <c r="AJ22" s="2"/>
      <c r="AK22" s="2"/>
      <c r="AL22" s="2"/>
      <c r="AM22" s="2"/>
      <c r="AN22" s="2">
        <v>5000</v>
      </c>
      <c r="AO22" s="2"/>
      <c r="AR22" s="131"/>
    </row>
    <row r="23" spans="2:44" x14ac:dyDescent="0.25">
      <c r="B23" s="16"/>
      <c r="C23" t="s">
        <v>56</v>
      </c>
      <c r="D23" s="19">
        <v>22000</v>
      </c>
      <c r="E23" s="19">
        <f t="shared" si="0"/>
        <v>19975.5</v>
      </c>
      <c r="F23" s="19">
        <f>1950+8610</f>
        <v>10560</v>
      </c>
      <c r="G23" s="19">
        <f ca="1">SUMIF($I$4:$AR$4,"&lt;"&amp;TODAY(),$I23:$AR23)</f>
        <v>14975.5</v>
      </c>
      <c r="H23" s="78" t="s">
        <v>307</v>
      </c>
      <c r="I23" s="130">
        <f>1852.5+184</f>
        <v>2036.5</v>
      </c>
      <c r="J23" s="2"/>
      <c r="P23" s="26">
        <v>4418</v>
      </c>
      <c r="Q23" s="26">
        <v>2186</v>
      </c>
      <c r="R23" s="26">
        <v>1100</v>
      </c>
      <c r="T23" s="2"/>
      <c r="U23" s="2"/>
      <c r="V23" s="2"/>
      <c r="Z23" s="272">
        <v>3520</v>
      </c>
      <c r="AA23" s="2"/>
      <c r="AB23" s="311">
        <f>515+470+180+180+180+190</f>
        <v>1715</v>
      </c>
      <c r="AD23" s="2"/>
      <c r="AE23" s="2"/>
      <c r="AF23" s="2"/>
      <c r="AG23" s="2"/>
      <c r="AH23" s="2"/>
      <c r="AI23" s="2"/>
      <c r="AJ23" s="2"/>
      <c r="AK23" s="2"/>
      <c r="AL23" s="2"/>
      <c r="AM23" s="2"/>
      <c r="AN23" s="2">
        <v>5000</v>
      </c>
      <c r="AR23" s="131"/>
    </row>
    <row r="24" spans="2:44" x14ac:dyDescent="0.25">
      <c r="B24" s="16"/>
      <c r="C24" t="s">
        <v>311</v>
      </c>
      <c r="D24" s="19"/>
      <c r="E24" s="19">
        <f t="shared" si="0"/>
        <v>10850</v>
      </c>
      <c r="F24" s="19">
        <v>5425</v>
      </c>
      <c r="G24" s="19">
        <f ca="1">SUMIF($I$4:$AR$4,"&lt;"&amp;TODAY(),$I24:$AR24)</f>
        <v>10850</v>
      </c>
      <c r="H24" s="78" t="s">
        <v>307</v>
      </c>
      <c r="I24" s="130"/>
      <c r="J24" s="2"/>
      <c r="P24" s="26"/>
      <c r="Q24" s="26"/>
      <c r="R24" s="26"/>
      <c r="T24" s="2"/>
      <c r="U24" s="2"/>
      <c r="V24" s="2"/>
      <c r="AA24" s="28">
        <v>5425</v>
      </c>
      <c r="AB24" s="2">
        <v>5425</v>
      </c>
      <c r="AD24" s="2"/>
      <c r="AE24" s="2"/>
      <c r="AF24" s="2"/>
      <c r="AG24" s="2"/>
      <c r="AH24" s="2"/>
      <c r="AI24" s="2"/>
      <c r="AJ24" s="2"/>
      <c r="AK24" s="2"/>
      <c r="AL24" s="2"/>
      <c r="AM24" s="2"/>
      <c r="AN24" s="2"/>
      <c r="AR24" s="131"/>
    </row>
    <row r="25" spans="2:44" x14ac:dyDescent="0.25">
      <c r="B25" s="16"/>
      <c r="C25" t="s">
        <v>58</v>
      </c>
      <c r="D25" s="19">
        <v>15000</v>
      </c>
      <c r="E25" s="19">
        <f t="shared" si="0"/>
        <v>13787.87</v>
      </c>
      <c r="F25" s="19">
        <v>5068.1499999999996</v>
      </c>
      <c r="G25" s="19">
        <f t="shared" ca="1" si="1"/>
        <v>8787.8700000000008</v>
      </c>
      <c r="H25" s="78" t="s">
        <v>312</v>
      </c>
      <c r="I25" s="78"/>
      <c r="J25" s="2"/>
      <c r="K25" s="2"/>
      <c r="T25" s="2"/>
      <c r="U25" s="2"/>
      <c r="V25" s="2"/>
      <c r="AA25" s="28">
        <v>4738.7700000000004</v>
      </c>
      <c r="AB25" s="28">
        <v>3599.1</v>
      </c>
      <c r="AC25" s="2"/>
      <c r="AD25" s="2"/>
      <c r="AE25" s="2"/>
      <c r="AF25" s="28">
        <v>450</v>
      </c>
      <c r="AG25" s="2"/>
      <c r="AH25" s="2"/>
      <c r="AI25" s="2"/>
      <c r="AJ25" s="2"/>
      <c r="AK25" s="2"/>
      <c r="AL25" s="2"/>
      <c r="AM25" s="2"/>
      <c r="AN25" s="2">
        <v>5000</v>
      </c>
      <c r="AO25" s="2"/>
      <c r="AR25" s="131"/>
    </row>
    <row r="26" spans="2:44" x14ac:dyDescent="0.25">
      <c r="B26" s="16"/>
      <c r="C26" t="s">
        <v>59</v>
      </c>
      <c r="D26" s="19">
        <v>3000</v>
      </c>
      <c r="E26" s="19">
        <f t="shared" si="0"/>
        <v>8769.5</v>
      </c>
      <c r="F26" s="19"/>
      <c r="G26" s="19">
        <f t="shared" ca="1" si="1"/>
        <v>8769.5</v>
      </c>
      <c r="H26" s="78" t="s">
        <v>305</v>
      </c>
      <c r="I26" s="78"/>
      <c r="J26" s="2"/>
      <c r="K26" s="2"/>
      <c r="T26" s="2"/>
      <c r="U26" s="2"/>
      <c r="V26" s="2"/>
      <c r="AA26" s="2">
        <v>1000</v>
      </c>
      <c r="AC26" s="2"/>
      <c r="AD26" s="2"/>
      <c r="AE26" s="2"/>
      <c r="AF26" s="28">
        <f>1500+6269.5</f>
        <v>7769.5</v>
      </c>
      <c r="AG26" s="2"/>
      <c r="AH26" s="2"/>
      <c r="AI26" s="2"/>
      <c r="AJ26" s="2"/>
      <c r="AK26" s="2"/>
      <c r="AL26" s="2"/>
      <c r="AM26" s="2"/>
      <c r="AN26" s="2"/>
      <c r="AO26" s="2"/>
      <c r="AR26" s="131"/>
    </row>
    <row r="27" spans="2:44" x14ac:dyDescent="0.25">
      <c r="B27" s="16"/>
      <c r="C27" t="s">
        <v>60</v>
      </c>
      <c r="D27" s="19">
        <v>8000</v>
      </c>
      <c r="E27" s="19">
        <f t="shared" si="0"/>
        <v>6250</v>
      </c>
      <c r="F27" s="19">
        <v>3850</v>
      </c>
      <c r="G27" s="19">
        <f t="shared" ca="1" si="1"/>
        <v>6250</v>
      </c>
      <c r="H27" s="78" t="s">
        <v>307</v>
      </c>
      <c r="I27" s="78"/>
      <c r="J27" s="2"/>
      <c r="K27" s="2"/>
      <c r="T27" s="2"/>
      <c r="U27" s="2"/>
      <c r="V27" s="2"/>
      <c r="X27" s="272">
        <f>1750+2000</f>
        <v>3750</v>
      </c>
      <c r="Y27" s="278">
        <v>500</v>
      </c>
      <c r="AA27" s="2"/>
      <c r="AB27" s="2"/>
      <c r="AC27" s="2"/>
      <c r="AD27" s="2"/>
      <c r="AE27" s="2"/>
      <c r="AF27" s="2"/>
      <c r="AG27" s="2"/>
      <c r="AH27" s="2"/>
      <c r="AI27" s="2"/>
      <c r="AJ27" s="2"/>
      <c r="AK27" s="2"/>
      <c r="AL27" s="2">
        <v>2000</v>
      </c>
      <c r="AM27" s="2"/>
      <c r="AN27" s="2"/>
      <c r="AO27" s="2"/>
      <c r="AR27" s="131"/>
    </row>
    <row r="28" spans="2:44" x14ac:dyDescent="0.25">
      <c r="B28" s="16"/>
      <c r="C28" t="s">
        <v>313</v>
      </c>
      <c r="D28" s="19">
        <v>0</v>
      </c>
      <c r="E28" s="19">
        <f t="shared" si="0"/>
        <v>0</v>
      </c>
      <c r="F28" s="19" t="s">
        <v>199</v>
      </c>
      <c r="G28" s="19">
        <f t="shared" ca="1" si="1"/>
        <v>0</v>
      </c>
      <c r="H28" s="78" t="s">
        <v>199</v>
      </c>
      <c r="I28" s="78"/>
      <c r="J28" s="2"/>
      <c r="K28" s="2"/>
      <c r="L28" s="2"/>
      <c r="M28" s="2"/>
      <c r="P28" s="2"/>
      <c r="T28" s="2"/>
      <c r="V28" s="2"/>
      <c r="Y28" s="2"/>
      <c r="Z28" s="2"/>
      <c r="AA28" s="2"/>
      <c r="AB28" s="2"/>
      <c r="AC28" s="2"/>
      <c r="AD28" s="2"/>
      <c r="AE28" s="2"/>
      <c r="AF28" s="2"/>
      <c r="AG28" s="2"/>
      <c r="AH28" s="2"/>
      <c r="AI28" s="2"/>
      <c r="AJ28" s="2"/>
      <c r="AK28" s="2"/>
      <c r="AL28" s="2"/>
      <c r="AR28" s="131"/>
    </row>
    <row r="29" spans="2:44" x14ac:dyDescent="0.25">
      <c r="B29" s="16"/>
      <c r="C29" t="s">
        <v>314</v>
      </c>
      <c r="D29" s="19">
        <v>0</v>
      </c>
      <c r="E29" s="19">
        <f t="shared" si="0"/>
        <v>5950</v>
      </c>
      <c r="F29" s="19">
        <v>4700</v>
      </c>
      <c r="G29" s="19">
        <f t="shared" ca="1" si="1"/>
        <v>5950</v>
      </c>
      <c r="H29" s="78" t="s">
        <v>190</v>
      </c>
      <c r="I29" s="78"/>
      <c r="J29" s="2"/>
      <c r="K29" s="2"/>
      <c r="L29" s="2"/>
      <c r="M29" s="2"/>
      <c r="P29" s="2"/>
      <c r="T29" s="2"/>
      <c r="V29" s="2"/>
      <c r="Y29" s="272">
        <v>4700</v>
      </c>
      <c r="Z29" s="272">
        <v>1250</v>
      </c>
      <c r="AA29" s="2"/>
      <c r="AB29" s="2"/>
      <c r="AC29" s="2"/>
      <c r="AD29" s="2"/>
      <c r="AE29" s="2"/>
      <c r="AF29" s="2"/>
      <c r="AG29" s="2"/>
      <c r="AH29" s="2"/>
      <c r="AI29" s="2"/>
      <c r="AJ29" s="2"/>
      <c r="AK29" s="2"/>
      <c r="AL29" s="2"/>
      <c r="AR29" s="131"/>
    </row>
    <row r="30" spans="2:44" x14ac:dyDescent="0.25">
      <c r="B30" s="16"/>
      <c r="C30" t="s">
        <v>315</v>
      </c>
      <c r="D30" s="19">
        <v>50000</v>
      </c>
      <c r="E30" s="19"/>
      <c r="F30" s="19">
        <f>9600+3200+280</f>
        <v>13080</v>
      </c>
      <c r="G30" s="19">
        <f ca="1">SUMIF($I$4:$AR$4,"&lt;"&amp;TODAY(),$I30:$AR30)</f>
        <v>40966.15</v>
      </c>
      <c r="H30" s="78" t="s">
        <v>316</v>
      </c>
      <c r="I30" s="78"/>
      <c r="J30" s="2"/>
      <c r="K30" s="2"/>
      <c r="L30" s="2"/>
      <c r="M30" s="2"/>
      <c r="P30" s="2"/>
      <c r="U30" s="28">
        <f>4280+2726</f>
        <v>7006</v>
      </c>
      <c r="V30" s="28">
        <v>4000</v>
      </c>
      <c r="Z30" s="272">
        <v>2880</v>
      </c>
      <c r="AB30" s="28">
        <f>6173.26+2400+1725</f>
        <v>10298.26</v>
      </c>
      <c r="AC30" s="2"/>
      <c r="AD30" s="2"/>
      <c r="AE30" s="2">
        <f>9600+3200+280-U30-V30</f>
        <v>2074</v>
      </c>
      <c r="AF30" s="28">
        <f>1920+6269.5+1718.39</f>
        <v>9907.89</v>
      </c>
      <c r="AG30" s="2"/>
      <c r="AH30" s="28">
        <v>3200</v>
      </c>
      <c r="AI30" s="28">
        <v>1600</v>
      </c>
      <c r="AJ30" s="2"/>
      <c r="AK30" s="2"/>
      <c r="AL30" s="2"/>
      <c r="AR30" s="131"/>
    </row>
    <row r="31" spans="2:44" x14ac:dyDescent="0.25">
      <c r="B31" s="16"/>
      <c r="C31" t="s">
        <v>317</v>
      </c>
      <c r="D31" s="19"/>
      <c r="E31" s="19"/>
      <c r="F31" s="19">
        <v>2841.25</v>
      </c>
      <c r="G31" s="19">
        <f ca="1">SUMIF($I$4:$AR$4,"&lt;"&amp;TODAY(),$I31:$AR31)</f>
        <v>1920.4</v>
      </c>
      <c r="H31" s="78" t="s">
        <v>206</v>
      </c>
      <c r="I31" s="78"/>
      <c r="J31" s="2"/>
      <c r="K31" s="2"/>
      <c r="L31" s="2"/>
      <c r="M31" s="2"/>
      <c r="P31" s="2"/>
      <c r="AB31" s="28">
        <v>973.5</v>
      </c>
      <c r="AC31" s="2"/>
      <c r="AD31" s="28">
        <v>463.65</v>
      </c>
      <c r="AE31" s="28">
        <v>483.25</v>
      </c>
      <c r="AF31" s="2"/>
      <c r="AG31" s="2"/>
      <c r="AH31" s="2"/>
      <c r="AI31" s="2"/>
      <c r="AJ31" s="2"/>
      <c r="AK31" s="2"/>
      <c r="AL31" s="2"/>
      <c r="AR31" s="131"/>
    </row>
    <row r="32" spans="2:44" x14ac:dyDescent="0.25">
      <c r="B32" s="16"/>
      <c r="C32" t="s">
        <v>318</v>
      </c>
      <c r="D32" s="19"/>
      <c r="E32" s="19"/>
      <c r="F32" s="19">
        <v>2982.5</v>
      </c>
      <c r="G32" s="19">
        <f ca="1">SUMIF($I$4:$AR$4,"&lt;"&amp;TODAY(),$I32:$AR32)</f>
        <v>946.85</v>
      </c>
      <c r="H32" s="78" t="s">
        <v>206</v>
      </c>
      <c r="I32" s="78"/>
      <c r="J32" s="2"/>
      <c r="K32" s="2"/>
      <c r="L32" s="2"/>
      <c r="M32" s="2"/>
      <c r="P32" s="2"/>
      <c r="AB32" s="2"/>
      <c r="AC32" s="2"/>
      <c r="AD32" s="28">
        <v>483.25</v>
      </c>
      <c r="AE32" s="28">
        <v>463.6</v>
      </c>
      <c r="AF32" s="2"/>
      <c r="AG32" s="2"/>
      <c r="AH32" s="2"/>
      <c r="AI32" s="2"/>
      <c r="AJ32" s="2"/>
      <c r="AK32" s="2"/>
      <c r="AL32" s="2"/>
      <c r="AR32" s="131"/>
    </row>
    <row r="33" spans="2:44" ht="15.75" thickBot="1" x14ac:dyDescent="0.3">
      <c r="B33" s="16"/>
      <c r="C33" t="s">
        <v>174</v>
      </c>
      <c r="D33" s="19">
        <v>14000</v>
      </c>
      <c r="E33" s="19">
        <f t="shared" si="0"/>
        <v>0</v>
      </c>
      <c r="F33" s="19"/>
      <c r="G33" s="19">
        <f t="shared" ca="1" si="1"/>
        <v>0</v>
      </c>
      <c r="H33" s="78"/>
      <c r="I33" s="78"/>
      <c r="J33" s="2"/>
      <c r="K33" s="2"/>
      <c r="T33" s="2"/>
      <c r="U33" s="2"/>
      <c r="V33" s="2"/>
      <c r="AA33" s="2"/>
      <c r="AC33" s="2"/>
      <c r="AD33" s="2"/>
      <c r="AE33" s="2"/>
      <c r="AF33" s="2"/>
      <c r="AG33" s="2"/>
      <c r="AH33" s="2"/>
      <c r="AI33" s="2"/>
      <c r="AJ33" s="2"/>
      <c r="AK33" s="2"/>
      <c r="AL33" s="2"/>
      <c r="AR33" s="131"/>
    </row>
    <row r="34" spans="2:44" ht="15.75" thickBot="1" x14ac:dyDescent="0.3">
      <c r="B34" s="14" t="s">
        <v>93</v>
      </c>
      <c r="C34" s="15" t="s">
        <v>94</v>
      </c>
      <c r="D34" s="21">
        <v>16414.5</v>
      </c>
      <c r="E34" s="21">
        <f ca="1">SUMIF($I$4:$AR$4,"&gt;"&amp;TODAY(),$I34:$AR34)</f>
        <v>3000</v>
      </c>
      <c r="F34" s="21">
        <f>SUM(F12:F33)*0.1</f>
        <v>20831.690000000002</v>
      </c>
      <c r="G34" s="157" t="s">
        <v>199</v>
      </c>
      <c r="H34" s="80"/>
      <c r="I34" s="81">
        <f t="shared" ref="I34:AR34" si="2">SUM(I13:I33)*0.1</f>
        <v>687.21</v>
      </c>
      <c r="J34" s="155">
        <f t="shared" si="2"/>
        <v>0</v>
      </c>
      <c r="K34" s="155">
        <f t="shared" si="2"/>
        <v>0</v>
      </c>
      <c r="L34" s="155">
        <f t="shared" si="2"/>
        <v>0</v>
      </c>
      <c r="M34" s="155">
        <f t="shared" si="2"/>
        <v>310.5</v>
      </c>
      <c r="N34" s="155">
        <f t="shared" si="2"/>
        <v>0</v>
      </c>
      <c r="O34" s="155">
        <f t="shared" si="2"/>
        <v>0</v>
      </c>
      <c r="P34" s="155">
        <f t="shared" si="2"/>
        <v>441.8</v>
      </c>
      <c r="Q34" s="155">
        <f t="shared" si="2"/>
        <v>218.60000000000002</v>
      </c>
      <c r="R34" s="155">
        <f t="shared" si="2"/>
        <v>1063.5</v>
      </c>
      <c r="S34" s="155">
        <f t="shared" si="2"/>
        <v>0</v>
      </c>
      <c r="T34" s="155">
        <f t="shared" si="2"/>
        <v>266</v>
      </c>
      <c r="U34" s="155">
        <f>SUM(U13:U33)*0.1</f>
        <v>1347.78</v>
      </c>
      <c r="V34" s="155">
        <f t="shared" si="2"/>
        <v>400</v>
      </c>
      <c r="W34" s="155">
        <f t="shared" ref="W34:AL34" si="3">SUM(Y13:Y33)*0.1</f>
        <v>1471</v>
      </c>
      <c r="X34" s="155">
        <f t="shared" si="3"/>
        <v>2165</v>
      </c>
      <c r="Y34" s="155">
        <f t="shared" si="3"/>
        <v>2178.877</v>
      </c>
      <c r="Z34" s="155">
        <f t="shared" si="3"/>
        <v>3140.5860000000002</v>
      </c>
      <c r="AA34" s="155">
        <f t="shared" si="3"/>
        <v>849</v>
      </c>
      <c r="AB34" s="155">
        <f t="shared" si="3"/>
        <v>152.69000000000003</v>
      </c>
      <c r="AC34" s="155">
        <f t="shared" si="3"/>
        <v>646.08500000000004</v>
      </c>
      <c r="AD34" s="155">
        <f>SUM(AF13:AF33)*0.1</f>
        <v>2265.739</v>
      </c>
      <c r="AE34" s="155">
        <f>SUM(AG13:AG33)*0.1</f>
        <v>146</v>
      </c>
      <c r="AF34" s="155">
        <f t="shared" si="3"/>
        <v>373</v>
      </c>
      <c r="AG34" s="155">
        <f t="shared" si="3"/>
        <v>310</v>
      </c>
      <c r="AH34" s="155">
        <f t="shared" si="3"/>
        <v>150</v>
      </c>
      <c r="AI34" s="155">
        <f t="shared" si="3"/>
        <v>97</v>
      </c>
      <c r="AJ34" s="155">
        <f t="shared" si="3"/>
        <v>769</v>
      </c>
      <c r="AK34" s="155">
        <f t="shared" si="3"/>
        <v>0</v>
      </c>
      <c r="AL34" s="155">
        <f t="shared" si="3"/>
        <v>1900</v>
      </c>
      <c r="AM34" s="155">
        <f>SUM(AO15:AO33)*0.1</f>
        <v>0</v>
      </c>
      <c r="AN34" s="155">
        <f>SUM(AP15:AP33)*0.1</f>
        <v>3000</v>
      </c>
      <c r="AO34" s="155">
        <f t="shared" ref="AO34:AQ34" si="4">SUM(AQ13:AQ33)*0.1</f>
        <v>0</v>
      </c>
      <c r="AP34" s="155">
        <f t="shared" si="4"/>
        <v>0</v>
      </c>
      <c r="AQ34" s="155">
        <f t="shared" si="4"/>
        <v>0</v>
      </c>
      <c r="AR34" s="156">
        <f t="shared" si="2"/>
        <v>0</v>
      </c>
    </row>
    <row r="35" spans="2:44" x14ac:dyDescent="0.25">
      <c r="B35" s="13" t="s">
        <v>148</v>
      </c>
      <c r="C35" s="15"/>
      <c r="D35" s="21">
        <v>15000</v>
      </c>
      <c r="E35" s="21">
        <f>SUM(I35:AR35)</f>
        <v>15000</v>
      </c>
      <c r="F35" s="21"/>
      <c r="G35" s="21">
        <f ca="1">SUMIF($I$4:$AR$4,"&lt;"&amp;TODAY(),$I35:$AR35)</f>
        <v>15000</v>
      </c>
      <c r="H35" s="80"/>
      <c r="I35" s="78"/>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v>15000</v>
      </c>
      <c r="AK35" s="2"/>
      <c r="AM35" s="2"/>
      <c r="AN35" s="2"/>
      <c r="AO35" s="2"/>
      <c r="AP35" s="2"/>
      <c r="AQ35" s="2"/>
      <c r="AR35" s="76"/>
    </row>
    <row r="36" spans="2:44" x14ac:dyDescent="0.25">
      <c r="B36" s="14" t="s">
        <v>95</v>
      </c>
      <c r="C36" s="15"/>
      <c r="D36" s="21">
        <v>0</v>
      </c>
      <c r="E36" s="21">
        <f>SUM($I36:$AR36)</f>
        <v>0</v>
      </c>
      <c r="F36" s="21"/>
      <c r="G36" s="21">
        <f ca="1">SUMIF($I$4:$AR$4,"&lt;"&amp;TODAY(),$I36:$AR36)</f>
        <v>0</v>
      </c>
      <c r="H36" s="80"/>
      <c r="I36" s="78"/>
      <c r="J36" s="2"/>
      <c r="K36" s="2"/>
      <c r="L36" s="2"/>
      <c r="M36" s="2"/>
      <c r="N36" s="2"/>
      <c r="O36" s="2"/>
      <c r="P36" s="2"/>
      <c r="Q36" s="2"/>
      <c r="R36" s="2"/>
      <c r="S36" s="2"/>
      <c r="W36" s="2"/>
      <c r="X36" s="2"/>
      <c r="Y36" s="2"/>
      <c r="AC36" s="2"/>
      <c r="AD36" s="2"/>
      <c r="AE36" s="2"/>
      <c r="AR36" s="131"/>
    </row>
    <row r="37" spans="2:44" ht="15.75" thickBot="1" x14ac:dyDescent="0.3">
      <c r="B37" s="8" t="s">
        <v>97</v>
      </c>
      <c r="D37" s="19">
        <v>15000</v>
      </c>
      <c r="E37" s="19">
        <f>SUM($I37:$AR37)</f>
        <v>15000</v>
      </c>
      <c r="F37" s="19"/>
      <c r="G37" s="19">
        <f ca="1">SUMIF($I$4:$AR$4,"&lt;"&amp;TODAY(),$I37:$AR37)</f>
        <v>15000</v>
      </c>
      <c r="H37" s="78"/>
      <c r="I37" s="78"/>
      <c r="J37" s="2"/>
      <c r="K37" s="2"/>
      <c r="L37" s="2"/>
      <c r="M37" s="2"/>
      <c r="N37" s="2"/>
      <c r="O37" s="2"/>
      <c r="P37" s="2"/>
      <c r="Q37" s="2"/>
      <c r="R37" s="2"/>
      <c r="S37" s="2"/>
      <c r="T37" s="2"/>
      <c r="U37" s="2"/>
      <c r="V37" s="2"/>
      <c r="W37" s="2"/>
      <c r="X37" s="2"/>
      <c r="Y37" s="2"/>
      <c r="Z37" s="2"/>
      <c r="AA37" s="2"/>
      <c r="AB37" s="2"/>
      <c r="AC37" s="2"/>
      <c r="AD37" s="2"/>
      <c r="AE37" s="2"/>
      <c r="AF37" s="2">
        <v>5000</v>
      </c>
      <c r="AG37" s="2">
        <v>5000</v>
      </c>
      <c r="AH37" s="2">
        <v>5000</v>
      </c>
      <c r="AR37" s="131"/>
    </row>
    <row r="38" spans="2:44" ht="15.75" thickBot="1" x14ac:dyDescent="0.3">
      <c r="B38" s="11" t="s">
        <v>98</v>
      </c>
      <c r="C38" s="12"/>
      <c r="D38" s="152">
        <v>1023936.3</v>
      </c>
      <c r="E38" s="152">
        <f ca="1">SUM(E5:E37)</f>
        <v>1025305.91</v>
      </c>
      <c r="F38" s="152">
        <f>SUM(F5:F37)</f>
        <v>864415.59000000008</v>
      </c>
      <c r="G38" s="152">
        <f ca="1">SUM(G5:G37)</f>
        <v>1027389.31</v>
      </c>
      <c r="H38" s="81"/>
      <c r="I38" s="81">
        <f>SUM(I5:I37)</f>
        <v>36509.31</v>
      </c>
      <c r="J38" s="155">
        <f>SUM(J5:J37)</f>
        <v>4590</v>
      </c>
      <c r="K38" s="155">
        <f t="shared" ref="K38:AR38" si="5">SUM(K5:K37)</f>
        <v>77310</v>
      </c>
      <c r="L38" s="155">
        <f t="shared" si="5"/>
        <v>0</v>
      </c>
      <c r="M38" s="155">
        <f t="shared" si="5"/>
        <v>3415.5</v>
      </c>
      <c r="N38" s="155">
        <f t="shared" si="5"/>
        <v>4080</v>
      </c>
      <c r="O38" s="155">
        <f t="shared" si="5"/>
        <v>0</v>
      </c>
      <c r="P38" s="155">
        <f t="shared" si="5"/>
        <v>4859.8</v>
      </c>
      <c r="Q38" s="155">
        <f t="shared" si="5"/>
        <v>41423.299999999996</v>
      </c>
      <c r="R38" s="155">
        <f t="shared" si="5"/>
        <v>19198.5</v>
      </c>
      <c r="S38" s="155">
        <f t="shared" si="5"/>
        <v>2177.46</v>
      </c>
      <c r="T38" s="155">
        <f t="shared" si="5"/>
        <v>16915.919999999998</v>
      </c>
      <c r="U38" s="155">
        <f t="shared" si="5"/>
        <v>21876.61</v>
      </c>
      <c r="V38" s="155">
        <f t="shared" si="5"/>
        <v>4731.6899999999996</v>
      </c>
      <c r="W38" s="155">
        <f t="shared" si="5"/>
        <v>1471</v>
      </c>
      <c r="X38" s="155">
        <f t="shared" si="5"/>
        <v>9225</v>
      </c>
      <c r="Y38" s="155">
        <f t="shared" si="5"/>
        <v>140887.87700000001</v>
      </c>
      <c r="Z38" s="155">
        <f t="shared" si="5"/>
        <v>27922.096000000001</v>
      </c>
      <c r="AA38" s="155">
        <f t="shared" si="5"/>
        <v>125310.77</v>
      </c>
      <c r="AB38" s="155">
        <f t="shared" si="5"/>
        <v>35805.760000000002</v>
      </c>
      <c r="AC38" s="155">
        <f t="shared" si="5"/>
        <v>12607.084999999999</v>
      </c>
      <c r="AD38" s="155">
        <f t="shared" si="5"/>
        <v>81102.638999999996</v>
      </c>
      <c r="AE38" s="155">
        <f t="shared" si="5"/>
        <v>8337.82</v>
      </c>
      <c r="AF38" s="155">
        <f t="shared" si="5"/>
        <v>16394.309999999998</v>
      </c>
      <c r="AG38" s="155">
        <f t="shared" si="5"/>
        <v>7011.9400000000005</v>
      </c>
      <c r="AH38" s="155">
        <f t="shared" si="5"/>
        <v>8880</v>
      </c>
      <c r="AI38" s="155">
        <f t="shared" si="5"/>
        <v>3680.88</v>
      </c>
      <c r="AJ38" s="155">
        <f t="shared" si="5"/>
        <v>28817.25</v>
      </c>
      <c r="AK38" s="155">
        <f t="shared" si="5"/>
        <v>298077.15999999997</v>
      </c>
      <c r="AL38" s="155">
        <f t="shared" si="5"/>
        <v>9590</v>
      </c>
      <c r="AM38" s="155">
        <f t="shared" si="5"/>
        <v>0</v>
      </c>
      <c r="AN38" s="155">
        <f t="shared" si="5"/>
        <v>22000</v>
      </c>
      <c r="AO38" s="155">
        <f t="shared" si="5"/>
        <v>5000</v>
      </c>
      <c r="AP38" s="155">
        <f t="shared" si="5"/>
        <v>30000</v>
      </c>
      <c r="AQ38" s="155">
        <f t="shared" si="5"/>
        <v>0</v>
      </c>
      <c r="AR38" s="156">
        <f t="shared" si="5"/>
        <v>0</v>
      </c>
    </row>
    <row r="39" spans="2:44" ht="15.75" thickBot="1" x14ac:dyDescent="0.3">
      <c r="B39" s="35" t="s">
        <v>319</v>
      </c>
      <c r="C39" s="122">
        <v>105</v>
      </c>
      <c r="D39" s="36"/>
      <c r="E39" s="36"/>
      <c r="F39" s="36"/>
      <c r="G39" s="36"/>
      <c r="H39" s="82"/>
      <c r="I39" s="78"/>
      <c r="J39" s="2"/>
      <c r="K39" s="2"/>
      <c r="L39" s="2"/>
      <c r="M39" s="2"/>
      <c r="N39" s="2"/>
      <c r="O39" s="2"/>
      <c r="P39" s="2"/>
      <c r="Q39" s="2"/>
      <c r="R39" s="2"/>
      <c r="S39" s="2"/>
      <c r="T39" s="2"/>
      <c r="U39" s="2"/>
      <c r="V39" s="2"/>
      <c r="W39" s="2"/>
      <c r="X39" s="2"/>
      <c r="Y39" s="2"/>
      <c r="Z39" s="2"/>
      <c r="AA39" s="2"/>
      <c r="AB39" s="2"/>
      <c r="AC39" s="2"/>
      <c r="AD39" s="2"/>
      <c r="AE39" s="2"/>
      <c r="AR39" s="131"/>
    </row>
    <row r="40" spans="2:44" ht="15.75" thickBot="1" x14ac:dyDescent="0.3">
      <c r="B40" s="35" t="s">
        <v>100</v>
      </c>
      <c r="C40" s="10"/>
      <c r="D40" s="135">
        <v>9751.7742857142857</v>
      </c>
      <c r="E40" s="135">
        <f ca="1">E38/$C$39</f>
        <v>9764.8181904761914</v>
      </c>
      <c r="F40" s="23"/>
      <c r="G40" s="23"/>
      <c r="H40" s="83"/>
      <c r="I40" s="9"/>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32"/>
    </row>
  </sheetData>
  <mergeCells count="2">
    <mergeCell ref="S2:S3"/>
    <mergeCell ref="T2:T3"/>
  </mergeCells>
  <phoneticPr fontId="5" type="noConversion"/>
  <pageMargins left="0.7" right="0.7" top="0.75" bottom="0.75" header="0.3" footer="0.3"/>
  <pageSetup paperSize="9" scale="73" fitToWidth="0"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42F8-7B14-498A-86A2-B5B843E5E9E9}">
  <dimension ref="B1:AO63"/>
  <sheetViews>
    <sheetView topLeftCell="A3" zoomScale="70" zoomScaleNormal="70" workbookViewId="0">
      <pane xSplit="11" topLeftCell="L1" activePane="topRight" state="frozen"/>
      <selection activeCell="A2" sqref="A2"/>
      <selection pane="topRight" activeCell="F36" sqref="F36"/>
    </sheetView>
  </sheetViews>
  <sheetFormatPr defaultRowHeight="15" x14ac:dyDescent="0.25"/>
  <cols>
    <col min="1" max="1" width="4.42578125" customWidth="1"/>
    <col min="2" max="2" width="30.5703125" customWidth="1"/>
    <col min="3" max="3" width="51.7109375" customWidth="1"/>
    <col min="4" max="6" width="16.5703125" customWidth="1"/>
    <col min="7" max="7" width="17.42578125" bestFit="1" customWidth="1"/>
    <col min="8" max="10" width="16.5703125" customWidth="1"/>
    <col min="11" max="11" width="21.5703125" customWidth="1"/>
    <col min="12" max="13" width="8.5703125" customWidth="1"/>
    <col min="14" max="14" width="9.7109375" bestFit="1" customWidth="1"/>
    <col min="15" max="18" width="8.5703125" customWidth="1"/>
    <col min="19" max="19" width="9.28515625" bestFit="1" customWidth="1"/>
    <col min="20" max="22" width="8.5703125" customWidth="1"/>
    <col min="23" max="23" width="11.28515625" bestFit="1" customWidth="1"/>
    <col min="24" max="25" width="10" bestFit="1" customWidth="1"/>
    <col min="26" max="26" width="14.42578125" bestFit="1" customWidth="1"/>
    <col min="27" max="27" width="10" bestFit="1" customWidth="1"/>
    <col min="28" max="28" width="10.42578125" customWidth="1"/>
    <col min="29" max="29" width="11.42578125" customWidth="1"/>
    <col min="31" max="31" width="9.7109375" customWidth="1"/>
    <col min="32" max="32" width="10.7109375" bestFit="1" customWidth="1"/>
    <col min="33" max="33" width="10.28515625" customWidth="1"/>
    <col min="34" max="34" width="11.42578125" bestFit="1" customWidth="1"/>
    <col min="35" max="35" width="13.28515625" customWidth="1"/>
  </cols>
  <sheetData>
    <row r="1" spans="2:41" ht="15.75" thickBot="1" x14ac:dyDescent="0.3"/>
    <row r="2" spans="2:41" ht="30.75" thickBot="1" x14ac:dyDescent="0.3">
      <c r="B2" s="11" t="s">
        <v>320</v>
      </c>
      <c r="C2" s="252"/>
      <c r="D2" s="252"/>
      <c r="E2" s="252"/>
      <c r="F2" s="252"/>
      <c r="G2" s="252"/>
      <c r="H2" s="252"/>
      <c r="I2" s="252"/>
      <c r="J2" s="252"/>
      <c r="K2" s="253"/>
      <c r="L2" s="146"/>
      <c r="M2" s="146"/>
      <c r="N2" s="150"/>
      <c r="O2" s="146"/>
      <c r="P2" s="150"/>
      <c r="Q2" s="245"/>
      <c r="R2" s="146"/>
      <c r="S2" s="146"/>
      <c r="T2" s="146"/>
      <c r="U2" s="146"/>
      <c r="V2" s="184" t="s">
        <v>321</v>
      </c>
      <c r="W2" s="146"/>
      <c r="X2" s="146"/>
      <c r="Y2" s="146"/>
      <c r="Z2" s="150"/>
      <c r="AA2" s="146"/>
      <c r="AB2" s="150"/>
      <c r="AC2" s="246"/>
      <c r="AD2" s="246"/>
      <c r="AE2" s="246"/>
      <c r="AF2" s="246"/>
      <c r="AG2" s="246"/>
      <c r="AH2" s="246"/>
      <c r="AI2" s="694" t="s">
        <v>322</v>
      </c>
      <c r="AJ2" s="151"/>
      <c r="AK2" s="151" t="s">
        <v>323</v>
      </c>
      <c r="AL2" s="148"/>
      <c r="AM2" s="148"/>
      <c r="AN2" s="148"/>
      <c r="AO2" s="149"/>
    </row>
    <row r="3" spans="2:41" ht="60.75" thickBot="1" x14ac:dyDescent="0.3">
      <c r="B3" s="39" t="s">
        <v>16</v>
      </c>
      <c r="C3" s="40" t="s">
        <v>17</v>
      </c>
      <c r="D3" s="120" t="s">
        <v>184</v>
      </c>
      <c r="E3" s="121" t="s">
        <v>185</v>
      </c>
      <c r="F3" s="41" t="s">
        <v>186</v>
      </c>
      <c r="G3" s="134" t="s">
        <v>187</v>
      </c>
      <c r="H3" s="355" t="s">
        <v>324</v>
      </c>
      <c r="I3" s="355" t="s">
        <v>325</v>
      </c>
      <c r="J3" s="134" t="s">
        <v>326</v>
      </c>
      <c r="K3" s="41" t="s">
        <v>111</v>
      </c>
      <c r="L3" s="171">
        <v>44743</v>
      </c>
      <c r="M3" s="171">
        <v>44774</v>
      </c>
      <c r="N3" s="171">
        <v>44805</v>
      </c>
      <c r="O3" s="171">
        <v>44835</v>
      </c>
      <c r="P3" s="171">
        <v>44866</v>
      </c>
      <c r="Q3" s="171">
        <v>44896</v>
      </c>
      <c r="R3" s="171">
        <v>44927</v>
      </c>
      <c r="S3" s="171">
        <v>44958</v>
      </c>
      <c r="T3" s="171">
        <v>44986</v>
      </c>
      <c r="U3" s="171">
        <v>45017</v>
      </c>
      <c r="V3" s="171">
        <v>45047</v>
      </c>
      <c r="W3" s="171">
        <v>45078</v>
      </c>
      <c r="X3" s="171">
        <v>45108</v>
      </c>
      <c r="Y3" s="171">
        <v>45139</v>
      </c>
      <c r="Z3" s="171">
        <v>45170</v>
      </c>
      <c r="AA3" s="171">
        <v>45200</v>
      </c>
      <c r="AB3" s="171">
        <v>45231</v>
      </c>
      <c r="AC3" s="271">
        <v>45261</v>
      </c>
      <c r="AD3" s="171">
        <v>45292</v>
      </c>
      <c r="AE3" s="271">
        <v>45323</v>
      </c>
      <c r="AF3" s="172">
        <v>45352</v>
      </c>
      <c r="AG3" s="271">
        <v>45383</v>
      </c>
      <c r="AH3" s="172">
        <v>45413</v>
      </c>
      <c r="AI3" s="271">
        <v>45444</v>
      </c>
      <c r="AJ3" s="172">
        <v>45474</v>
      </c>
      <c r="AK3" s="171">
        <v>45505</v>
      </c>
      <c r="AL3" s="171">
        <v>45536</v>
      </c>
      <c r="AM3" s="171">
        <v>45566</v>
      </c>
      <c r="AN3" s="171">
        <v>45597</v>
      </c>
      <c r="AO3" s="270">
        <v>45627</v>
      </c>
    </row>
    <row r="4" spans="2:41" x14ac:dyDescent="0.25">
      <c r="B4" s="8" t="s">
        <v>29</v>
      </c>
      <c r="C4" t="s">
        <v>170</v>
      </c>
      <c r="D4" s="19">
        <f>E4</f>
        <v>13529</v>
      </c>
      <c r="E4" s="19">
        <f>SUM(L4:AO4)</f>
        <v>13529</v>
      </c>
      <c r="F4" s="19">
        <v>13529</v>
      </c>
      <c r="G4" s="19">
        <f>SUM(L4:AE4)</f>
        <v>13529</v>
      </c>
      <c r="H4" s="435">
        <f>SUM(F4-G4)</f>
        <v>0</v>
      </c>
      <c r="I4" s="435">
        <f>E4-F4</f>
        <v>0</v>
      </c>
      <c r="J4" s="366" t="s">
        <v>327</v>
      </c>
      <c r="K4" s="266"/>
      <c r="L4" s="295">
        <v>5279</v>
      </c>
      <c r="M4" s="174"/>
      <c r="N4" s="174"/>
      <c r="O4" s="174"/>
      <c r="P4" s="174"/>
      <c r="Q4" s="295">
        <v>6250</v>
      </c>
      <c r="R4" s="174"/>
      <c r="S4" s="174"/>
      <c r="T4" s="174"/>
      <c r="U4" s="174"/>
      <c r="V4" s="174"/>
      <c r="W4" s="174"/>
      <c r="X4" s="174">
        <v>2000</v>
      </c>
      <c r="Y4" s="174"/>
      <c r="Z4" s="174"/>
      <c r="AA4" s="174"/>
      <c r="AB4" s="174"/>
      <c r="AC4" s="174"/>
      <c r="AD4" s="174"/>
      <c r="AE4" s="174"/>
      <c r="AF4" s="174"/>
      <c r="AG4" s="174"/>
      <c r="AH4" s="174"/>
      <c r="AI4" s="269"/>
      <c r="AJ4" s="118"/>
      <c r="AK4" s="118"/>
      <c r="AL4" s="118"/>
      <c r="AM4" s="118"/>
      <c r="AN4" s="118"/>
      <c r="AO4" s="175"/>
    </row>
    <row r="5" spans="2:41" x14ac:dyDescent="0.25">
      <c r="B5" s="8"/>
      <c r="C5" s="131" t="s">
        <v>111</v>
      </c>
      <c r="D5" s="76">
        <f t="shared" ref="D5:D6" si="0">E5</f>
        <v>0</v>
      </c>
      <c r="E5" s="19">
        <v>0</v>
      </c>
      <c r="F5" s="19">
        <v>8500</v>
      </c>
      <c r="G5" s="19">
        <f>SUM(L5:T5)</f>
        <v>0</v>
      </c>
      <c r="H5" s="435">
        <f>SUM(F5-G5)</f>
        <v>8500</v>
      </c>
      <c r="I5" s="435">
        <f>E5-F5</f>
        <v>-8500</v>
      </c>
      <c r="J5" s="19"/>
      <c r="K5" s="19"/>
      <c r="L5" s="2"/>
      <c r="M5" s="2"/>
      <c r="N5" s="2"/>
      <c r="O5" s="2"/>
      <c r="P5" s="2"/>
      <c r="Q5" s="2"/>
      <c r="R5" s="2"/>
      <c r="S5" s="2"/>
      <c r="T5" s="2"/>
      <c r="U5" s="2"/>
      <c r="V5" s="2"/>
      <c r="W5" s="2"/>
      <c r="X5" s="2"/>
      <c r="Y5" s="2"/>
      <c r="Z5" s="2"/>
      <c r="AA5" s="2"/>
      <c r="AB5" s="2"/>
      <c r="AC5" s="2"/>
      <c r="AD5" s="2"/>
      <c r="AE5" s="2"/>
      <c r="AF5" s="2"/>
      <c r="AG5" s="2"/>
      <c r="AH5" s="2"/>
      <c r="AI5" s="76"/>
      <c r="AJ5">
        <v>8500</v>
      </c>
      <c r="AO5" s="131"/>
    </row>
    <row r="6" spans="2:41" x14ac:dyDescent="0.25">
      <c r="B6" s="8"/>
      <c r="C6" s="131" t="s">
        <v>32</v>
      </c>
      <c r="D6" s="19">
        <f t="shared" si="0"/>
        <v>20000</v>
      </c>
      <c r="E6" s="76">
        <f>SUM(L6:AO6)</f>
        <v>20000</v>
      </c>
      <c r="F6" s="19">
        <v>20000</v>
      </c>
      <c r="G6" s="78">
        <f>SUM(L6:T6)</f>
        <v>20000</v>
      </c>
      <c r="H6" s="435">
        <f>SUM(F6-G6)</f>
        <v>0</v>
      </c>
      <c r="I6" s="435">
        <f>E6-F6</f>
        <v>0</v>
      </c>
      <c r="J6" s="354" t="s">
        <v>327</v>
      </c>
      <c r="K6" s="19"/>
      <c r="L6" s="2"/>
      <c r="M6" s="2"/>
      <c r="N6" s="288">
        <v>20000</v>
      </c>
      <c r="O6" s="2"/>
      <c r="P6" s="2"/>
      <c r="Q6" s="2"/>
      <c r="R6" s="2"/>
      <c r="S6" s="2"/>
      <c r="T6" s="2"/>
      <c r="U6" s="2"/>
      <c r="V6" s="2"/>
      <c r="W6" s="2"/>
      <c r="X6" s="2"/>
      <c r="Y6" s="2"/>
      <c r="Z6" s="2"/>
      <c r="AA6" s="2"/>
      <c r="AB6" s="2"/>
      <c r="AC6" s="2"/>
      <c r="AD6" s="2"/>
      <c r="AE6" s="2"/>
      <c r="AF6" s="2"/>
      <c r="AG6" s="320"/>
      <c r="AH6" s="320"/>
      <c r="AI6" s="76"/>
      <c r="AO6" s="131"/>
    </row>
    <row r="7" spans="2:41" ht="15.75" thickBot="1" x14ac:dyDescent="0.3">
      <c r="B7" s="646" t="s">
        <v>328</v>
      </c>
      <c r="C7" s="647"/>
      <c r="D7" s="648">
        <f>SUBTOTAL(9,D4:D6)</f>
        <v>33529</v>
      </c>
      <c r="E7" s="648">
        <f t="shared" ref="E7:AO7" si="1">SUBTOTAL(9,E4:E6)</f>
        <v>33529</v>
      </c>
      <c r="F7" s="648">
        <f t="shared" si="1"/>
        <v>42029</v>
      </c>
      <c r="G7" s="648">
        <f t="shared" si="1"/>
        <v>33529</v>
      </c>
      <c r="H7" s="648">
        <f t="shared" si="1"/>
        <v>8500</v>
      </c>
      <c r="I7" s="648">
        <f t="shared" si="1"/>
        <v>-8500</v>
      </c>
      <c r="J7" s="648"/>
      <c r="K7" s="648"/>
      <c r="L7" s="650">
        <f t="shared" si="1"/>
        <v>5279</v>
      </c>
      <c r="M7" s="650">
        <f t="shared" si="1"/>
        <v>0</v>
      </c>
      <c r="N7" s="650">
        <f t="shared" si="1"/>
        <v>20000</v>
      </c>
      <c r="O7" s="650">
        <f t="shared" si="1"/>
        <v>0</v>
      </c>
      <c r="P7" s="650">
        <f t="shared" si="1"/>
        <v>0</v>
      </c>
      <c r="Q7" s="650">
        <f t="shared" si="1"/>
        <v>6250</v>
      </c>
      <c r="R7" s="650">
        <f t="shared" si="1"/>
        <v>0</v>
      </c>
      <c r="S7" s="650">
        <f t="shared" si="1"/>
        <v>0</v>
      </c>
      <c r="T7" s="650">
        <f t="shared" si="1"/>
        <v>0</v>
      </c>
      <c r="U7" s="650">
        <f t="shared" si="1"/>
        <v>0</v>
      </c>
      <c r="V7" s="650">
        <f t="shared" si="1"/>
        <v>0</v>
      </c>
      <c r="W7" s="650">
        <f t="shared" si="1"/>
        <v>0</v>
      </c>
      <c r="X7" s="650">
        <f t="shared" si="1"/>
        <v>2000</v>
      </c>
      <c r="Y7" s="650">
        <f t="shared" si="1"/>
        <v>0</v>
      </c>
      <c r="Z7" s="650">
        <f t="shared" si="1"/>
        <v>0</v>
      </c>
      <c r="AA7" s="650">
        <f t="shared" si="1"/>
        <v>0</v>
      </c>
      <c r="AB7" s="650">
        <f t="shared" si="1"/>
        <v>0</v>
      </c>
      <c r="AC7" s="650">
        <f t="shared" si="1"/>
        <v>0</v>
      </c>
      <c r="AD7" s="650">
        <f t="shared" si="1"/>
        <v>0</v>
      </c>
      <c r="AE7" s="650">
        <f t="shared" si="1"/>
        <v>0</v>
      </c>
      <c r="AF7" s="650">
        <f t="shared" si="1"/>
        <v>0</v>
      </c>
      <c r="AG7" s="650">
        <f t="shared" si="1"/>
        <v>0</v>
      </c>
      <c r="AH7" s="650">
        <f t="shared" si="1"/>
        <v>0</v>
      </c>
      <c r="AI7" s="652">
        <f t="shared" si="1"/>
        <v>0</v>
      </c>
      <c r="AJ7" s="650">
        <f t="shared" si="1"/>
        <v>8500</v>
      </c>
      <c r="AK7" s="650">
        <f t="shared" si="1"/>
        <v>0</v>
      </c>
      <c r="AL7" s="650">
        <f t="shared" si="1"/>
        <v>0</v>
      </c>
      <c r="AM7" s="650">
        <f t="shared" si="1"/>
        <v>0</v>
      </c>
      <c r="AN7" s="650">
        <f t="shared" si="1"/>
        <v>0</v>
      </c>
      <c r="AO7" s="652">
        <f t="shared" si="1"/>
        <v>0</v>
      </c>
    </row>
    <row r="8" spans="2:41" ht="15.75" thickTop="1" x14ac:dyDescent="0.25">
      <c r="B8" s="674" t="s">
        <v>35</v>
      </c>
      <c r="C8" s="675"/>
      <c r="D8" s="676"/>
      <c r="E8" s="677">
        <f t="shared" ref="E8:F16" si="2">SUM(R8:AO8)</f>
        <v>0</v>
      </c>
      <c r="F8" s="676"/>
      <c r="G8" s="678">
        <f t="shared" ref="G8:G12" ca="1" si="3">SUMIF($R$3:$AO$3,"&lt;"&amp;TODAY(),$R8:$AO8)</f>
        <v>0</v>
      </c>
      <c r="H8" s="679">
        <f ca="1">SUM(F8-G8)</f>
        <v>0</v>
      </c>
      <c r="I8" s="679">
        <f>E8-F8</f>
        <v>0</v>
      </c>
      <c r="J8" s="680" t="s">
        <v>199</v>
      </c>
      <c r="K8" s="676"/>
      <c r="L8" s="2"/>
      <c r="M8" s="2"/>
      <c r="N8" s="2"/>
      <c r="O8" s="2"/>
      <c r="P8" s="2"/>
      <c r="Q8" s="2"/>
      <c r="R8" s="2"/>
      <c r="S8" s="2"/>
      <c r="T8" s="2"/>
      <c r="U8" s="2"/>
      <c r="V8" s="2"/>
      <c r="W8" s="2"/>
      <c r="X8" s="2"/>
      <c r="Y8" s="2"/>
      <c r="Z8" s="2"/>
      <c r="AA8" s="2"/>
      <c r="AB8" s="2"/>
      <c r="AC8" s="2"/>
      <c r="AD8" s="2"/>
      <c r="AE8" s="2"/>
      <c r="AF8" s="2"/>
      <c r="AG8" s="651"/>
      <c r="AH8" s="651"/>
      <c r="AI8" s="76"/>
      <c r="AO8" s="131"/>
    </row>
    <row r="9" spans="2:41" x14ac:dyDescent="0.25">
      <c r="B9" s="8" t="s">
        <v>205</v>
      </c>
      <c r="C9" s="131"/>
      <c r="D9" s="19">
        <v>14400</v>
      </c>
      <c r="E9" s="76">
        <f t="shared" si="2"/>
        <v>13202</v>
      </c>
      <c r="F9" s="76">
        <f t="shared" si="2"/>
        <v>13202</v>
      </c>
      <c r="G9" s="78">
        <f ca="1">SUMIF($R$3:$AO$3,"&lt;"&amp;TODAY(),$R9:$AO9)</f>
        <v>13202</v>
      </c>
      <c r="H9" s="435">
        <f ca="1">SUM(F9-G9)</f>
        <v>0</v>
      </c>
      <c r="I9" s="435">
        <f>E9-F9</f>
        <v>0</v>
      </c>
      <c r="J9" s="366" t="s">
        <v>327</v>
      </c>
      <c r="K9" s="19"/>
      <c r="L9" s="2"/>
      <c r="M9" s="2"/>
      <c r="N9" s="2"/>
      <c r="O9" s="2"/>
      <c r="P9" s="2"/>
      <c r="Q9" s="2"/>
      <c r="R9" s="2"/>
      <c r="S9" s="288">
        <v>13202</v>
      </c>
      <c r="T9" s="2"/>
      <c r="U9" s="2"/>
      <c r="V9" s="2"/>
      <c r="W9" s="2"/>
      <c r="X9" s="2"/>
      <c r="Y9" s="2"/>
      <c r="Z9" s="2"/>
      <c r="AA9" s="2"/>
      <c r="AB9" s="2"/>
      <c r="AC9" s="2"/>
      <c r="AD9" s="2"/>
      <c r="AE9" s="2"/>
      <c r="AF9" s="2"/>
      <c r="AG9" s="2"/>
      <c r="AH9" s="2"/>
      <c r="AI9" s="76"/>
      <c r="AO9" s="131"/>
    </row>
    <row r="10" spans="2:41" x14ac:dyDescent="0.25">
      <c r="B10" s="8" t="s">
        <v>329</v>
      </c>
      <c r="C10" s="131"/>
      <c r="D10" s="67">
        <v>1491</v>
      </c>
      <c r="E10" s="67">
        <v>1491</v>
      </c>
      <c r="F10" s="67">
        <v>1491</v>
      </c>
      <c r="G10" s="78">
        <f t="shared" ref="G10:G14" ca="1" si="4">SUMIF($R$3:$AO$3,"&lt;"&amp;TODAY(),$R10:$AO10)</f>
        <v>1491</v>
      </c>
      <c r="H10" s="435">
        <f ca="1">SUM(F10-G10)</f>
        <v>0</v>
      </c>
      <c r="I10" s="435">
        <f>E10-F10</f>
        <v>0</v>
      </c>
      <c r="J10" s="366" t="s">
        <v>327</v>
      </c>
      <c r="K10" s="19"/>
      <c r="L10" s="2"/>
      <c r="M10" s="2"/>
      <c r="N10" s="2"/>
      <c r="O10" s="2"/>
      <c r="P10" s="2"/>
      <c r="Q10" s="2"/>
      <c r="R10" s="2"/>
      <c r="S10" s="2"/>
      <c r="T10" s="2"/>
      <c r="U10" s="2">
        <v>1491</v>
      </c>
      <c r="V10" s="2"/>
      <c r="W10" s="2"/>
      <c r="X10" s="2"/>
      <c r="Y10" s="2"/>
      <c r="Z10" s="2"/>
      <c r="AA10" s="2"/>
      <c r="AB10" s="2"/>
      <c r="AC10" s="2"/>
      <c r="AD10" s="2"/>
      <c r="AE10" s="2"/>
      <c r="AF10" s="2"/>
      <c r="AG10" s="2"/>
      <c r="AH10" s="2"/>
      <c r="AI10" s="76"/>
      <c r="AO10" s="131"/>
    </row>
    <row r="11" spans="2:41" x14ac:dyDescent="0.25">
      <c r="B11" s="8" t="s">
        <v>330</v>
      </c>
      <c r="C11" s="131"/>
      <c r="D11" s="19">
        <v>2838</v>
      </c>
      <c r="E11" s="19">
        <v>2838</v>
      </c>
      <c r="F11" s="19">
        <v>2838</v>
      </c>
      <c r="G11" s="78">
        <f t="shared" ca="1" si="4"/>
        <v>2838</v>
      </c>
      <c r="H11" s="435">
        <f ca="1">SUM(F11-G11)</f>
        <v>0</v>
      </c>
      <c r="I11" s="435">
        <f>E11-F11</f>
        <v>0</v>
      </c>
      <c r="J11" s="366" t="s">
        <v>327</v>
      </c>
      <c r="K11" s="19"/>
      <c r="L11" s="2"/>
      <c r="M11" s="2"/>
      <c r="N11" s="2"/>
      <c r="O11" s="2"/>
      <c r="P11" s="2"/>
      <c r="Q11" s="2"/>
      <c r="R11" s="2"/>
      <c r="S11" s="2"/>
      <c r="T11" s="2"/>
      <c r="U11" s="2"/>
      <c r="V11" s="2">
        <v>2838</v>
      </c>
      <c r="W11" s="2"/>
      <c r="X11" s="2"/>
      <c r="Y11" s="2"/>
      <c r="Z11" s="2"/>
      <c r="AA11" s="2"/>
      <c r="AB11" s="2"/>
      <c r="AC11" s="2"/>
      <c r="AD11" s="2"/>
      <c r="AE11" s="2"/>
      <c r="AF11" s="2"/>
      <c r="AG11" s="2"/>
      <c r="AH11" s="2"/>
      <c r="AI11" s="76"/>
      <c r="AO11" s="131"/>
    </row>
    <row r="12" spans="2:41" x14ac:dyDescent="0.25">
      <c r="B12" s="13" t="s">
        <v>148</v>
      </c>
      <c r="C12" s="264"/>
      <c r="D12" s="20">
        <v>50000</v>
      </c>
      <c r="E12" s="20">
        <v>72000</v>
      </c>
      <c r="F12" s="327">
        <v>125000</v>
      </c>
      <c r="G12" s="20">
        <f t="shared" ca="1" si="3"/>
        <v>800</v>
      </c>
      <c r="H12" s="20"/>
      <c r="I12" s="436">
        <f>E12-F12</f>
        <v>-53000</v>
      </c>
      <c r="J12" s="20"/>
      <c r="K12" s="20"/>
      <c r="L12" s="2"/>
      <c r="M12" s="2"/>
      <c r="N12" s="2"/>
      <c r="O12" s="2"/>
      <c r="P12" s="2"/>
      <c r="Q12" s="2"/>
      <c r="R12" s="2"/>
      <c r="S12" s="2"/>
      <c r="T12" s="2"/>
      <c r="U12" s="2"/>
      <c r="V12" s="2"/>
      <c r="W12" s="288">
        <v>800</v>
      </c>
      <c r="Y12" s="2"/>
      <c r="Z12" s="2"/>
      <c r="AA12" s="2"/>
      <c r="AB12" s="2"/>
      <c r="AC12" s="2"/>
      <c r="AD12" s="2"/>
      <c r="AE12" s="2"/>
      <c r="AF12" s="2"/>
      <c r="AG12" s="2"/>
      <c r="AH12" s="2"/>
      <c r="AI12" s="76"/>
      <c r="AO12" s="131"/>
    </row>
    <row r="13" spans="2:41" ht="15.75" thickBot="1" x14ac:dyDescent="0.3">
      <c r="B13" s="160" t="s">
        <v>331</v>
      </c>
      <c r="C13" s="250"/>
      <c r="D13" s="648">
        <f>SUBTOTAL(9,D9:D12)</f>
        <v>68729</v>
      </c>
      <c r="E13" s="648">
        <f>SUBTOTAL(9,E9:E12)</f>
        <v>89531</v>
      </c>
      <c r="F13" s="648">
        <f t="shared" ref="F13:I13" si="5">SUBTOTAL(9,F9:F12)</f>
        <v>142531</v>
      </c>
      <c r="G13" s="648">
        <f t="shared" ca="1" si="5"/>
        <v>18331</v>
      </c>
      <c r="H13" s="648">
        <f t="shared" ca="1" si="5"/>
        <v>0</v>
      </c>
      <c r="I13" s="648">
        <f t="shared" si="5"/>
        <v>-53000</v>
      </c>
      <c r="J13" s="648"/>
      <c r="K13" s="648"/>
      <c r="L13" s="649">
        <f>SUBTOTAL(9,L9:L12)</f>
        <v>0</v>
      </c>
      <c r="M13" s="650">
        <f>SUBTOTAL(9,M9:M12)</f>
        <v>0</v>
      </c>
      <c r="N13" s="650">
        <f t="shared" ref="N13:AH13" si="6">SUBTOTAL(9,N9:N12)</f>
        <v>0</v>
      </c>
      <c r="O13" s="650">
        <f t="shared" si="6"/>
        <v>0</v>
      </c>
      <c r="P13" s="650">
        <f t="shared" si="6"/>
        <v>0</v>
      </c>
      <c r="Q13" s="650">
        <f t="shared" si="6"/>
        <v>0</v>
      </c>
      <c r="R13" s="650">
        <f t="shared" si="6"/>
        <v>0</v>
      </c>
      <c r="S13" s="650">
        <f t="shared" si="6"/>
        <v>13202</v>
      </c>
      <c r="T13" s="650">
        <f t="shared" si="6"/>
        <v>0</v>
      </c>
      <c r="U13" s="650">
        <f t="shared" si="6"/>
        <v>1491</v>
      </c>
      <c r="V13" s="650">
        <f t="shared" si="6"/>
        <v>2838</v>
      </c>
      <c r="W13" s="650">
        <f t="shared" si="6"/>
        <v>800</v>
      </c>
      <c r="X13" s="650">
        <f t="shared" si="6"/>
        <v>0</v>
      </c>
      <c r="Y13" s="650">
        <f t="shared" si="6"/>
        <v>0</v>
      </c>
      <c r="Z13" s="650">
        <f t="shared" si="6"/>
        <v>0</v>
      </c>
      <c r="AA13" s="650">
        <f t="shared" si="6"/>
        <v>0</v>
      </c>
      <c r="AB13" s="650">
        <f t="shared" si="6"/>
        <v>0</v>
      </c>
      <c r="AC13" s="650">
        <f t="shared" si="6"/>
        <v>0</v>
      </c>
      <c r="AD13" s="650">
        <f t="shared" si="6"/>
        <v>0</v>
      </c>
      <c r="AE13" s="650">
        <f t="shared" si="6"/>
        <v>0</v>
      </c>
      <c r="AF13" s="650">
        <f t="shared" si="6"/>
        <v>0</v>
      </c>
      <c r="AG13" s="650">
        <f t="shared" si="6"/>
        <v>0</v>
      </c>
      <c r="AH13" s="650">
        <f t="shared" si="6"/>
        <v>0</v>
      </c>
      <c r="AI13" s="652">
        <f>SUBTOTAL(9,AI9:AI12)</f>
        <v>0</v>
      </c>
      <c r="AJ13" s="650">
        <f>SUBTOTAL(9,AJ9:AJ12)</f>
        <v>0</v>
      </c>
      <c r="AK13" s="650">
        <f t="shared" ref="AK13:AO13" si="7">SUBTOTAL(9,AK9:AK12)</f>
        <v>0</v>
      </c>
      <c r="AL13" s="650">
        <f t="shared" si="7"/>
        <v>0</v>
      </c>
      <c r="AM13" s="650">
        <f t="shared" si="7"/>
        <v>0</v>
      </c>
      <c r="AN13" s="650">
        <f t="shared" si="7"/>
        <v>0</v>
      </c>
      <c r="AO13" s="652">
        <f t="shared" si="7"/>
        <v>0</v>
      </c>
    </row>
    <row r="14" spans="2:41" ht="15.75" thickTop="1" x14ac:dyDescent="0.25">
      <c r="B14" s="14" t="s">
        <v>332</v>
      </c>
      <c r="C14" s="250"/>
      <c r="D14" s="21">
        <v>21150</v>
      </c>
      <c r="E14" s="21">
        <v>21150</v>
      </c>
      <c r="F14" s="21">
        <v>21150</v>
      </c>
      <c r="G14" s="80">
        <f t="shared" ca="1" si="4"/>
        <v>21149.08</v>
      </c>
      <c r="H14" s="436">
        <f t="shared" ref="H14:H42" ca="1" si="8">SUM(F14-G14)</f>
        <v>0.91999999999825377</v>
      </c>
      <c r="I14" s="672">
        <f t="shared" ref="I14:I44" si="9">E14-F14</f>
        <v>0</v>
      </c>
      <c r="J14" s="366" t="s">
        <v>333</v>
      </c>
      <c r="K14" s="19" t="s">
        <v>334</v>
      </c>
      <c r="L14" s="2"/>
      <c r="M14" s="2"/>
      <c r="N14" s="2"/>
      <c r="O14" s="2"/>
      <c r="P14" s="2"/>
      <c r="Q14" s="2"/>
      <c r="R14" s="2"/>
      <c r="S14" s="2"/>
      <c r="U14" s="2"/>
      <c r="V14" s="2"/>
      <c r="W14" s="310">
        <v>2179.4499999999998</v>
      </c>
      <c r="X14" s="310">
        <v>3057.75</v>
      </c>
      <c r="Y14" s="288">
        <v>1087.05</v>
      </c>
      <c r="Z14" s="297">
        <v>935</v>
      </c>
      <c r="AA14" s="328">
        <v>681.75</v>
      </c>
      <c r="AB14" s="288">
        <v>2614</v>
      </c>
      <c r="AC14" s="288">
        <v>574.92999999999995</v>
      </c>
      <c r="AD14" s="288">
        <v>2034.77</v>
      </c>
      <c r="AE14" s="288">
        <v>1376.68</v>
      </c>
      <c r="AF14" s="288">
        <v>3448</v>
      </c>
      <c r="AG14" s="282">
        <v>1508</v>
      </c>
      <c r="AH14" s="426"/>
      <c r="AI14" s="695">
        <v>1651.7</v>
      </c>
      <c r="AJ14" s="2"/>
      <c r="AK14" s="2"/>
      <c r="AL14" s="2"/>
      <c r="AO14" s="131"/>
    </row>
    <row r="15" spans="2:41" x14ac:dyDescent="0.25">
      <c r="B15" s="14" t="s">
        <v>335</v>
      </c>
      <c r="C15" s="250"/>
      <c r="D15" s="21">
        <v>150000</v>
      </c>
      <c r="E15" s="21">
        <v>250000</v>
      </c>
      <c r="F15" s="21">
        <v>292697</v>
      </c>
      <c r="G15" s="80">
        <f t="shared" ref="G15" ca="1" si="10">SUMIF($R$3:$AO$3,"&lt;"&amp;TODAY(),$R15:$AO15)</f>
        <v>292648.17</v>
      </c>
      <c r="H15" s="436">
        <f t="shared" ca="1" si="8"/>
        <v>48.830000000016298</v>
      </c>
      <c r="I15" s="673">
        <f t="shared" si="9"/>
        <v>-42697</v>
      </c>
      <c r="J15" s="375" t="s">
        <v>327</v>
      </c>
      <c r="K15" s="21" t="s">
        <v>336</v>
      </c>
      <c r="L15" s="2"/>
      <c r="M15" s="2"/>
      <c r="N15" s="2"/>
      <c r="O15" s="2"/>
      <c r="P15" s="2"/>
      <c r="Q15" s="2"/>
      <c r="R15" s="2"/>
      <c r="S15" s="2"/>
      <c r="U15" s="2"/>
      <c r="V15" s="2"/>
      <c r="W15" s="309"/>
      <c r="X15" s="2"/>
      <c r="Y15" s="288">
        <v>1504.17</v>
      </c>
      <c r="Z15" s="2"/>
      <c r="AA15" s="326"/>
      <c r="AB15" s="2"/>
      <c r="AC15" s="2"/>
      <c r="AD15" s="2"/>
      <c r="AE15" s="2"/>
      <c r="AF15" s="2"/>
      <c r="AG15" s="2"/>
      <c r="AH15" s="426"/>
      <c r="AI15" s="354">
        <v>291144</v>
      </c>
      <c r="AO15" s="131"/>
    </row>
    <row r="16" spans="2:41" ht="15.75" customHeight="1" x14ac:dyDescent="0.25">
      <c r="B16" s="16" t="s">
        <v>337</v>
      </c>
      <c r="C16" t="s">
        <v>338</v>
      </c>
      <c r="D16" s="19">
        <v>1296</v>
      </c>
      <c r="E16" s="19">
        <f t="shared" si="2"/>
        <v>1296</v>
      </c>
      <c r="F16" s="19">
        <v>1296</v>
      </c>
      <c r="G16" s="25">
        <f ca="1">SUMIF($R$3:$AO$3,"&lt;"&amp;TODAY(),$R16:$AO16)</f>
        <v>1296</v>
      </c>
      <c r="H16" s="705">
        <f t="shared" ca="1" si="8"/>
        <v>0</v>
      </c>
      <c r="I16" s="435">
        <f t="shared" si="9"/>
        <v>0</v>
      </c>
      <c r="J16" s="375" t="s">
        <v>327</v>
      </c>
      <c r="K16" s="76" t="s">
        <v>339</v>
      </c>
      <c r="L16" s="2"/>
      <c r="M16" s="2"/>
      <c r="N16" s="2"/>
      <c r="O16" s="2"/>
      <c r="P16" s="2"/>
      <c r="Q16" s="2"/>
      <c r="R16" s="282">
        <v>1115</v>
      </c>
      <c r="S16" s="288">
        <v>181</v>
      </c>
      <c r="U16" s="2"/>
      <c r="V16" s="2"/>
      <c r="W16" s="309"/>
      <c r="X16" s="2"/>
      <c r="Z16" s="2"/>
      <c r="AA16" s="326"/>
      <c r="AB16" s="2"/>
      <c r="AC16" s="2"/>
      <c r="AD16" s="2"/>
      <c r="AE16" s="2"/>
      <c r="AF16" s="2"/>
      <c r="AG16" s="2"/>
      <c r="AH16" s="426"/>
      <c r="AI16" s="76"/>
      <c r="AO16" s="131"/>
    </row>
    <row r="17" spans="2:41" ht="15.75" customHeight="1" x14ac:dyDescent="0.25">
      <c r="B17" s="16" t="s">
        <v>340</v>
      </c>
      <c r="C17" t="s">
        <v>341</v>
      </c>
      <c r="D17" s="19">
        <v>16650</v>
      </c>
      <c r="E17" s="19">
        <v>16650</v>
      </c>
      <c r="F17" s="19">
        <f>16650+342.01</f>
        <v>16992.009999999998</v>
      </c>
      <c r="G17" s="19">
        <f t="shared" ref="G17:G40" ca="1" si="11">SUMIF($R$3:$AO$3,"&lt;"&amp;TODAY(),$R17:$AO17)</f>
        <v>16992.010000000002</v>
      </c>
      <c r="H17" s="705">
        <f t="shared" ca="1" si="8"/>
        <v>-3.637978807091713E-12</v>
      </c>
      <c r="I17" s="435">
        <f t="shared" si="9"/>
        <v>-342.0099999999984</v>
      </c>
      <c r="J17" s="366" t="s">
        <v>333</v>
      </c>
      <c r="K17" s="76" t="s">
        <v>334</v>
      </c>
      <c r="L17" s="2"/>
      <c r="M17" s="2"/>
      <c r="N17" s="2"/>
      <c r="O17" s="2"/>
      <c r="P17" s="2"/>
      <c r="Q17" s="2"/>
      <c r="R17" s="2"/>
      <c r="S17" s="2"/>
      <c r="U17" s="2"/>
      <c r="V17" s="2"/>
      <c r="W17" s="310">
        <v>3225.81</v>
      </c>
      <c r="X17" s="310">
        <v>2990.13</v>
      </c>
      <c r="Y17" s="310">
        <v>1530.7</v>
      </c>
      <c r="Z17" s="310">
        <v>1179.5</v>
      </c>
      <c r="AA17" s="328">
        <v>840.75</v>
      </c>
      <c r="AB17" s="288">
        <v>796.45</v>
      </c>
      <c r="AC17" s="288">
        <v>1372</v>
      </c>
      <c r="AD17" s="288">
        <v>992.75</v>
      </c>
      <c r="AE17" s="288">
        <v>1025.3800000000001</v>
      </c>
      <c r="AF17" s="288">
        <v>1496</v>
      </c>
      <c r="AG17" s="282">
        <v>312.54000000000002</v>
      </c>
      <c r="AH17" s="426"/>
      <c r="AI17" s="695">
        <v>1230</v>
      </c>
      <c r="AO17" s="131"/>
    </row>
    <row r="18" spans="2:41" ht="15.75" customHeight="1" x14ac:dyDescent="0.25">
      <c r="B18" s="16"/>
      <c r="C18" t="s">
        <v>342</v>
      </c>
      <c r="D18" s="19">
        <v>4500</v>
      </c>
      <c r="E18" s="19">
        <v>4500</v>
      </c>
      <c r="F18" s="19">
        <v>4500</v>
      </c>
      <c r="G18" s="19">
        <f t="shared" ca="1" si="11"/>
        <v>4499.5</v>
      </c>
      <c r="H18" s="705">
        <f t="shared" ca="1" si="8"/>
        <v>0.5</v>
      </c>
      <c r="I18" s="435">
        <f t="shared" si="9"/>
        <v>0</v>
      </c>
      <c r="J18" s="366" t="s">
        <v>327</v>
      </c>
      <c r="K18" s="76" t="s">
        <v>334</v>
      </c>
      <c r="L18" s="2"/>
      <c r="M18" s="2"/>
      <c r="N18" s="2"/>
      <c r="O18" s="2"/>
      <c r="P18" s="2"/>
      <c r="Q18" s="2"/>
      <c r="R18" s="2"/>
      <c r="S18" s="2"/>
      <c r="U18" s="2"/>
      <c r="V18" s="2"/>
      <c r="W18" s="310">
        <v>760.5</v>
      </c>
      <c r="X18" s="310">
        <v>3739</v>
      </c>
      <c r="Y18" s="2"/>
      <c r="Z18" s="2"/>
      <c r="AA18" s="326"/>
      <c r="AB18" s="2"/>
      <c r="AD18" s="2"/>
      <c r="AE18" s="2"/>
      <c r="AF18" s="2"/>
      <c r="AG18" s="2"/>
      <c r="AH18" s="426"/>
      <c r="AI18" s="695"/>
      <c r="AO18" s="131"/>
    </row>
    <row r="19" spans="2:41" ht="15.75" customHeight="1" x14ac:dyDescent="0.25">
      <c r="B19" s="16" t="s">
        <v>174</v>
      </c>
      <c r="C19" t="s">
        <v>343</v>
      </c>
      <c r="D19" s="19">
        <v>5500</v>
      </c>
      <c r="E19" s="19">
        <v>5500</v>
      </c>
      <c r="F19" s="19">
        <v>5500.01</v>
      </c>
      <c r="G19" s="19">
        <f t="shared" ca="1" si="11"/>
        <v>5500.0099999999993</v>
      </c>
      <c r="H19" s="705">
        <f t="shared" ca="1" si="8"/>
        <v>9.0949470177292824E-13</v>
      </c>
      <c r="I19" s="435">
        <f t="shared" si="9"/>
        <v>-1.0000000000218279E-2</v>
      </c>
      <c r="J19" s="366" t="s">
        <v>327</v>
      </c>
      <c r="K19" s="19" t="s">
        <v>334</v>
      </c>
      <c r="L19" s="2"/>
      <c r="M19" s="2"/>
      <c r="N19" s="2"/>
      <c r="O19" s="2"/>
      <c r="P19" s="2"/>
      <c r="Q19" s="2"/>
      <c r="R19" s="2"/>
      <c r="S19" s="2"/>
      <c r="U19" s="2"/>
      <c r="V19" s="2"/>
      <c r="W19" s="310">
        <v>863.63</v>
      </c>
      <c r="X19" s="310">
        <v>624.76</v>
      </c>
      <c r="Y19" s="288">
        <v>234</v>
      </c>
      <c r="Z19" s="297">
        <v>2500</v>
      </c>
      <c r="AA19" s="328">
        <v>1277.6199999999999</v>
      </c>
      <c r="AB19" s="288">
        <v>0</v>
      </c>
      <c r="AC19" s="288">
        <v>142</v>
      </c>
      <c r="AD19" s="288">
        <v>-142</v>
      </c>
      <c r="AE19" s="288">
        <v>0</v>
      </c>
      <c r="AF19" s="288">
        <v>0</v>
      </c>
      <c r="AG19" s="282">
        <v>0</v>
      </c>
      <c r="AH19" s="426"/>
      <c r="AI19" s="695"/>
      <c r="AO19" s="131"/>
    </row>
    <row r="20" spans="2:41" ht="15.75" customHeight="1" x14ac:dyDescent="0.25">
      <c r="B20" s="16"/>
      <c r="C20" t="s">
        <v>344</v>
      </c>
      <c r="D20" s="19">
        <v>20000</v>
      </c>
      <c r="E20" s="19">
        <v>20000</v>
      </c>
      <c r="F20" s="19">
        <v>2471.25</v>
      </c>
      <c r="G20" s="19">
        <f t="shared" ca="1" si="11"/>
        <v>2471.25</v>
      </c>
      <c r="H20" s="706">
        <f t="shared" ca="1" si="8"/>
        <v>0</v>
      </c>
      <c r="I20" s="435">
        <f t="shared" si="9"/>
        <v>17528.75</v>
      </c>
      <c r="J20" s="368" t="s">
        <v>345</v>
      </c>
      <c r="K20" s="19" t="s">
        <v>334</v>
      </c>
      <c r="L20" s="2"/>
      <c r="M20" s="2"/>
      <c r="N20" s="2"/>
      <c r="O20" s="2"/>
      <c r="P20" s="2"/>
      <c r="Q20" s="2"/>
      <c r="R20" s="2"/>
      <c r="S20" s="2"/>
      <c r="U20" s="2"/>
      <c r="V20" s="2"/>
      <c r="W20" s="309"/>
      <c r="X20" s="309"/>
      <c r="Y20" s="2"/>
      <c r="Z20" s="2"/>
      <c r="AA20" s="656">
        <v>2040</v>
      </c>
      <c r="AB20" s="423">
        <v>431.25</v>
      </c>
      <c r="AD20" s="2"/>
      <c r="AE20" s="2"/>
      <c r="AF20" s="2"/>
      <c r="AG20" s="2"/>
      <c r="AH20" s="426"/>
      <c r="AI20" s="695"/>
      <c r="AO20" s="131"/>
    </row>
    <row r="21" spans="2:41" ht="15.75" customHeight="1" x14ac:dyDescent="0.25">
      <c r="B21" s="16" t="s">
        <v>281</v>
      </c>
      <c r="C21" t="s">
        <v>346</v>
      </c>
      <c r="D21" s="19">
        <v>34275</v>
      </c>
      <c r="E21" s="19">
        <v>34275</v>
      </c>
      <c r="F21" s="19">
        <f>34275+1700-142+1058.42</f>
        <v>36891.42</v>
      </c>
      <c r="G21" s="19">
        <f t="shared" ca="1" si="11"/>
        <v>36891.42</v>
      </c>
      <c r="H21" s="706">
        <f t="shared" ca="1" si="8"/>
        <v>0</v>
      </c>
      <c r="I21" s="435">
        <f t="shared" si="9"/>
        <v>-2616.4199999999983</v>
      </c>
      <c r="J21" s="366" t="s">
        <v>333</v>
      </c>
      <c r="K21" s="19" t="s">
        <v>334</v>
      </c>
      <c r="L21" s="2"/>
      <c r="M21" s="2"/>
      <c r="N21" s="2"/>
      <c r="O21" s="2"/>
      <c r="P21" s="2"/>
      <c r="Q21" s="2"/>
      <c r="R21" s="2"/>
      <c r="S21" s="2"/>
      <c r="U21" s="2"/>
      <c r="V21" s="2"/>
      <c r="W21" s="288">
        <v>4681.13</v>
      </c>
      <c r="X21" s="288">
        <v>5564.29</v>
      </c>
      <c r="Y21" s="288">
        <v>3540</v>
      </c>
      <c r="Z21" s="653">
        <v>5264.13</v>
      </c>
      <c r="AA21" s="654">
        <v>2488.0300000000002</v>
      </c>
      <c r="AB21" s="288">
        <v>1785.85</v>
      </c>
      <c r="AC21" s="288">
        <v>972</v>
      </c>
      <c r="AD21" s="288">
        <v>5155</v>
      </c>
      <c r="AE21" s="288">
        <v>1173.6300000000001</v>
      </c>
      <c r="AF21" s="288">
        <v>1806.25</v>
      </c>
      <c r="AG21" s="282">
        <v>2524.3000000000002</v>
      </c>
      <c r="AH21" s="426"/>
      <c r="AI21" s="695">
        <v>1936.81</v>
      </c>
      <c r="AO21" s="131"/>
    </row>
    <row r="22" spans="2:41" x14ac:dyDescent="0.25">
      <c r="B22" s="16"/>
      <c r="C22" t="s">
        <v>347</v>
      </c>
      <c r="D22" s="19">
        <v>18450</v>
      </c>
      <c r="E22" s="19">
        <v>18450</v>
      </c>
      <c r="F22" s="19">
        <f>18450+142+2040-177.25</f>
        <v>20454.75</v>
      </c>
      <c r="G22" s="19">
        <f t="shared" ca="1" si="11"/>
        <v>20454.749999999996</v>
      </c>
      <c r="H22" s="706">
        <f t="shared" ca="1" si="8"/>
        <v>3.637978807091713E-12</v>
      </c>
      <c r="I22" s="435">
        <f t="shared" si="9"/>
        <v>-2004.75</v>
      </c>
      <c r="J22" s="366" t="s">
        <v>333</v>
      </c>
      <c r="K22" s="19" t="s">
        <v>334</v>
      </c>
      <c r="L22" s="2"/>
      <c r="M22" s="2"/>
      <c r="N22" s="2"/>
      <c r="O22" s="2"/>
      <c r="P22" s="2"/>
      <c r="Q22" s="2"/>
      <c r="R22" s="2"/>
      <c r="S22" s="2"/>
      <c r="T22" s="2"/>
      <c r="U22" s="2"/>
      <c r="V22" s="2"/>
      <c r="W22" s="310">
        <v>452</v>
      </c>
      <c r="X22" s="310">
        <v>339</v>
      </c>
      <c r="Y22" s="288">
        <v>678</v>
      </c>
      <c r="Z22" s="297">
        <v>565</v>
      </c>
      <c r="AA22" s="328">
        <v>678</v>
      </c>
      <c r="AB22" s="288">
        <v>1551.95</v>
      </c>
      <c r="AC22" s="288">
        <v>956.9</v>
      </c>
      <c r="AD22" s="288">
        <v>2884.55</v>
      </c>
      <c r="AE22" s="288">
        <v>344.8</v>
      </c>
      <c r="AF22" s="288">
        <v>5168</v>
      </c>
      <c r="AG22" s="282">
        <v>3082</v>
      </c>
      <c r="AH22" s="426"/>
      <c r="AI22" s="695">
        <v>3754.55</v>
      </c>
      <c r="AO22" s="131"/>
    </row>
    <row r="23" spans="2:41" x14ac:dyDescent="0.25">
      <c r="B23" s="16"/>
      <c r="C23" t="s">
        <v>348</v>
      </c>
      <c r="D23" s="19">
        <v>6900</v>
      </c>
      <c r="E23" s="19">
        <v>6900</v>
      </c>
      <c r="F23" s="19">
        <v>6900</v>
      </c>
      <c r="G23" s="19">
        <f t="shared" ca="1" si="11"/>
        <v>0</v>
      </c>
      <c r="H23" s="706">
        <f t="shared" ca="1" si="8"/>
        <v>6900</v>
      </c>
      <c r="I23" s="435">
        <f t="shared" si="9"/>
        <v>0</v>
      </c>
      <c r="J23" s="375" t="s">
        <v>327</v>
      </c>
      <c r="K23" s="19" t="s">
        <v>334</v>
      </c>
      <c r="L23" s="2"/>
      <c r="M23" s="2"/>
      <c r="N23" s="2"/>
      <c r="O23" s="2"/>
      <c r="P23" s="2"/>
      <c r="Q23" s="2"/>
      <c r="R23" s="2"/>
      <c r="S23" s="2"/>
      <c r="T23" s="2"/>
      <c r="U23" s="2"/>
      <c r="V23" s="2"/>
      <c r="W23" s="309"/>
      <c r="X23" s="309"/>
      <c r="Y23" s="2"/>
      <c r="Z23" s="2"/>
      <c r="AA23" s="326"/>
      <c r="AB23" s="2"/>
      <c r="AC23" s="2"/>
      <c r="AD23" s="2"/>
      <c r="AE23" s="2"/>
      <c r="AF23" s="2"/>
      <c r="AG23" s="2"/>
      <c r="AH23" s="426"/>
      <c r="AI23" s="695"/>
      <c r="AO23" s="131"/>
    </row>
    <row r="24" spans="2:41" x14ac:dyDescent="0.25">
      <c r="B24" s="16"/>
      <c r="C24" t="s">
        <v>349</v>
      </c>
      <c r="D24" s="19">
        <v>7500</v>
      </c>
      <c r="E24" s="19">
        <v>7500</v>
      </c>
      <c r="F24" s="19">
        <f>7520+169.01</f>
        <v>7689.01</v>
      </c>
      <c r="G24" s="19">
        <f t="shared" ca="1" si="11"/>
        <v>7689.01</v>
      </c>
      <c r="H24" s="706">
        <f t="shared" ca="1" si="8"/>
        <v>0</v>
      </c>
      <c r="I24" s="435">
        <f t="shared" si="9"/>
        <v>-189.01000000000022</v>
      </c>
      <c r="J24" s="366" t="s">
        <v>333</v>
      </c>
      <c r="K24" s="19" t="s">
        <v>334</v>
      </c>
      <c r="L24" s="2"/>
      <c r="M24" s="2"/>
      <c r="N24" s="2"/>
      <c r="O24" s="2"/>
      <c r="P24" s="2"/>
      <c r="Q24" s="2"/>
      <c r="R24" s="2"/>
      <c r="S24" s="2"/>
      <c r="U24" s="2"/>
      <c r="V24" s="2"/>
      <c r="W24" s="310">
        <v>311.5</v>
      </c>
      <c r="X24" s="310">
        <v>1775</v>
      </c>
      <c r="Y24" s="288">
        <v>2437.42</v>
      </c>
      <c r="Z24" s="297">
        <v>445</v>
      </c>
      <c r="AA24" s="310">
        <v>0</v>
      </c>
      <c r="AB24" s="288">
        <v>182.88</v>
      </c>
      <c r="AC24" s="288">
        <v>993.38</v>
      </c>
      <c r="AD24" s="288">
        <v>1317.75</v>
      </c>
      <c r="AE24" s="288">
        <v>0</v>
      </c>
      <c r="AF24" s="288">
        <v>77.08</v>
      </c>
      <c r="AG24" s="282">
        <v>0</v>
      </c>
      <c r="AH24" s="426"/>
      <c r="AI24" s="695">
        <v>149</v>
      </c>
      <c r="AO24" s="131"/>
    </row>
    <row r="25" spans="2:41" x14ac:dyDescent="0.25">
      <c r="B25" s="16"/>
      <c r="C25" t="s">
        <v>350</v>
      </c>
      <c r="D25" s="19">
        <v>16500</v>
      </c>
      <c r="E25" s="19">
        <v>20020</v>
      </c>
      <c r="F25" s="19">
        <f>16500+3520+6669.75</f>
        <v>26689.75</v>
      </c>
      <c r="G25" s="19">
        <f t="shared" ca="1" si="11"/>
        <v>26688.880000000001</v>
      </c>
      <c r="H25" s="706">
        <f t="shared" ca="1" si="8"/>
        <v>0.86999999999898137</v>
      </c>
      <c r="I25" s="435">
        <f t="shared" si="9"/>
        <v>-6669.75</v>
      </c>
      <c r="J25" s="366" t="s">
        <v>333</v>
      </c>
      <c r="K25" s="19" t="s">
        <v>334</v>
      </c>
      <c r="L25" s="2"/>
      <c r="M25" s="2"/>
      <c r="N25" s="2"/>
      <c r="O25" s="2"/>
      <c r="P25" s="2"/>
      <c r="Q25" s="2"/>
      <c r="R25" s="2"/>
      <c r="S25" s="2"/>
      <c r="U25" s="2"/>
      <c r="V25" s="2"/>
      <c r="W25" s="423">
        <v>2373.25</v>
      </c>
      <c r="X25" s="423">
        <v>626.25</v>
      </c>
      <c r="Y25" s="423">
        <v>1602</v>
      </c>
      <c r="Z25" s="655">
        <v>3480</v>
      </c>
      <c r="AA25" s="656">
        <v>1446.25</v>
      </c>
      <c r="AB25" s="423">
        <v>5471.38</v>
      </c>
      <c r="AC25" s="310">
        <v>1500</v>
      </c>
      <c r="AD25" s="288">
        <v>3520</v>
      </c>
      <c r="AE25" s="432"/>
      <c r="AF25" s="310">
        <v>6669.75</v>
      </c>
      <c r="AG25" s="282">
        <v>0</v>
      </c>
      <c r="AH25" s="2"/>
      <c r="AI25" s="76"/>
      <c r="AO25" s="131"/>
    </row>
    <row r="26" spans="2:41" x14ac:dyDescent="0.25">
      <c r="B26" s="16"/>
      <c r="C26" t="s">
        <v>351</v>
      </c>
      <c r="D26" s="19">
        <v>0</v>
      </c>
      <c r="E26" s="19">
        <v>17670</v>
      </c>
      <c r="F26" s="19">
        <v>17670</v>
      </c>
      <c r="G26" s="19">
        <f t="shared" ca="1" si="11"/>
        <v>17670</v>
      </c>
      <c r="H26" s="706">
        <f t="shared" ca="1" si="8"/>
        <v>0</v>
      </c>
      <c r="I26" s="435">
        <f t="shared" si="9"/>
        <v>0</v>
      </c>
      <c r="J26" s="366" t="s">
        <v>333</v>
      </c>
      <c r="K26" s="19" t="s">
        <v>334</v>
      </c>
      <c r="L26" s="2"/>
      <c r="M26" s="2"/>
      <c r="N26" s="2"/>
      <c r="O26" s="2"/>
      <c r="P26" s="2"/>
      <c r="Q26" s="2"/>
      <c r="R26" s="2"/>
      <c r="S26" s="2"/>
      <c r="U26" s="2"/>
      <c r="V26" s="2"/>
      <c r="W26" s="310"/>
      <c r="X26" s="309"/>
      <c r="Y26" s="309"/>
      <c r="Z26" s="309"/>
      <c r="AA26" s="309"/>
      <c r="AB26" s="309"/>
      <c r="AC26" s="309"/>
      <c r="AD26" s="2"/>
      <c r="AE26" s="288">
        <v>17670</v>
      </c>
      <c r="AG26" s="2"/>
      <c r="AH26" s="2"/>
      <c r="AI26" s="76"/>
      <c r="AO26" s="131"/>
    </row>
    <row r="27" spans="2:41" x14ac:dyDescent="0.25">
      <c r="B27" s="16"/>
      <c r="C27" t="s">
        <v>352</v>
      </c>
      <c r="D27" s="19">
        <v>30000</v>
      </c>
      <c r="E27" s="19">
        <v>30000</v>
      </c>
      <c r="F27" s="19">
        <v>42000</v>
      </c>
      <c r="G27" s="19">
        <f t="shared" ca="1" si="11"/>
        <v>41990</v>
      </c>
      <c r="H27" s="706">
        <f t="shared" ca="1" si="8"/>
        <v>10</v>
      </c>
      <c r="I27" s="435">
        <f t="shared" si="9"/>
        <v>-12000</v>
      </c>
      <c r="J27" s="375" t="s">
        <v>327</v>
      </c>
      <c r="K27" s="19" t="s">
        <v>353</v>
      </c>
      <c r="L27" s="2"/>
      <c r="M27" s="2"/>
      <c r="N27" s="2"/>
      <c r="O27" s="2"/>
      <c r="P27" s="2"/>
      <c r="Q27" s="2"/>
      <c r="R27" s="2"/>
      <c r="S27" s="2"/>
      <c r="U27" s="2"/>
      <c r="V27" s="2"/>
      <c r="W27" s="310">
        <v>6300</v>
      </c>
      <c r="X27" s="309"/>
      <c r="Y27" s="288">
        <v>17200</v>
      </c>
      <c r="Z27" s="2"/>
      <c r="AA27" s="326"/>
      <c r="AB27" s="288">
        <v>18490</v>
      </c>
      <c r="AC27" s="2"/>
      <c r="AD27" s="2"/>
      <c r="AE27" s="2"/>
      <c r="AG27" s="2"/>
      <c r="AH27" s="2"/>
      <c r="AI27" s="76"/>
      <c r="AO27" s="131"/>
    </row>
    <row r="28" spans="2:41" x14ac:dyDescent="0.25">
      <c r="B28" s="16"/>
      <c r="C28" t="s">
        <v>354</v>
      </c>
      <c r="D28" s="19">
        <v>25000</v>
      </c>
      <c r="E28" s="19">
        <v>25885</v>
      </c>
      <c r="F28" s="19">
        <v>25885</v>
      </c>
      <c r="G28" s="19">
        <f t="shared" ca="1" si="11"/>
        <v>25885</v>
      </c>
      <c r="H28" s="706">
        <f t="shared" ca="1" si="8"/>
        <v>0</v>
      </c>
      <c r="I28" s="435">
        <f t="shared" si="9"/>
        <v>0</v>
      </c>
      <c r="J28" s="375" t="s">
        <v>327</v>
      </c>
      <c r="K28" s="19" t="s">
        <v>355</v>
      </c>
      <c r="L28" s="2"/>
      <c r="M28" s="2"/>
      <c r="N28" s="2"/>
      <c r="O28" s="2"/>
      <c r="P28" s="2"/>
      <c r="Q28" s="2"/>
      <c r="R28" s="2"/>
      <c r="S28" s="2"/>
      <c r="U28" s="2"/>
      <c r="V28" s="2"/>
      <c r="W28" s="310">
        <v>19992</v>
      </c>
      <c r="X28" s="310">
        <v>4998</v>
      </c>
      <c r="Y28" s="288">
        <v>895</v>
      </c>
      <c r="Z28" s="2"/>
      <c r="AA28" s="326"/>
      <c r="AB28" s="2"/>
      <c r="AC28" s="2"/>
      <c r="AD28" s="2"/>
      <c r="AE28" s="2"/>
      <c r="AG28" s="2"/>
      <c r="AH28" s="2"/>
      <c r="AI28" s="76"/>
      <c r="AO28" s="131"/>
    </row>
    <row r="29" spans="2:41" x14ac:dyDescent="0.25">
      <c r="B29" s="16"/>
      <c r="C29" t="s">
        <v>356</v>
      </c>
      <c r="D29" s="19">
        <v>36000</v>
      </c>
      <c r="E29" s="19">
        <v>37855</v>
      </c>
      <c r="F29" s="643">
        <f>34390+4805+2735+1880+3270-2390</f>
        <v>44690</v>
      </c>
      <c r="G29" s="19">
        <f t="shared" ca="1" si="11"/>
        <v>37802</v>
      </c>
      <c r="H29" s="706">
        <f t="shared" ca="1" si="8"/>
        <v>6888</v>
      </c>
      <c r="I29" s="435">
        <f t="shared" si="9"/>
        <v>-6835</v>
      </c>
      <c r="J29" s="366" t="s">
        <v>333</v>
      </c>
      <c r="K29" s="19" t="s">
        <v>129</v>
      </c>
      <c r="L29" s="2"/>
      <c r="M29" s="2"/>
      <c r="N29" s="2"/>
      <c r="O29" s="2"/>
      <c r="P29" s="2"/>
      <c r="Q29" s="2"/>
      <c r="R29" s="2"/>
      <c r="S29" s="2"/>
      <c r="U29" s="2"/>
      <c r="V29" s="2"/>
      <c r="W29" s="310">
        <v>22600</v>
      </c>
      <c r="X29" s="309"/>
      <c r="Y29" s="288">
        <v>2100</v>
      </c>
      <c r="Z29" s="2"/>
      <c r="AA29" s="309"/>
      <c r="AB29" s="322"/>
      <c r="AC29" s="2"/>
      <c r="AD29" s="2"/>
      <c r="AE29" s="2"/>
      <c r="AF29" s="297">
        <f>695+2575</f>
        <v>3270</v>
      </c>
      <c r="AG29" s="2"/>
      <c r="AH29" s="2">
        <f>4805+565+635</f>
        <v>6005</v>
      </c>
      <c r="AI29" s="76">
        <v>3827</v>
      </c>
      <c r="AO29" s="131"/>
    </row>
    <row r="30" spans="2:41" x14ac:dyDescent="0.25">
      <c r="B30" s="16"/>
      <c r="C30" t="s">
        <v>357</v>
      </c>
      <c r="D30" s="19">
        <v>6360</v>
      </c>
      <c r="E30" s="19">
        <v>6360</v>
      </c>
      <c r="F30" s="19">
        <f>6360+3300+2600.01</f>
        <v>12260.01</v>
      </c>
      <c r="G30" s="19">
        <f t="shared" ca="1" si="11"/>
        <v>12260.01</v>
      </c>
      <c r="H30" s="706">
        <f t="shared" ca="1" si="8"/>
        <v>0</v>
      </c>
      <c r="I30" s="435">
        <f t="shared" si="9"/>
        <v>-5900.01</v>
      </c>
      <c r="J30" s="366" t="s">
        <v>333</v>
      </c>
      <c r="K30" s="19" t="s">
        <v>334</v>
      </c>
      <c r="L30" s="2"/>
      <c r="M30" s="2"/>
      <c r="N30" s="2"/>
      <c r="O30" s="2"/>
      <c r="P30" s="2"/>
      <c r="Q30" s="2"/>
      <c r="R30" s="2"/>
      <c r="S30" s="2"/>
      <c r="U30" s="2"/>
      <c r="V30" s="2"/>
      <c r="W30" s="310">
        <v>1397.62</v>
      </c>
      <c r="X30" s="310">
        <v>1193.75</v>
      </c>
      <c r="Y30" s="288">
        <v>181.25</v>
      </c>
      <c r="Z30" s="2"/>
      <c r="AA30" s="310">
        <v>0</v>
      </c>
      <c r="AB30" s="288">
        <v>716.25</v>
      </c>
      <c r="AC30" s="288">
        <v>666.58</v>
      </c>
      <c r="AD30" s="288">
        <v>396.5</v>
      </c>
      <c r="AE30" s="288">
        <v>3330.98</v>
      </c>
      <c r="AF30" s="288">
        <v>2325.35</v>
      </c>
      <c r="AG30" s="282">
        <v>483</v>
      </c>
      <c r="AH30" s="426"/>
      <c r="AI30" s="695">
        <v>1568.73</v>
      </c>
      <c r="AO30" s="131"/>
    </row>
    <row r="31" spans="2:41" x14ac:dyDescent="0.25">
      <c r="B31" s="16"/>
      <c r="C31" t="s">
        <v>358</v>
      </c>
      <c r="D31" s="19">
        <v>3300</v>
      </c>
      <c r="E31" s="19">
        <v>3300</v>
      </c>
      <c r="F31" s="19">
        <v>3300</v>
      </c>
      <c r="G31" s="19">
        <f t="shared" ca="1" si="11"/>
        <v>0</v>
      </c>
      <c r="H31" s="706">
        <f t="shared" ca="1" si="8"/>
        <v>3300</v>
      </c>
      <c r="I31" s="435">
        <f t="shared" si="9"/>
        <v>0</v>
      </c>
      <c r="J31" s="366" t="s">
        <v>333</v>
      </c>
      <c r="K31" s="19" t="s">
        <v>334</v>
      </c>
      <c r="L31" s="2"/>
      <c r="M31" s="2"/>
      <c r="N31" s="2"/>
      <c r="O31" s="2"/>
      <c r="P31" s="2"/>
      <c r="Q31" s="2"/>
      <c r="R31" s="2"/>
      <c r="S31" s="2"/>
      <c r="U31" s="2"/>
      <c r="V31" s="2"/>
      <c r="W31" s="309"/>
      <c r="X31" s="309"/>
      <c r="Y31" s="2"/>
      <c r="Z31" s="2"/>
      <c r="AA31" s="309"/>
      <c r="AB31" s="2"/>
      <c r="AC31" s="2"/>
      <c r="AD31" s="2"/>
      <c r="AE31" s="2"/>
      <c r="AG31" s="2"/>
      <c r="AH31" s="426"/>
      <c r="AI31" s="695"/>
      <c r="AO31" s="131"/>
    </row>
    <row r="32" spans="2:41" x14ac:dyDescent="0.25">
      <c r="B32" s="16"/>
      <c r="C32" t="s">
        <v>359</v>
      </c>
      <c r="D32" s="19">
        <v>7000</v>
      </c>
      <c r="E32" s="19">
        <v>7000</v>
      </c>
      <c r="F32" s="19">
        <v>7000</v>
      </c>
      <c r="G32" s="19">
        <f t="shared" ca="1" si="11"/>
        <v>6999.51</v>
      </c>
      <c r="H32" s="706">
        <f t="shared" ca="1" si="8"/>
        <v>0.48999999999978172</v>
      </c>
      <c r="I32" s="435">
        <f t="shared" si="9"/>
        <v>0</v>
      </c>
      <c r="J32" s="366" t="s">
        <v>333</v>
      </c>
      <c r="K32" s="19" t="s">
        <v>334</v>
      </c>
      <c r="L32" s="2"/>
      <c r="M32" s="2"/>
      <c r="N32" s="2"/>
      <c r="O32" s="2"/>
      <c r="P32" s="2"/>
      <c r="Q32" s="2"/>
      <c r="R32" s="2"/>
      <c r="S32" s="2"/>
      <c r="U32" s="2"/>
      <c r="V32" s="2"/>
      <c r="W32" s="310">
        <v>4122.12</v>
      </c>
      <c r="X32" s="310">
        <v>1259.75</v>
      </c>
      <c r="Y32" s="288">
        <v>466.13</v>
      </c>
      <c r="Z32" s="288">
        <v>423</v>
      </c>
      <c r="AA32" s="310">
        <v>0</v>
      </c>
      <c r="AB32" s="288">
        <v>0</v>
      </c>
      <c r="AC32" s="288">
        <v>462</v>
      </c>
      <c r="AD32" s="288">
        <v>266.5</v>
      </c>
      <c r="AE32" s="288">
        <v>0</v>
      </c>
      <c r="AG32" s="282">
        <v>0</v>
      </c>
      <c r="AH32" s="426"/>
      <c r="AI32" s="695">
        <v>0.01</v>
      </c>
      <c r="AO32" s="131"/>
    </row>
    <row r="33" spans="2:41" x14ac:dyDescent="0.25">
      <c r="B33" s="16"/>
      <c r="C33" t="s">
        <v>360</v>
      </c>
      <c r="D33" s="19">
        <v>6500</v>
      </c>
      <c r="E33" s="19">
        <v>6594</v>
      </c>
      <c r="F33" s="19">
        <f ca="1">SUMIF($R$3:$AO$3,"&lt;"&amp;TODAY(),$R33:$AO33)</f>
        <v>8582.75</v>
      </c>
      <c r="G33" s="19">
        <f t="shared" ca="1" si="11"/>
        <v>8582.75</v>
      </c>
      <c r="H33" s="706">
        <f t="shared" ca="1" si="8"/>
        <v>0</v>
      </c>
      <c r="I33" s="435">
        <f t="shared" ca="1" si="9"/>
        <v>-1988.75</v>
      </c>
      <c r="J33" s="366" t="s">
        <v>327</v>
      </c>
      <c r="K33" s="19" t="s">
        <v>130</v>
      </c>
      <c r="L33" s="2"/>
      <c r="M33" s="2"/>
      <c r="N33" s="2"/>
      <c r="O33" s="2"/>
      <c r="P33" s="2"/>
      <c r="Q33" s="2"/>
      <c r="R33" s="2"/>
      <c r="S33" s="2"/>
      <c r="T33" s="2"/>
      <c r="U33" s="2"/>
      <c r="W33" s="288">
        <v>6594</v>
      </c>
      <c r="X33" s="309"/>
      <c r="Y33" s="288">
        <v>993.75</v>
      </c>
      <c r="Z33" s="2"/>
      <c r="AA33" s="309"/>
      <c r="AB33" s="2"/>
      <c r="AC33" s="2"/>
      <c r="AD33" s="2"/>
      <c r="AE33" s="282">
        <v>995</v>
      </c>
      <c r="AF33" s="2"/>
      <c r="AG33" s="2"/>
      <c r="AH33" s="426"/>
      <c r="AI33" s="695"/>
      <c r="AO33" s="131"/>
    </row>
    <row r="34" spans="2:41" x14ac:dyDescent="0.25">
      <c r="B34" s="16"/>
      <c r="C34" t="s">
        <v>361</v>
      </c>
      <c r="D34" s="19">
        <v>11950</v>
      </c>
      <c r="E34" s="19">
        <v>11950</v>
      </c>
      <c r="F34" s="19">
        <f>11950+391.92</f>
        <v>12341.92</v>
      </c>
      <c r="G34" s="19">
        <f t="shared" ca="1" si="11"/>
        <v>12341.919999999998</v>
      </c>
      <c r="H34" s="706">
        <f t="shared" ca="1" si="8"/>
        <v>1.8189894035458565E-12</v>
      </c>
      <c r="I34" s="435">
        <f t="shared" si="9"/>
        <v>-391.92000000000007</v>
      </c>
      <c r="J34" s="366" t="s">
        <v>333</v>
      </c>
      <c r="K34" s="19" t="s">
        <v>334</v>
      </c>
      <c r="L34" s="2"/>
      <c r="M34" s="2"/>
      <c r="N34" s="2"/>
      <c r="O34" s="2"/>
      <c r="P34" s="2"/>
      <c r="Q34" s="2"/>
      <c r="R34" s="2"/>
      <c r="S34" s="2"/>
      <c r="T34" s="2"/>
      <c r="U34" s="2"/>
      <c r="V34" s="2"/>
      <c r="W34" s="310">
        <v>799.7</v>
      </c>
      <c r="X34" s="310">
        <v>1799.98</v>
      </c>
      <c r="Y34" s="288">
        <v>1295</v>
      </c>
      <c r="Z34" s="2"/>
      <c r="AA34" s="310">
        <v>2426.9</v>
      </c>
      <c r="AB34" s="288">
        <v>391.88</v>
      </c>
      <c r="AC34" s="288">
        <v>0</v>
      </c>
      <c r="AD34" s="288">
        <v>574.75</v>
      </c>
      <c r="AE34" s="288">
        <v>549.08000000000004</v>
      </c>
      <c r="AF34" s="288">
        <v>2113.63</v>
      </c>
      <c r="AG34" s="282">
        <v>928.13</v>
      </c>
      <c r="AH34" s="426"/>
      <c r="AI34" s="695">
        <v>1462.87</v>
      </c>
      <c r="AO34" s="131"/>
    </row>
    <row r="35" spans="2:41" x14ac:dyDescent="0.25">
      <c r="B35" s="16"/>
      <c r="C35" t="s">
        <v>362</v>
      </c>
      <c r="D35" s="19">
        <v>5500</v>
      </c>
      <c r="E35" s="19">
        <v>5500</v>
      </c>
      <c r="F35" s="19">
        <v>5329.08</v>
      </c>
      <c r="G35" s="19">
        <f t="shared" ca="1" si="11"/>
        <v>5329.08</v>
      </c>
      <c r="H35" s="706">
        <f t="shared" ca="1" si="8"/>
        <v>0</v>
      </c>
      <c r="I35" s="435">
        <f t="shared" si="9"/>
        <v>170.92000000000007</v>
      </c>
      <c r="J35" s="366" t="s">
        <v>327</v>
      </c>
      <c r="K35" s="19" t="s">
        <v>363</v>
      </c>
      <c r="L35" s="2"/>
      <c r="M35" s="2"/>
      <c r="N35" s="2"/>
      <c r="O35" s="2"/>
      <c r="P35" s="2"/>
      <c r="Q35" s="2"/>
      <c r="R35" s="2"/>
      <c r="S35" s="2"/>
      <c r="T35" s="2"/>
      <c r="U35" s="2"/>
      <c r="V35" s="2"/>
      <c r="W35" s="309"/>
      <c r="X35" s="2"/>
      <c r="Y35" s="288">
        <v>5329.08</v>
      </c>
      <c r="Z35" s="2"/>
      <c r="AA35" s="309"/>
      <c r="AB35" s="2"/>
      <c r="AC35" s="2"/>
      <c r="AD35" s="2"/>
      <c r="AE35" s="2"/>
      <c r="AF35" s="2"/>
      <c r="AG35" s="2"/>
      <c r="AH35" s="426"/>
      <c r="AI35" s="695"/>
      <c r="AO35" s="131"/>
    </row>
    <row r="36" spans="2:41" x14ac:dyDescent="0.25">
      <c r="B36" s="16"/>
      <c r="C36" t="s">
        <v>364</v>
      </c>
      <c r="D36" s="19">
        <v>50000</v>
      </c>
      <c r="E36" s="19">
        <v>120000</v>
      </c>
      <c r="F36" s="19">
        <f>116223+60550.6</f>
        <v>176773.6</v>
      </c>
      <c r="G36" s="19">
        <f t="shared" ca="1" si="11"/>
        <v>84485.3</v>
      </c>
      <c r="H36" s="706">
        <f t="shared" ca="1" si="8"/>
        <v>92288.3</v>
      </c>
      <c r="I36" s="435">
        <f t="shared" si="9"/>
        <v>-56773.600000000006</v>
      </c>
      <c r="J36" s="366" t="s">
        <v>333</v>
      </c>
      <c r="K36" s="19" t="s">
        <v>353</v>
      </c>
      <c r="L36" s="2"/>
      <c r="M36" s="2"/>
      <c r="N36" s="2"/>
      <c r="O36" s="2"/>
      <c r="P36" s="2"/>
      <c r="Q36" s="2"/>
      <c r="R36" s="2"/>
      <c r="S36" s="2"/>
      <c r="T36" s="2"/>
      <c r="U36" s="2"/>
      <c r="V36" s="2"/>
      <c r="W36" s="309"/>
      <c r="X36" s="2"/>
      <c r="Y36" s="2"/>
      <c r="Z36" s="2"/>
      <c r="AA36" s="309"/>
      <c r="AB36" s="2"/>
      <c r="AC36" s="2"/>
      <c r="AD36" s="2"/>
      <c r="AE36" s="288">
        <v>500</v>
      </c>
      <c r="AF36" s="288">
        <v>83985.3</v>
      </c>
      <c r="AG36" s="2"/>
      <c r="AH36" s="426"/>
      <c r="AI36" s="695"/>
      <c r="AO36" s="131"/>
    </row>
    <row r="37" spans="2:41" x14ac:dyDescent="0.25">
      <c r="B37" s="16"/>
      <c r="C37" t="s">
        <v>365</v>
      </c>
      <c r="D37" s="19">
        <v>6000</v>
      </c>
      <c r="E37" s="19">
        <v>13800</v>
      </c>
      <c r="F37" s="19">
        <f>6000+7800</f>
        <v>13800</v>
      </c>
      <c r="G37" s="19">
        <f t="shared" ca="1" si="11"/>
        <v>13800</v>
      </c>
      <c r="H37" s="706">
        <f t="shared" ca="1" si="8"/>
        <v>0</v>
      </c>
      <c r="I37" s="435">
        <f t="shared" si="9"/>
        <v>0</v>
      </c>
      <c r="J37" s="366" t="s">
        <v>333</v>
      </c>
      <c r="K37" s="19" t="s">
        <v>334</v>
      </c>
      <c r="L37" s="2"/>
      <c r="M37" s="2"/>
      <c r="N37" s="2"/>
      <c r="O37" s="2"/>
      <c r="P37" s="2"/>
      <c r="Q37" s="2"/>
      <c r="R37" s="2"/>
      <c r="S37" s="2"/>
      <c r="T37" s="2"/>
      <c r="U37" s="2"/>
      <c r="V37" s="2"/>
      <c r="W37" s="423">
        <v>1256</v>
      </c>
      <c r="X37" s="424"/>
      <c r="Y37" s="423">
        <v>-962.5</v>
      </c>
      <c r="Z37" s="424"/>
      <c r="AA37" s="423">
        <v>0</v>
      </c>
      <c r="AB37" s="423">
        <v>712</v>
      </c>
      <c r="AC37" s="423">
        <v>445</v>
      </c>
      <c r="AD37" s="288">
        <v>5394</v>
      </c>
      <c r="AE37" s="288">
        <v>755.95</v>
      </c>
      <c r="AF37" s="288">
        <v>3458</v>
      </c>
      <c r="AG37" s="282">
        <v>1641.42</v>
      </c>
      <c r="AH37" s="426"/>
      <c r="AI37" s="695">
        <v>1100.1300000000001</v>
      </c>
      <c r="AO37" s="131"/>
    </row>
    <row r="38" spans="2:41" x14ac:dyDescent="0.25">
      <c r="B38" s="16"/>
      <c r="C38" t="s">
        <v>366</v>
      </c>
      <c r="D38" s="19">
        <v>8460</v>
      </c>
      <c r="E38" s="19">
        <v>8460</v>
      </c>
      <c r="F38" s="19">
        <v>8460.01</v>
      </c>
      <c r="G38" s="19">
        <f ca="1">SUMIF($R$3:$AO$3,"&lt;"&amp;TODAY(),$R38:$AO38)</f>
        <v>8460.01</v>
      </c>
      <c r="H38" s="706">
        <f t="shared" ca="1" si="8"/>
        <v>0</v>
      </c>
      <c r="I38" s="435">
        <f t="shared" si="9"/>
        <v>-1.0000000000218279E-2</v>
      </c>
      <c r="J38" s="366" t="s">
        <v>333</v>
      </c>
      <c r="K38" s="19" t="s">
        <v>334</v>
      </c>
      <c r="L38" s="2"/>
      <c r="M38" s="2"/>
      <c r="N38" s="2"/>
      <c r="O38" s="2"/>
      <c r="P38" s="2"/>
      <c r="Q38" s="2"/>
      <c r="R38" s="2"/>
      <c r="S38" s="2"/>
      <c r="T38" s="2"/>
      <c r="U38" s="2"/>
      <c r="V38" s="2"/>
      <c r="W38" s="310">
        <v>934.5</v>
      </c>
      <c r="X38" s="310">
        <v>356</v>
      </c>
      <c r="Y38" s="288">
        <v>351.8</v>
      </c>
      <c r="Z38" s="288">
        <v>30.93</v>
      </c>
      <c r="AA38" s="310">
        <v>0</v>
      </c>
      <c r="AB38" s="288">
        <v>0</v>
      </c>
      <c r="AC38" s="288">
        <v>0</v>
      </c>
      <c r="AD38" s="2"/>
      <c r="AE38" s="2"/>
      <c r="AF38" s="288">
        <v>3164.78</v>
      </c>
      <c r="AG38" s="282">
        <v>1767.5</v>
      </c>
      <c r="AH38" s="426"/>
      <c r="AI38" s="695">
        <v>1854.5</v>
      </c>
      <c r="AO38" s="131"/>
    </row>
    <row r="39" spans="2:41" x14ac:dyDescent="0.25">
      <c r="B39" s="16"/>
      <c r="C39" t="s">
        <v>367</v>
      </c>
      <c r="D39" s="78">
        <v>2400</v>
      </c>
      <c r="E39" s="78">
        <v>3151.55</v>
      </c>
      <c r="F39" s="78">
        <v>2001.86</v>
      </c>
      <c r="G39" s="19">
        <f t="shared" ca="1" si="11"/>
        <v>2001.86</v>
      </c>
      <c r="H39" s="706">
        <f t="shared" ca="1" si="8"/>
        <v>0</v>
      </c>
      <c r="I39" s="435">
        <f t="shared" si="9"/>
        <v>1149.6900000000003</v>
      </c>
      <c r="J39" s="366" t="s">
        <v>333</v>
      </c>
      <c r="K39" s="19" t="s">
        <v>368</v>
      </c>
      <c r="L39" s="2"/>
      <c r="M39" s="2"/>
      <c r="N39" s="2"/>
      <c r="O39" s="2"/>
      <c r="P39" s="2"/>
      <c r="Q39" s="2"/>
      <c r="R39" s="2"/>
      <c r="S39" s="2"/>
      <c r="T39" s="2"/>
      <c r="U39" s="2"/>
      <c r="V39" s="2"/>
      <c r="W39" s="2"/>
      <c r="X39" s="309"/>
      <c r="Y39" s="2"/>
      <c r="Z39" s="2"/>
      <c r="AA39" s="2"/>
      <c r="AB39" s="2"/>
      <c r="AC39" s="288">
        <v>400</v>
      </c>
      <c r="AD39" s="329">
        <v>1301.8599999999999</v>
      </c>
      <c r="AE39" s="288">
        <v>300</v>
      </c>
      <c r="AF39" s="2"/>
      <c r="AG39" s="2"/>
      <c r="AH39" s="2"/>
      <c r="AI39" s="76"/>
      <c r="AO39" s="131"/>
    </row>
    <row r="40" spans="2:41" x14ac:dyDescent="0.25">
      <c r="B40" s="16"/>
      <c r="C40" t="s">
        <v>369</v>
      </c>
      <c r="D40" s="78">
        <v>0</v>
      </c>
      <c r="E40" s="19">
        <v>0</v>
      </c>
      <c r="F40" s="19">
        <f ca="1">SUMIF($R$3:$AO$3,"&lt;"&amp;TODAY(),$R40:$AO40)</f>
        <v>271.14999999999998</v>
      </c>
      <c r="G40" s="19">
        <f t="shared" ca="1" si="11"/>
        <v>271.14999999999998</v>
      </c>
      <c r="H40" s="706">
        <f t="shared" ca="1" si="8"/>
        <v>0</v>
      </c>
      <c r="I40" s="435">
        <f t="shared" ca="1" si="9"/>
        <v>-271.14999999999998</v>
      </c>
      <c r="J40" s="366" t="s">
        <v>327</v>
      </c>
      <c r="K40" s="19" t="s">
        <v>137</v>
      </c>
      <c r="L40" s="2"/>
      <c r="M40" s="2"/>
      <c r="N40" s="2"/>
      <c r="O40" s="2"/>
      <c r="P40" s="2"/>
      <c r="Q40" s="2"/>
      <c r="R40" s="2"/>
      <c r="S40" s="2"/>
      <c r="T40" s="2"/>
      <c r="U40" s="2"/>
      <c r="V40" s="2"/>
      <c r="W40" s="2"/>
      <c r="X40" s="309"/>
      <c r="Y40" s="2"/>
      <c r="Z40" s="2"/>
      <c r="AA40" s="2"/>
      <c r="AB40" s="2"/>
      <c r="AD40" s="288">
        <v>271.14999999999998</v>
      </c>
      <c r="AE40" s="320"/>
      <c r="AF40" s="2"/>
      <c r="AG40" s="2"/>
      <c r="AH40" s="2"/>
      <c r="AI40" s="76"/>
      <c r="AO40" s="131"/>
    </row>
    <row r="41" spans="2:41" x14ac:dyDescent="0.25">
      <c r="B41" s="16"/>
      <c r="C41" t="s">
        <v>370</v>
      </c>
      <c r="D41" s="78">
        <v>20000</v>
      </c>
      <c r="E41" s="78">
        <v>20000</v>
      </c>
      <c r="F41" s="78">
        <v>7000</v>
      </c>
      <c r="G41" s="19">
        <v>0</v>
      </c>
      <c r="H41" s="706">
        <f t="shared" si="8"/>
        <v>7000</v>
      </c>
      <c r="I41" s="435">
        <f t="shared" si="9"/>
        <v>13000</v>
      </c>
      <c r="J41" s="366" t="s">
        <v>333</v>
      </c>
      <c r="K41" s="19" t="s">
        <v>142</v>
      </c>
      <c r="L41" s="2"/>
      <c r="M41" s="2"/>
      <c r="N41" s="2"/>
      <c r="O41" s="2"/>
      <c r="P41" s="2"/>
      <c r="Q41" s="2"/>
      <c r="R41" s="2"/>
      <c r="S41" s="2"/>
      <c r="T41" s="2"/>
      <c r="U41" s="2"/>
      <c r="V41" s="2"/>
      <c r="W41" s="2"/>
      <c r="X41" s="309"/>
      <c r="Y41" s="2"/>
      <c r="Z41" s="2"/>
      <c r="AA41" s="2"/>
      <c r="AB41" s="2"/>
      <c r="AD41" s="2"/>
      <c r="AE41" s="2"/>
      <c r="AF41" s="2"/>
      <c r="AG41" s="2"/>
      <c r="AH41" s="2"/>
      <c r="AI41" s="76"/>
      <c r="AO41" s="131"/>
    </row>
    <row r="42" spans="2:41" x14ac:dyDescent="0.25">
      <c r="B42" s="16" t="s">
        <v>371</v>
      </c>
      <c r="C42" t="s">
        <v>372</v>
      </c>
      <c r="D42" s="19">
        <v>0</v>
      </c>
      <c r="E42" s="19">
        <v>0</v>
      </c>
      <c r="F42" s="42">
        <v>15000</v>
      </c>
      <c r="G42" s="19">
        <v>0</v>
      </c>
      <c r="H42" s="706">
        <f t="shared" si="8"/>
        <v>15000</v>
      </c>
      <c r="I42" s="435">
        <f t="shared" si="9"/>
        <v>-15000</v>
      </c>
      <c r="J42" s="368" t="s">
        <v>345</v>
      </c>
      <c r="K42" s="19" t="s">
        <v>373</v>
      </c>
      <c r="L42" s="2"/>
      <c r="M42" s="2"/>
      <c r="N42" s="2"/>
      <c r="O42" s="2"/>
      <c r="P42" s="2"/>
      <c r="Q42" s="2"/>
      <c r="R42" s="2"/>
      <c r="S42" s="2"/>
      <c r="T42" s="2"/>
      <c r="U42" s="2"/>
      <c r="V42" s="2"/>
      <c r="W42" s="2"/>
      <c r="X42" s="2"/>
      <c r="Y42" s="2"/>
      <c r="Z42" s="2"/>
      <c r="AA42" s="2"/>
      <c r="AB42" s="2"/>
      <c r="AC42" s="2"/>
      <c r="AD42" s="2"/>
      <c r="AE42" s="2"/>
      <c r="AF42" s="2"/>
      <c r="AG42" s="2"/>
      <c r="AH42" s="2"/>
      <c r="AI42" s="76"/>
      <c r="AJ42" s="2"/>
      <c r="AK42" s="2"/>
      <c r="AL42" s="2"/>
      <c r="AM42" s="2"/>
      <c r="AN42" s="2"/>
      <c r="AO42" s="76"/>
    </row>
    <row r="43" spans="2:41" x14ac:dyDescent="0.25">
      <c r="B43" s="16"/>
      <c r="C43" t="s">
        <v>374</v>
      </c>
      <c r="D43" s="19">
        <v>0</v>
      </c>
      <c r="E43" s="19">
        <v>0</v>
      </c>
      <c r="F43" s="42">
        <f>18295.2+720+690</f>
        <v>19705.2</v>
      </c>
      <c r="G43" s="19"/>
      <c r="H43" s="706"/>
      <c r="I43" s="435">
        <f t="shared" si="9"/>
        <v>-19705.2</v>
      </c>
      <c r="J43" s="368" t="s">
        <v>345</v>
      </c>
      <c r="K43" s="19" t="s">
        <v>375</v>
      </c>
      <c r="L43" s="2"/>
      <c r="M43" s="2"/>
      <c r="N43" s="2"/>
      <c r="O43" s="2"/>
      <c r="P43" s="2"/>
      <c r="Q43" s="2"/>
      <c r="R43" s="2"/>
      <c r="S43" s="2"/>
      <c r="T43" s="2"/>
      <c r="U43" s="2"/>
      <c r="V43" s="2"/>
      <c r="W43" s="2"/>
      <c r="X43" s="2"/>
      <c r="Y43" s="2"/>
      <c r="Z43" s="2"/>
      <c r="AA43" s="2"/>
      <c r="AB43" s="2"/>
      <c r="AC43" s="2"/>
      <c r="AD43" s="2"/>
      <c r="AE43" s="2"/>
      <c r="AF43" s="2"/>
      <c r="AG43" s="2"/>
      <c r="AH43" s="2"/>
      <c r="AI43" s="76"/>
      <c r="AJ43" s="2"/>
      <c r="AK43" s="2"/>
      <c r="AL43" s="2"/>
      <c r="AM43" s="2"/>
      <c r="AN43" s="2"/>
      <c r="AO43" s="76"/>
    </row>
    <row r="44" spans="2:41" x14ac:dyDescent="0.25">
      <c r="B44" s="17" t="s">
        <v>93</v>
      </c>
      <c r="C44" s="6" t="s">
        <v>94</v>
      </c>
      <c r="D44" s="20">
        <f>SUM(D15:D42)*0.1</f>
        <v>50004.100000000006</v>
      </c>
      <c r="E44" s="20">
        <v>50000</v>
      </c>
      <c r="F44" s="20">
        <v>0</v>
      </c>
      <c r="G44" s="20">
        <v>0</v>
      </c>
      <c r="H44" s="706">
        <f>SUM(F44-G44)</f>
        <v>0</v>
      </c>
      <c r="I44" s="435">
        <f t="shared" si="9"/>
        <v>50000</v>
      </c>
      <c r="J44" s="20"/>
      <c r="K44" s="20"/>
      <c r="L44" s="2"/>
      <c r="M44" s="2"/>
      <c r="N44" s="2"/>
      <c r="O44" s="2"/>
      <c r="P44" s="2"/>
      <c r="R44" s="2"/>
      <c r="S44" s="2"/>
      <c r="T44" s="2"/>
      <c r="U44" s="2"/>
      <c r="V44" s="2"/>
      <c r="W44" s="2"/>
      <c r="X44" s="2"/>
      <c r="Y44" s="2"/>
      <c r="Z44" s="2"/>
      <c r="AA44" s="2"/>
      <c r="AB44" s="2"/>
      <c r="AF44" s="2"/>
      <c r="AG44" s="2"/>
      <c r="AH44" s="2"/>
      <c r="AI44" s="76"/>
      <c r="AJ44" s="2"/>
      <c r="AK44" s="2"/>
      <c r="AO44" s="131"/>
    </row>
    <row r="45" spans="2:41" ht="15.75" thickBot="1" x14ac:dyDescent="0.3">
      <c r="B45" s="646" t="s">
        <v>376</v>
      </c>
      <c r="C45" s="660"/>
      <c r="D45" s="648">
        <f>SUBTOTAL(9,D14:D42)</f>
        <v>521191</v>
      </c>
      <c r="E45" s="648">
        <f>SUBTOTAL(9,E14:E44)</f>
        <v>773766.55</v>
      </c>
      <c r="F45" s="648">
        <f ca="1">SUBTOTAL(9,F14:F44)</f>
        <v>865301.77999999991</v>
      </c>
      <c r="G45" s="648">
        <f ca="1">SUBTOTAL(9,G14:G44)</f>
        <v>714158.67000000016</v>
      </c>
      <c r="H45" s="648">
        <f ca="1">SUBTOTAL(9,H14:H42)</f>
        <v>131437.91000000003</v>
      </c>
      <c r="I45" s="648">
        <f ca="1">SUBTOTAL(9,I14:I44)</f>
        <v>-91535.229999999981</v>
      </c>
      <c r="J45" s="25"/>
      <c r="K45" s="25"/>
      <c r="L45" s="649">
        <f t="shared" ref="L45:AO45" si="12">SUBTOTAL(9,L14:L42)</f>
        <v>0</v>
      </c>
      <c r="M45" s="650">
        <f t="shared" si="12"/>
        <v>0</v>
      </c>
      <c r="N45" s="650">
        <f t="shared" si="12"/>
        <v>0</v>
      </c>
      <c r="O45" s="650">
        <f t="shared" si="12"/>
        <v>0</v>
      </c>
      <c r="P45" s="650">
        <f t="shared" si="12"/>
        <v>0</v>
      </c>
      <c r="Q45" s="650">
        <f t="shared" si="12"/>
        <v>0</v>
      </c>
      <c r="R45" s="650">
        <f t="shared" si="12"/>
        <v>1115</v>
      </c>
      <c r="S45" s="650">
        <f t="shared" si="12"/>
        <v>181</v>
      </c>
      <c r="T45" s="650">
        <f t="shared" si="12"/>
        <v>0</v>
      </c>
      <c r="U45" s="650">
        <f t="shared" si="12"/>
        <v>0</v>
      </c>
      <c r="V45" s="650">
        <f t="shared" si="12"/>
        <v>0</v>
      </c>
      <c r="W45" s="650">
        <f t="shared" si="12"/>
        <v>78843.210000000006</v>
      </c>
      <c r="X45" s="650">
        <f t="shared" si="12"/>
        <v>28323.66</v>
      </c>
      <c r="Y45" s="650">
        <f t="shared" si="12"/>
        <v>40462.85</v>
      </c>
      <c r="Z45" s="650">
        <f t="shared" si="12"/>
        <v>14822.560000000001</v>
      </c>
      <c r="AA45" s="650">
        <f t="shared" si="12"/>
        <v>11879.3</v>
      </c>
      <c r="AB45" s="650">
        <f t="shared" si="12"/>
        <v>33143.89</v>
      </c>
      <c r="AC45" s="650">
        <f t="shared" si="12"/>
        <v>8484.7900000000009</v>
      </c>
      <c r="AD45" s="650">
        <f t="shared" si="12"/>
        <v>23967.58</v>
      </c>
      <c r="AE45" s="650">
        <f t="shared" si="12"/>
        <v>28021.500000000004</v>
      </c>
      <c r="AF45" s="650">
        <f t="shared" si="12"/>
        <v>116982.14</v>
      </c>
      <c r="AG45" s="650">
        <f t="shared" si="12"/>
        <v>12246.89</v>
      </c>
      <c r="AH45" s="650">
        <f t="shared" si="12"/>
        <v>6005</v>
      </c>
      <c r="AI45" s="652">
        <f t="shared" si="12"/>
        <v>309679.3</v>
      </c>
      <c r="AJ45" s="650">
        <f t="shared" si="12"/>
        <v>0</v>
      </c>
      <c r="AK45" s="650">
        <f t="shared" si="12"/>
        <v>0</v>
      </c>
      <c r="AL45" s="650">
        <f t="shared" si="12"/>
        <v>0</v>
      </c>
      <c r="AM45" s="650">
        <f t="shared" si="12"/>
        <v>0</v>
      </c>
      <c r="AN45" s="650">
        <f t="shared" si="12"/>
        <v>0</v>
      </c>
      <c r="AO45" s="652">
        <f t="shared" si="12"/>
        <v>0</v>
      </c>
    </row>
    <row r="46" spans="2:41" ht="16.5" thickTop="1" thickBot="1" x14ac:dyDescent="0.3">
      <c r="B46" s="663" t="s">
        <v>377</v>
      </c>
      <c r="C46" s="1"/>
      <c r="D46" s="648">
        <f>SUBTOTAL(9,D4:D45)</f>
        <v>673453.1</v>
      </c>
      <c r="E46" s="648">
        <f t="shared" ref="E46:I46" si="13">SUBTOTAL(9,E4:E45)</f>
        <v>896826.55</v>
      </c>
      <c r="F46" s="648">
        <f ca="1">SUBTOTAL(9,F4:F45)</f>
        <v>1049861.78</v>
      </c>
      <c r="G46" s="648">
        <f t="shared" ca="1" si="13"/>
        <v>766018.67000000016</v>
      </c>
      <c r="H46" s="648">
        <f t="shared" ca="1" si="13"/>
        <v>139937.91000000003</v>
      </c>
      <c r="I46" s="648">
        <f t="shared" ca="1" si="13"/>
        <v>-153035.23000000001</v>
      </c>
      <c r="J46" s="19"/>
      <c r="K46" s="19"/>
      <c r="L46" s="658"/>
      <c r="M46" s="658"/>
      <c r="N46" s="658"/>
      <c r="O46" s="658"/>
      <c r="P46" s="658"/>
      <c r="Q46" s="658"/>
      <c r="R46" s="658"/>
      <c r="S46" s="658"/>
      <c r="T46" s="658"/>
      <c r="U46" s="658"/>
      <c r="V46" s="658"/>
      <c r="W46" s="658"/>
      <c r="X46" s="658"/>
      <c r="Y46" s="658"/>
      <c r="Z46" s="658"/>
      <c r="AA46" s="658"/>
      <c r="AB46" s="658"/>
      <c r="AC46" s="658"/>
      <c r="AD46" s="658"/>
      <c r="AE46" s="658"/>
      <c r="AF46" s="658"/>
      <c r="AG46" s="658"/>
      <c r="AH46" s="658"/>
      <c r="AI46" s="659"/>
      <c r="AJ46" s="658"/>
      <c r="AK46" s="658"/>
      <c r="AL46" s="658"/>
      <c r="AM46" s="658"/>
      <c r="AN46" s="658"/>
      <c r="AO46" s="659"/>
    </row>
    <row r="47" spans="2:41" ht="15.75" thickTop="1" x14ac:dyDescent="0.25">
      <c r="B47" s="665" t="s">
        <v>95</v>
      </c>
      <c r="C47" s="665"/>
      <c r="D47" s="666">
        <v>15000</v>
      </c>
      <c r="E47" s="666">
        <v>15000</v>
      </c>
      <c r="F47" s="667">
        <v>15000</v>
      </c>
      <c r="G47" s="666">
        <v>0</v>
      </c>
      <c r="H47" s="666">
        <v>0</v>
      </c>
      <c r="I47" s="435">
        <f>E47-F47</f>
        <v>0</v>
      </c>
      <c r="J47" s="19"/>
      <c r="K47" s="19"/>
      <c r="L47" s="658"/>
      <c r="M47" s="658"/>
      <c r="N47" s="658"/>
      <c r="O47" s="658"/>
      <c r="P47" s="658"/>
      <c r="Q47" s="658"/>
      <c r="R47" s="658"/>
      <c r="S47" s="658"/>
      <c r="T47" s="658"/>
      <c r="U47" s="658"/>
      <c r="V47" s="658"/>
      <c r="W47" s="658"/>
      <c r="X47" s="658"/>
      <c r="Y47" s="658"/>
      <c r="Z47" s="658"/>
      <c r="AA47" s="658"/>
      <c r="AB47" s="658"/>
      <c r="AC47" s="658"/>
      <c r="AD47" s="658"/>
      <c r="AE47" s="658"/>
      <c r="AF47" s="658"/>
      <c r="AG47" s="658"/>
      <c r="AH47" s="658"/>
      <c r="AI47" s="659"/>
      <c r="AJ47" s="658"/>
      <c r="AK47" s="658"/>
      <c r="AL47" s="658"/>
      <c r="AM47" s="658"/>
      <c r="AN47" s="658"/>
      <c r="AO47" s="659"/>
    </row>
    <row r="48" spans="2:41" x14ac:dyDescent="0.25">
      <c r="B48" s="14" t="s">
        <v>97</v>
      </c>
      <c r="C48" s="250" t="s">
        <v>213</v>
      </c>
      <c r="D48" s="21">
        <v>15000</v>
      </c>
      <c r="E48" s="21">
        <v>15000</v>
      </c>
      <c r="F48" s="352">
        <v>15000</v>
      </c>
      <c r="G48" s="21">
        <v>0</v>
      </c>
      <c r="H48" s="21">
        <v>0</v>
      </c>
      <c r="I48" s="435">
        <f>E48-F48</f>
        <v>0</v>
      </c>
      <c r="J48" s="19"/>
      <c r="K48" s="19"/>
      <c r="L48" s="658"/>
      <c r="M48" s="658"/>
      <c r="N48" s="658"/>
      <c r="O48" s="658"/>
      <c r="P48" s="658"/>
      <c r="Q48" s="658"/>
      <c r="R48" s="658"/>
      <c r="S48" s="658"/>
      <c r="T48" s="658"/>
      <c r="U48" s="658"/>
      <c r="V48" s="658"/>
      <c r="W48" s="658"/>
      <c r="X48" s="658"/>
      <c r="Y48" s="658"/>
      <c r="Z48" s="658"/>
      <c r="AA48" s="658"/>
      <c r="AB48" s="658"/>
      <c r="AC48" s="658"/>
      <c r="AD48" s="658"/>
      <c r="AE48" s="658"/>
      <c r="AF48" s="658"/>
      <c r="AG48" s="658"/>
      <c r="AH48" s="658"/>
      <c r="AI48" s="659"/>
      <c r="AJ48" s="658"/>
      <c r="AK48" s="658"/>
      <c r="AL48" s="658"/>
      <c r="AM48" s="658"/>
      <c r="AN48" s="658"/>
      <c r="AO48" s="670"/>
    </row>
    <row r="49" spans="2:41" ht="15.75" thickBot="1" x14ac:dyDescent="0.3">
      <c r="B49" s="646" t="s">
        <v>98</v>
      </c>
      <c r="C49" s="668"/>
      <c r="D49" s="648">
        <f t="shared" ref="D49:I49" si="14">SUBTOTAL(9,D4:D48)</f>
        <v>703453.1</v>
      </c>
      <c r="E49" s="648">
        <f t="shared" si="14"/>
        <v>926826.55</v>
      </c>
      <c r="F49" s="648">
        <f t="shared" ca="1" si="14"/>
        <v>1079861.78</v>
      </c>
      <c r="G49" s="648">
        <f t="shared" ca="1" si="14"/>
        <v>766018.67000000016</v>
      </c>
      <c r="H49" s="648">
        <f t="shared" ca="1" si="14"/>
        <v>139937.91000000003</v>
      </c>
      <c r="I49" s="648">
        <f t="shared" ca="1" si="14"/>
        <v>-153035.23000000001</v>
      </c>
      <c r="J49" s="657"/>
      <c r="K49" s="657"/>
      <c r="L49" s="649">
        <f t="shared" ref="L49:AO49" si="15">SUBTOTAL(9,L4:L48)</f>
        <v>5279</v>
      </c>
      <c r="M49" s="650">
        <f t="shared" si="15"/>
        <v>0</v>
      </c>
      <c r="N49" s="650">
        <f t="shared" si="15"/>
        <v>20000</v>
      </c>
      <c r="O49" s="650">
        <f t="shared" si="15"/>
        <v>0</v>
      </c>
      <c r="P49" s="650">
        <f t="shared" si="15"/>
        <v>0</v>
      </c>
      <c r="Q49" s="650">
        <f t="shared" si="15"/>
        <v>6250</v>
      </c>
      <c r="R49" s="650">
        <f t="shared" si="15"/>
        <v>1115</v>
      </c>
      <c r="S49" s="650">
        <f t="shared" si="15"/>
        <v>13383</v>
      </c>
      <c r="T49" s="650">
        <f t="shared" si="15"/>
        <v>0</v>
      </c>
      <c r="U49" s="650">
        <f t="shared" si="15"/>
        <v>1491</v>
      </c>
      <c r="V49" s="650">
        <f t="shared" si="15"/>
        <v>2838</v>
      </c>
      <c r="W49" s="650">
        <f t="shared" si="15"/>
        <v>79643.209999999992</v>
      </c>
      <c r="X49" s="650">
        <f t="shared" si="15"/>
        <v>30323.66</v>
      </c>
      <c r="Y49" s="650">
        <f t="shared" si="15"/>
        <v>40462.85</v>
      </c>
      <c r="Z49" s="650">
        <f t="shared" si="15"/>
        <v>14822.560000000001</v>
      </c>
      <c r="AA49" s="650">
        <f t="shared" si="15"/>
        <v>11879.3</v>
      </c>
      <c r="AB49" s="650">
        <f t="shared" si="15"/>
        <v>33143.89</v>
      </c>
      <c r="AC49" s="650">
        <f t="shared" si="15"/>
        <v>8484.7900000000009</v>
      </c>
      <c r="AD49" s="650">
        <f t="shared" si="15"/>
        <v>23967.58</v>
      </c>
      <c r="AE49" s="650">
        <f t="shared" si="15"/>
        <v>28021.500000000004</v>
      </c>
      <c r="AF49" s="650">
        <f t="shared" si="15"/>
        <v>116982.14</v>
      </c>
      <c r="AG49" s="650">
        <f t="shared" si="15"/>
        <v>12246.89</v>
      </c>
      <c r="AH49" s="650">
        <f t="shared" si="15"/>
        <v>6005</v>
      </c>
      <c r="AI49" s="652">
        <f t="shared" si="15"/>
        <v>309679.3</v>
      </c>
      <c r="AJ49" s="650">
        <f t="shared" si="15"/>
        <v>8500</v>
      </c>
      <c r="AK49" s="650">
        <f t="shared" si="15"/>
        <v>0</v>
      </c>
      <c r="AL49" s="650">
        <f t="shared" si="15"/>
        <v>0</v>
      </c>
      <c r="AM49" s="650">
        <f t="shared" si="15"/>
        <v>0</v>
      </c>
      <c r="AN49" s="650">
        <f t="shared" si="15"/>
        <v>0</v>
      </c>
      <c r="AO49" s="652">
        <f t="shared" si="15"/>
        <v>0</v>
      </c>
    </row>
    <row r="50" spans="2:41" ht="16.5" thickTop="1" thickBot="1" x14ac:dyDescent="0.3">
      <c r="B50" s="239" t="s">
        <v>176</v>
      </c>
      <c r="C50" s="664">
        <v>58</v>
      </c>
      <c r="D50" s="36"/>
      <c r="E50" s="36"/>
      <c r="F50" s="36"/>
      <c r="G50" s="36"/>
      <c r="H50" s="36"/>
      <c r="I50" s="19"/>
      <c r="J50" s="19"/>
      <c r="K50" s="19"/>
      <c r="L50" s="2"/>
      <c r="M50" s="2"/>
      <c r="N50" s="2"/>
      <c r="O50" s="2"/>
      <c r="P50" s="2"/>
      <c r="Q50" s="2"/>
      <c r="R50" s="2"/>
      <c r="S50" s="2"/>
      <c r="T50" s="2"/>
      <c r="U50" s="2"/>
      <c r="V50" s="2"/>
      <c r="W50" s="2"/>
      <c r="X50" s="2"/>
      <c r="Y50" s="2"/>
      <c r="Z50" s="2"/>
      <c r="AA50" s="2"/>
      <c r="AB50" s="2"/>
      <c r="AC50" s="2"/>
      <c r="AD50" s="2"/>
      <c r="AE50" s="2"/>
      <c r="AF50" s="2"/>
      <c r="AG50" s="2"/>
      <c r="AH50" s="2"/>
      <c r="AI50" s="76"/>
      <c r="AO50" s="131"/>
    </row>
    <row r="51" spans="2:41" ht="15.75" thickBot="1" x14ac:dyDescent="0.3">
      <c r="B51" s="18" t="s">
        <v>100</v>
      </c>
      <c r="C51" s="661"/>
      <c r="D51" s="669">
        <f>SUM(D49/$C$50)</f>
        <v>12128.50172413793</v>
      </c>
      <c r="E51" s="669">
        <f t="shared" ref="E51:G51" si="16">SUM(E49/$C$50)</f>
        <v>15979.768103448278</v>
      </c>
      <c r="F51" s="669">
        <f t="shared" ca="1" si="16"/>
        <v>18618.306551724138</v>
      </c>
      <c r="G51" s="669">
        <f t="shared" ca="1" si="16"/>
        <v>13207.218448275864</v>
      </c>
      <c r="H51" s="662"/>
      <c r="I51" s="23"/>
      <c r="J51" s="23"/>
      <c r="K51" s="23"/>
      <c r="L51" s="10"/>
      <c r="M51" s="10"/>
      <c r="N51" s="10"/>
      <c r="O51" s="10"/>
      <c r="P51" s="10"/>
      <c r="Q51" s="10"/>
      <c r="R51" s="10"/>
      <c r="S51" s="10"/>
      <c r="T51" s="10"/>
      <c r="U51" s="10"/>
      <c r="V51" s="10"/>
      <c r="W51" s="10"/>
      <c r="X51" s="10"/>
      <c r="Y51" s="10"/>
      <c r="Z51" s="10"/>
      <c r="AA51" s="10"/>
      <c r="AB51" s="10"/>
      <c r="AC51" s="10"/>
      <c r="AD51" s="10"/>
      <c r="AE51" s="10"/>
      <c r="AF51" s="10"/>
      <c r="AG51" s="10"/>
      <c r="AH51" s="10"/>
      <c r="AI51" s="132"/>
      <c r="AJ51" s="10"/>
      <c r="AK51" s="10"/>
      <c r="AL51" s="10"/>
      <c r="AM51" s="10"/>
      <c r="AN51" s="10"/>
      <c r="AO51" s="132"/>
    </row>
    <row r="53" spans="2:41" x14ac:dyDescent="0.25">
      <c r="F53" s="426"/>
      <c r="G53" s="671">
        <f ca="1">G36*2</f>
        <v>168970.6</v>
      </c>
    </row>
    <row r="54" spans="2:41" x14ac:dyDescent="0.25">
      <c r="B54" s="57" t="s">
        <v>378</v>
      </c>
      <c r="D54" s="2"/>
    </row>
    <row r="55" spans="2:41" x14ac:dyDescent="0.25">
      <c r="G55" s="1"/>
      <c r="H55" s="1"/>
      <c r="I55" s="2"/>
      <c r="K55" s="1"/>
    </row>
    <row r="56" spans="2:41" x14ac:dyDescent="0.25">
      <c r="C56" s="712"/>
      <c r="G56" s="707"/>
      <c r="H56" s="741"/>
      <c r="I56" s="2"/>
      <c r="W56" s="426"/>
      <c r="X56" s="426"/>
    </row>
    <row r="57" spans="2:41" x14ac:dyDescent="0.25">
      <c r="B57" t="s">
        <v>379</v>
      </c>
      <c r="C57" s="327">
        <f>(21515+18000+5000)+(2500+2500+200)+(2500+2500+2000)+35928</f>
        <v>92643</v>
      </c>
      <c r="F57" s="2"/>
      <c r="G57" s="1" t="s">
        <v>380</v>
      </c>
      <c r="H57" s="1"/>
      <c r="I57" s="2"/>
    </row>
    <row r="58" spans="2:41" x14ac:dyDescent="0.25">
      <c r="C58" s="2">
        <f>F12-C57</f>
        <v>32357</v>
      </c>
      <c r="G58" s="705">
        <v>92288.3</v>
      </c>
      <c r="H58" s="705">
        <v>31737.699999999997</v>
      </c>
      <c r="I58" s="2"/>
    </row>
    <row r="59" spans="2:41" x14ac:dyDescent="0.25">
      <c r="G59" s="741">
        <f>G58-H58</f>
        <v>60550.600000000006</v>
      </c>
      <c r="H59" s="1"/>
      <c r="I59" s="2"/>
    </row>
    <row r="60" spans="2:41" x14ac:dyDescent="0.25">
      <c r="F60" s="705"/>
      <c r="G60" s="1"/>
      <c r="H60" s="1"/>
      <c r="J60" s="1"/>
      <c r="K60" s="1"/>
    </row>
    <row r="62" spans="2:41" x14ac:dyDescent="0.25">
      <c r="H62" s="2"/>
    </row>
    <row r="63" spans="2:41" x14ac:dyDescent="0.25">
      <c r="F63" s="705"/>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F249-D621-43D6-8D3A-4FE7B7E5B298}">
  <dimension ref="B1:AX46"/>
  <sheetViews>
    <sheetView zoomScale="80" zoomScaleNormal="80" workbookViewId="0">
      <pane xSplit="8" ySplit="3" topLeftCell="I4" activePane="bottomRight" state="frozen"/>
      <selection pane="topRight" activeCell="I1" sqref="I1"/>
      <selection pane="bottomLeft" activeCell="A4" sqref="A4"/>
      <selection pane="bottomRight" activeCell="H1" sqref="H1"/>
    </sheetView>
  </sheetViews>
  <sheetFormatPr defaultColWidth="9.42578125" defaultRowHeight="15" x14ac:dyDescent="0.25"/>
  <cols>
    <col min="1" max="1" width="4.42578125" style="185" customWidth="1"/>
    <col min="2" max="2" width="30.5703125" style="185" customWidth="1"/>
    <col min="3" max="3" width="38.42578125" style="185" customWidth="1"/>
    <col min="4" max="5" width="16.5703125" style="185" customWidth="1"/>
    <col min="6" max="6" width="16.5703125" style="185" hidden="1" customWidth="1"/>
    <col min="7" max="7" width="16.5703125" style="185" customWidth="1"/>
    <col min="8" max="8" width="27.28515625" style="185" customWidth="1"/>
    <col min="9" max="12" width="9.42578125" style="185"/>
    <col min="13" max="13" width="14.28515625" style="185" customWidth="1"/>
    <col min="14" max="35" width="9.42578125" style="185" customWidth="1"/>
    <col min="36" max="36" width="10.42578125" style="185" customWidth="1"/>
    <col min="37" max="37" width="9.7109375" style="185" customWidth="1"/>
    <col min="38" max="40" width="9.42578125" style="185"/>
    <col min="41" max="41" width="11.42578125" style="185" bestFit="1" customWidth="1"/>
    <col min="42" max="16384" width="9.42578125" style="185"/>
  </cols>
  <sheetData>
    <row r="1" spans="2:50" ht="15.75" thickBot="1" x14ac:dyDescent="0.3"/>
    <row r="2" spans="2:50" ht="15.75" thickBot="1" x14ac:dyDescent="0.3">
      <c r="B2" s="186" t="s">
        <v>381</v>
      </c>
      <c r="I2" s="147"/>
      <c r="J2" s="146"/>
      <c r="K2" s="146"/>
      <c r="L2" s="146"/>
      <c r="M2" s="146"/>
      <c r="N2" s="150"/>
      <c r="O2" s="146"/>
      <c r="P2" s="146"/>
      <c r="Q2" s="146"/>
      <c r="R2" s="146"/>
      <c r="S2" s="146"/>
      <c r="T2" s="230"/>
      <c r="U2" s="148"/>
      <c r="V2" s="148"/>
      <c r="W2" s="148"/>
      <c r="X2" s="151"/>
      <c r="Y2" s="151"/>
      <c r="Z2" s="151"/>
      <c r="AA2" s="151"/>
      <c r="AB2" s="151" t="s">
        <v>382</v>
      </c>
      <c r="AC2" s="148"/>
      <c r="AD2" s="221"/>
      <c r="AE2" s="221"/>
      <c r="AF2" s="148"/>
      <c r="AG2" s="232" t="s">
        <v>383</v>
      </c>
      <c r="AH2" s="146"/>
      <c r="AI2" s="146"/>
      <c r="AJ2" s="146"/>
      <c r="AK2" s="146"/>
      <c r="AL2" s="150"/>
      <c r="AM2" s="146"/>
      <c r="AN2" s="146"/>
      <c r="AO2" s="146"/>
      <c r="AP2" s="232" t="s">
        <v>384</v>
      </c>
      <c r="AQ2" s="146"/>
      <c r="AR2" s="230"/>
      <c r="AS2" s="146"/>
      <c r="AT2" s="146"/>
      <c r="AU2" s="146"/>
      <c r="AV2" s="146"/>
      <c r="AW2" s="146"/>
      <c r="AX2" s="359"/>
    </row>
    <row r="3" spans="2:50" ht="45.75" thickBot="1" x14ac:dyDescent="0.3">
      <c r="B3" s="187" t="s">
        <v>16</v>
      </c>
      <c r="C3" s="188" t="s">
        <v>17</v>
      </c>
      <c r="D3" s="189" t="s">
        <v>184</v>
      </c>
      <c r="E3" s="190" t="s">
        <v>185</v>
      </c>
      <c r="F3" s="191" t="s">
        <v>186</v>
      </c>
      <c r="G3" s="191" t="s">
        <v>187</v>
      </c>
      <c r="H3" s="191" t="s">
        <v>111</v>
      </c>
      <c r="I3" s="142">
        <v>44227</v>
      </c>
      <c r="J3" s="143">
        <v>44255</v>
      </c>
      <c r="K3" s="143">
        <v>44286</v>
      </c>
      <c r="L3" s="143">
        <v>44316</v>
      </c>
      <c r="M3" s="143">
        <v>44347</v>
      </c>
      <c r="N3" s="143">
        <v>44377</v>
      </c>
      <c r="O3" s="143">
        <v>44408</v>
      </c>
      <c r="P3" s="143">
        <v>44439</v>
      </c>
      <c r="Q3" s="143">
        <v>44469</v>
      </c>
      <c r="R3" s="143">
        <v>44500</v>
      </c>
      <c r="S3" s="143">
        <v>44530</v>
      </c>
      <c r="T3" s="154">
        <v>44561</v>
      </c>
      <c r="U3" s="144">
        <v>44592</v>
      </c>
      <c r="V3" s="144">
        <v>44620</v>
      </c>
      <c r="W3" s="144">
        <v>44651</v>
      </c>
      <c r="X3" s="144">
        <v>44681</v>
      </c>
      <c r="Y3" s="144">
        <v>44712</v>
      </c>
      <c r="Z3" s="144">
        <v>44742</v>
      </c>
      <c r="AA3" s="144">
        <v>44773</v>
      </c>
      <c r="AB3" s="144">
        <v>44804</v>
      </c>
      <c r="AC3" s="144">
        <v>44834</v>
      </c>
      <c r="AD3" s="144">
        <v>44865</v>
      </c>
      <c r="AE3" s="144">
        <v>44895</v>
      </c>
      <c r="AF3" s="144">
        <v>44926</v>
      </c>
      <c r="AG3" s="142">
        <v>44957</v>
      </c>
      <c r="AH3" s="143">
        <v>44985</v>
      </c>
      <c r="AI3" s="143">
        <v>45016</v>
      </c>
      <c r="AJ3" s="143">
        <v>45046</v>
      </c>
      <c r="AK3" s="143">
        <v>45077</v>
      </c>
      <c r="AL3" s="143">
        <v>45107</v>
      </c>
      <c r="AM3" s="143">
        <v>45138</v>
      </c>
      <c r="AN3" s="143">
        <v>45169</v>
      </c>
      <c r="AO3" s="143">
        <v>45199</v>
      </c>
      <c r="AP3" s="143">
        <v>45230</v>
      </c>
      <c r="AQ3" s="143">
        <v>45260</v>
      </c>
      <c r="AR3" s="154">
        <v>45291</v>
      </c>
      <c r="AS3" s="143">
        <v>45292</v>
      </c>
      <c r="AT3" s="143">
        <v>45323</v>
      </c>
      <c r="AU3" s="143">
        <v>45352</v>
      </c>
      <c r="AV3" s="143">
        <v>45383</v>
      </c>
      <c r="AW3" s="143">
        <v>45413</v>
      </c>
      <c r="AX3" s="143">
        <v>45444</v>
      </c>
    </row>
    <row r="4" spans="2:50" x14ac:dyDescent="0.25">
      <c r="B4" s="192" t="s">
        <v>29</v>
      </c>
      <c r="C4" s="185" t="s">
        <v>170</v>
      </c>
      <c r="D4" s="193">
        <v>7880</v>
      </c>
      <c r="E4" s="193">
        <f>SUM(I4:AR4)</f>
        <v>7880</v>
      </c>
      <c r="F4" s="193"/>
      <c r="G4" s="193">
        <f ca="1">SUMIF($I$3:$AR$3,"&lt;"&amp;TODAY(),$I4:$AR4)</f>
        <v>7880</v>
      </c>
      <c r="H4" s="193"/>
      <c r="I4" s="223">
        <v>7880</v>
      </c>
      <c r="J4" s="194"/>
      <c r="K4" s="194"/>
      <c r="L4" s="194"/>
      <c r="M4" s="194"/>
      <c r="N4" s="194"/>
      <c r="O4" s="194"/>
      <c r="P4" s="194"/>
      <c r="Q4" s="194"/>
      <c r="R4" s="194"/>
      <c r="S4" s="194"/>
      <c r="T4" s="235"/>
      <c r="U4" s="194"/>
      <c r="V4" s="194"/>
      <c r="W4" s="194"/>
      <c r="X4" s="194"/>
      <c r="Y4" s="194"/>
      <c r="Z4" s="194"/>
      <c r="AA4" s="195"/>
      <c r="AB4" s="195"/>
      <c r="AC4" s="195"/>
      <c r="AD4" s="195"/>
      <c r="AE4" s="195"/>
      <c r="AF4" s="195"/>
      <c r="AG4" s="192"/>
      <c r="AR4" s="231"/>
      <c r="AV4" s="360"/>
      <c r="AW4" s="360"/>
      <c r="AX4" s="360"/>
    </row>
    <row r="5" spans="2:50" x14ac:dyDescent="0.25">
      <c r="B5" s="192"/>
      <c r="C5" s="185" t="s">
        <v>111</v>
      </c>
      <c r="D5" s="193">
        <v>750</v>
      </c>
      <c r="E5" s="193">
        <f t="shared" ref="E5:E28" si="0">SUM(I5:AR5)</f>
        <v>750</v>
      </c>
      <c r="F5" s="193"/>
      <c r="G5" s="193">
        <f t="shared" ref="G5:G6" ca="1" si="1">SUMIF($I$3:$AR$3,"&lt;"&amp;TODAY(),$I5:$AR5)</f>
        <v>750</v>
      </c>
      <c r="H5" s="193"/>
      <c r="I5" s="223">
        <v>750</v>
      </c>
      <c r="J5" s="178"/>
      <c r="K5" s="178"/>
      <c r="L5" s="178"/>
      <c r="M5" s="178"/>
      <c r="N5" s="178"/>
      <c r="O5" s="178"/>
      <c r="P5" s="178"/>
      <c r="Q5" s="178"/>
      <c r="R5" s="178"/>
      <c r="S5" s="178"/>
      <c r="T5" s="226"/>
      <c r="U5" s="178"/>
      <c r="V5" s="178"/>
      <c r="W5" s="178"/>
      <c r="X5" s="178"/>
      <c r="Y5" s="178"/>
      <c r="Z5" s="178"/>
      <c r="AG5" s="192"/>
      <c r="AR5" s="231"/>
      <c r="AV5" s="360"/>
      <c r="AW5" s="360"/>
      <c r="AX5" s="360"/>
    </row>
    <row r="6" spans="2:50" x14ac:dyDescent="0.25">
      <c r="B6" s="196"/>
      <c r="C6" s="197" t="s">
        <v>32</v>
      </c>
      <c r="D6" s="198">
        <v>50000</v>
      </c>
      <c r="E6" s="198">
        <f t="shared" si="0"/>
        <v>50000</v>
      </c>
      <c r="F6" s="198"/>
      <c r="G6" s="193">
        <f t="shared" ca="1" si="1"/>
        <v>50000</v>
      </c>
      <c r="H6" s="198"/>
      <c r="I6" s="223">
        <v>50000</v>
      </c>
      <c r="J6" s="178"/>
      <c r="K6" s="178"/>
      <c r="L6" s="178"/>
      <c r="M6" s="178"/>
      <c r="N6" s="178"/>
      <c r="O6" s="178"/>
      <c r="P6" s="178"/>
      <c r="Q6" s="178"/>
      <c r="R6" s="178"/>
      <c r="S6" s="178"/>
      <c r="T6" s="226"/>
      <c r="U6" s="178"/>
      <c r="V6" s="178"/>
      <c r="W6" s="178"/>
      <c r="X6" s="178"/>
      <c r="Y6" s="178"/>
      <c r="Z6" s="178"/>
      <c r="AG6" s="192"/>
      <c r="AR6" s="231"/>
      <c r="AV6" s="360"/>
      <c r="AW6" s="360"/>
      <c r="AX6" s="360"/>
    </row>
    <row r="7" spans="2:50" x14ac:dyDescent="0.25">
      <c r="B7" s="199" t="s">
        <v>35</v>
      </c>
      <c r="C7" s="200"/>
      <c r="D7" s="201">
        <v>175146.91</v>
      </c>
      <c r="E7" s="201">
        <f t="shared" si="0"/>
        <v>266509.82</v>
      </c>
      <c r="F7" s="201"/>
      <c r="G7" s="201">
        <f ca="1">SUMIF($I$3:$AR$3,"&lt;"&amp;TODAY(),$I7:$AR7)</f>
        <v>266509.82</v>
      </c>
      <c r="H7" s="201"/>
      <c r="I7" s="224">
        <v>5100</v>
      </c>
      <c r="J7" s="202"/>
      <c r="K7" s="202"/>
      <c r="L7" s="202"/>
      <c r="M7" s="202"/>
      <c r="N7" s="202"/>
      <c r="O7" s="202">
        <f>25000+4955.9</f>
        <v>29955.9</v>
      </c>
      <c r="P7" s="202">
        <v>10069.08</v>
      </c>
      <c r="Q7" s="202"/>
      <c r="R7" s="202"/>
      <c r="S7" s="202">
        <f>137726.58+30541.49</f>
        <v>168268.06999999998</v>
      </c>
      <c r="T7" s="236"/>
      <c r="U7" s="203">
        <v>53116.77</v>
      </c>
      <c r="V7" s="203"/>
      <c r="W7" s="203"/>
      <c r="X7" s="203"/>
      <c r="Y7" s="203"/>
      <c r="Z7" s="203"/>
      <c r="AA7" s="203"/>
      <c r="AB7" s="203"/>
      <c r="AC7" s="203"/>
      <c r="AD7" s="203"/>
      <c r="AE7" s="203"/>
      <c r="AF7" s="203"/>
      <c r="AG7" s="233"/>
      <c r="AH7" s="200"/>
      <c r="AI7" s="200"/>
      <c r="AJ7" s="200"/>
      <c r="AK7" s="200"/>
      <c r="AL7" s="200"/>
      <c r="AM7" s="200"/>
      <c r="AN7" s="200"/>
      <c r="AO7" s="200"/>
      <c r="AP7" s="200"/>
      <c r="AQ7" s="200"/>
      <c r="AR7" s="234"/>
      <c r="AS7" s="200"/>
      <c r="AT7" s="200"/>
      <c r="AU7" s="200"/>
      <c r="AV7" s="361"/>
      <c r="AW7" s="361"/>
      <c r="AX7" s="482"/>
    </row>
    <row r="8" spans="2:50" x14ac:dyDescent="0.25">
      <c r="B8" s="199" t="s">
        <v>205</v>
      </c>
      <c r="C8" s="200"/>
      <c r="D8" s="201">
        <v>4906</v>
      </c>
      <c r="E8" s="201">
        <f t="shared" si="0"/>
        <v>0</v>
      </c>
      <c r="F8" s="201"/>
      <c r="G8" s="201">
        <f ca="1">SUMIF($I$3:$AR$3,"&lt;"&amp;TODAY(),$I8:$AR8)</f>
        <v>0</v>
      </c>
      <c r="H8" s="201"/>
      <c r="I8" s="224"/>
      <c r="J8" s="202"/>
      <c r="K8" s="202"/>
      <c r="L8" s="202"/>
      <c r="M8" s="202"/>
      <c r="N8" s="202"/>
      <c r="O8" s="202"/>
      <c r="P8" s="202"/>
      <c r="Q8" s="202"/>
      <c r="R8" s="202"/>
      <c r="S8" s="202"/>
      <c r="T8" s="236"/>
      <c r="U8" s="202"/>
      <c r="V8" s="202"/>
      <c r="W8" s="202"/>
      <c r="X8" s="202"/>
      <c r="Y8" s="202"/>
      <c r="Z8" s="203"/>
      <c r="AA8" s="203"/>
      <c r="AB8" s="203"/>
      <c r="AC8" s="203"/>
      <c r="AD8" s="203"/>
      <c r="AE8" s="203"/>
      <c r="AF8" s="203"/>
      <c r="AG8" s="199"/>
      <c r="AH8" s="200"/>
      <c r="AI8" s="200"/>
      <c r="AJ8" s="200"/>
      <c r="AK8" s="200"/>
      <c r="AL8" s="200"/>
      <c r="AM8" s="200"/>
      <c r="AN8" s="200"/>
      <c r="AO8" s="200"/>
      <c r="AP8" s="200"/>
      <c r="AQ8" s="200"/>
      <c r="AR8" s="234"/>
      <c r="AS8"/>
      <c r="AT8" s="15"/>
      <c r="AU8" s="15"/>
      <c r="AV8" s="77"/>
      <c r="AW8"/>
      <c r="AX8" s="54"/>
    </row>
    <row r="9" spans="2:50" x14ac:dyDescent="0.25">
      <c r="B9" s="199" t="s">
        <v>40</v>
      </c>
      <c r="C9" s="200"/>
      <c r="D9" s="201">
        <v>45194</v>
      </c>
      <c r="E9" s="201">
        <v>49239</v>
      </c>
      <c r="F9" s="201"/>
      <c r="G9" s="201">
        <v>54239</v>
      </c>
      <c r="H9" s="201" t="s">
        <v>385</v>
      </c>
      <c r="I9" s="224"/>
      <c r="J9" s="202"/>
      <c r="K9" s="202"/>
      <c r="L9" s="202">
        <v>940.5</v>
      </c>
      <c r="M9" s="202">
        <v>244</v>
      </c>
      <c r="N9" s="202">
        <v>509.5</v>
      </c>
      <c r="O9" s="202">
        <f>2910+500</f>
        <v>3410</v>
      </c>
      <c r="P9" s="202">
        <v>1341.75</v>
      </c>
      <c r="Q9" s="202">
        <v>3206.25</v>
      </c>
      <c r="R9" s="202">
        <v>1437.25</v>
      </c>
      <c r="S9" s="202">
        <v>520.70000000000005</v>
      </c>
      <c r="T9" s="236">
        <v>150</v>
      </c>
      <c r="U9" s="203">
        <v>700</v>
      </c>
      <c r="V9" s="203">
        <v>564</v>
      </c>
      <c r="W9" s="203">
        <v>348</v>
      </c>
      <c r="X9" s="203"/>
      <c r="Y9" s="202">
        <f>312+120</f>
        <v>432</v>
      </c>
      <c r="Z9" s="203"/>
      <c r="AA9" s="227">
        <v>612</v>
      </c>
      <c r="AB9" s="26">
        <v>3257</v>
      </c>
      <c r="AC9" s="227">
        <v>5000</v>
      </c>
      <c r="AD9" s="240">
        <v>2414.69</v>
      </c>
      <c r="AE9" s="227">
        <v>3117.65</v>
      </c>
      <c r="AF9" s="227">
        <f>6000+6283.21</f>
        <v>12283.21</v>
      </c>
      <c r="AG9" s="153">
        <v>5250</v>
      </c>
      <c r="AH9" s="26">
        <v>750</v>
      </c>
      <c r="AN9" s="297">
        <v>1250</v>
      </c>
      <c r="AP9" s="297">
        <v>500</v>
      </c>
      <c r="AQ9" s="297">
        <v>1000</v>
      </c>
      <c r="AR9" s="231"/>
      <c r="AS9" s="379">
        <v>1000</v>
      </c>
      <c r="AT9" s="438">
        <v>1000</v>
      </c>
      <c r="AU9" s="438">
        <v>1000</v>
      </c>
      <c r="AV9" s="437">
        <v>1250</v>
      </c>
      <c r="AW9" s="481"/>
      <c r="AX9" s="480"/>
    </row>
    <row r="10" spans="2:50" x14ac:dyDescent="0.25">
      <c r="B10" s="199" t="s">
        <v>37</v>
      </c>
      <c r="C10" s="200"/>
      <c r="D10" s="201">
        <v>172715</v>
      </c>
      <c r="E10" s="201">
        <f t="shared" si="0"/>
        <v>246451</v>
      </c>
      <c r="F10" s="201"/>
      <c r="G10" s="201">
        <f ca="1">SUMIF($I$3:$AR$3,"&lt;"&amp;TODAY(),$I10:$AR10)</f>
        <v>246451</v>
      </c>
      <c r="H10" s="201" t="s">
        <v>386</v>
      </c>
      <c r="I10" s="224"/>
      <c r="J10" s="202"/>
      <c r="K10" s="202"/>
      <c r="L10" s="202"/>
      <c r="M10" s="202"/>
      <c r="N10" s="202"/>
      <c r="O10" s="202"/>
      <c r="P10" s="202"/>
      <c r="Q10" s="202"/>
      <c r="R10" s="202"/>
      <c r="S10" s="202"/>
      <c r="T10" s="236"/>
      <c r="U10" s="203"/>
      <c r="V10" s="203"/>
      <c r="W10" s="203"/>
      <c r="X10" s="203"/>
      <c r="Y10" s="202"/>
      <c r="Z10" s="203"/>
      <c r="AA10" s="203"/>
      <c r="AB10" s="203"/>
      <c r="AC10" s="203"/>
      <c r="AD10" s="203"/>
      <c r="AE10" s="203"/>
      <c r="AF10" s="203"/>
      <c r="AG10" s="260">
        <f>207811</f>
        <v>207811</v>
      </c>
      <c r="AH10" s="262">
        <v>38640</v>
      </c>
      <c r="AI10" s="200"/>
      <c r="AJ10" s="200"/>
      <c r="AK10" s="200"/>
      <c r="AL10" s="200"/>
      <c r="AM10" s="200"/>
      <c r="AN10" s="200"/>
      <c r="AO10" s="200"/>
      <c r="AP10" s="200"/>
      <c r="AQ10" s="200"/>
      <c r="AR10" s="234"/>
      <c r="AS10" s="14"/>
      <c r="AT10" s="6"/>
      <c r="AU10" s="6"/>
      <c r="AV10" s="362"/>
      <c r="AW10" s="362"/>
      <c r="AX10" s="362"/>
    </row>
    <row r="11" spans="2:50" x14ac:dyDescent="0.25">
      <c r="B11" s="204" t="s">
        <v>42</v>
      </c>
      <c r="C11" s="185" t="s">
        <v>387</v>
      </c>
      <c r="D11" s="193">
        <v>2600</v>
      </c>
      <c r="E11" s="193">
        <f t="shared" si="0"/>
        <v>8195.0499999999993</v>
      </c>
      <c r="F11" s="193"/>
      <c r="G11" s="193">
        <f t="shared" ref="G11:G34" ca="1" si="2">SUMIF($I$3:$AR$3,"&lt;"&amp;TODAY(),$I11:$AX11)</f>
        <v>8195.0499999999993</v>
      </c>
      <c r="H11" s="193" t="s">
        <v>105</v>
      </c>
      <c r="I11" s="177"/>
      <c r="J11" s="178"/>
      <c r="L11" s="178"/>
      <c r="M11" s="178"/>
      <c r="N11" s="178"/>
      <c r="O11" s="178"/>
      <c r="P11" s="178"/>
      <c r="Q11" s="178"/>
      <c r="R11" s="178"/>
      <c r="S11" s="178"/>
      <c r="T11" s="226"/>
      <c r="U11" s="178"/>
      <c r="V11" s="178"/>
      <c r="W11" s="178"/>
      <c r="X11" s="178"/>
      <c r="Y11" s="178"/>
      <c r="Z11" s="178"/>
      <c r="AA11" s="26">
        <f>2450+2000+355</f>
        <v>4805</v>
      </c>
      <c r="AG11" s="192"/>
      <c r="AL11" s="272">
        <v>1690.05</v>
      </c>
      <c r="AQ11" s="297">
        <v>1700</v>
      </c>
      <c r="AR11" s="231"/>
      <c r="AS11"/>
      <c r="AT11"/>
      <c r="AU11"/>
      <c r="AV11" s="77"/>
      <c r="AW11" s="77"/>
      <c r="AX11" s="77"/>
    </row>
    <row r="12" spans="2:50" x14ac:dyDescent="0.25">
      <c r="B12" s="204"/>
      <c r="C12" s="185" t="s">
        <v>44</v>
      </c>
      <c r="D12" s="193">
        <v>5000</v>
      </c>
      <c r="E12" s="193">
        <f t="shared" si="0"/>
        <v>6850</v>
      </c>
      <c r="F12" s="193"/>
      <c r="G12" s="193">
        <f t="shared" ca="1" si="2"/>
        <v>6850</v>
      </c>
      <c r="H12" s="193" t="s">
        <v>388</v>
      </c>
      <c r="I12" s="225"/>
      <c r="J12" s="222"/>
      <c r="K12" s="222"/>
      <c r="L12" s="222"/>
      <c r="M12" s="222"/>
      <c r="N12" s="222"/>
      <c r="P12" s="222"/>
      <c r="Q12" s="222"/>
      <c r="R12" s="222">
        <v>5100</v>
      </c>
      <c r="S12" s="222">
        <v>950</v>
      </c>
      <c r="T12" s="237"/>
      <c r="U12" s="178"/>
      <c r="V12" s="178"/>
      <c r="W12" s="178"/>
      <c r="X12" s="178"/>
      <c r="Y12" s="178"/>
      <c r="Z12" s="178"/>
      <c r="AA12" s="178"/>
      <c r="AB12" s="178"/>
      <c r="AC12" s="178"/>
      <c r="AD12" s="178"/>
      <c r="AE12" s="178"/>
      <c r="AF12" s="28">
        <v>800</v>
      </c>
      <c r="AG12" s="192"/>
      <c r="AR12" s="231"/>
      <c r="AS12"/>
      <c r="AT12"/>
      <c r="AU12"/>
      <c r="AV12" s="77"/>
      <c r="AW12" s="77"/>
      <c r="AX12" s="77"/>
    </row>
    <row r="13" spans="2:50" x14ac:dyDescent="0.25">
      <c r="B13" s="204"/>
      <c r="C13" s="185" t="s">
        <v>46</v>
      </c>
      <c r="D13" s="193">
        <v>13600</v>
      </c>
      <c r="E13" s="193">
        <f t="shared" si="0"/>
        <v>17693.75</v>
      </c>
      <c r="F13" s="193"/>
      <c r="G13" s="193">
        <f t="shared" ca="1" si="2"/>
        <v>17693.75</v>
      </c>
      <c r="H13" s="193"/>
      <c r="I13" s="225"/>
      <c r="J13" s="222"/>
      <c r="K13" s="222"/>
      <c r="L13" s="222"/>
      <c r="M13" s="222"/>
      <c r="N13" s="222"/>
      <c r="O13" s="222">
        <v>13600</v>
      </c>
      <c r="P13" s="222"/>
      <c r="Q13" s="222"/>
      <c r="R13" s="222"/>
      <c r="S13" s="222"/>
      <c r="T13" s="237"/>
      <c r="U13" s="178"/>
      <c r="V13" s="178"/>
      <c r="W13" s="178">
        <v>1750</v>
      </c>
      <c r="X13" s="178"/>
      <c r="Y13" s="178"/>
      <c r="Z13" s="178"/>
      <c r="AA13" s="178"/>
      <c r="AB13" s="178"/>
      <c r="AC13" s="178"/>
      <c r="AD13" s="178"/>
      <c r="AE13" s="178"/>
      <c r="AF13" s="178"/>
      <c r="AG13" s="192"/>
      <c r="AL13" s="272">
        <v>2343.75</v>
      </c>
      <c r="AR13" s="231"/>
      <c r="AS13"/>
      <c r="AT13"/>
      <c r="AU13"/>
      <c r="AV13" s="378">
        <v>840</v>
      </c>
      <c r="AW13" s="478"/>
      <c r="AX13" s="478"/>
    </row>
    <row r="14" spans="2:50" x14ac:dyDescent="0.25">
      <c r="B14" s="204"/>
      <c r="C14" s="185" t="s">
        <v>47</v>
      </c>
      <c r="D14" s="193">
        <v>2250</v>
      </c>
      <c r="E14" s="193">
        <f t="shared" si="0"/>
        <v>2450</v>
      </c>
      <c r="F14" s="193"/>
      <c r="G14" s="193">
        <f t="shared" ca="1" si="2"/>
        <v>2450</v>
      </c>
      <c r="H14" s="193" t="s">
        <v>135</v>
      </c>
      <c r="I14" s="225"/>
      <c r="J14" s="222"/>
      <c r="K14" s="222"/>
      <c r="L14" s="222"/>
      <c r="M14" s="222"/>
      <c r="N14" s="222"/>
      <c r="O14" s="222"/>
      <c r="P14" s="222"/>
      <c r="Q14" s="222">
        <v>1500</v>
      </c>
      <c r="R14" s="222"/>
      <c r="S14" s="222">
        <v>950</v>
      </c>
      <c r="T14" s="237"/>
      <c r="U14" s="178"/>
      <c r="V14" s="178"/>
      <c r="W14" s="178"/>
      <c r="X14" s="178"/>
      <c r="Y14" s="178"/>
      <c r="Z14" s="178"/>
      <c r="AA14" s="178"/>
      <c r="AB14" s="178"/>
      <c r="AC14" s="178"/>
      <c r="AD14" s="178"/>
      <c r="AE14" s="178"/>
      <c r="AF14" s="178"/>
      <c r="AG14" s="192"/>
      <c r="AR14" s="231"/>
      <c r="AS14"/>
      <c r="AT14"/>
      <c r="AU14"/>
      <c r="AV14" s="77"/>
      <c r="AW14" s="77"/>
      <c r="AX14" s="77"/>
    </row>
    <row r="15" spans="2:50" x14ac:dyDescent="0.25">
      <c r="B15" s="204"/>
      <c r="C15" s="185" t="s">
        <v>48</v>
      </c>
      <c r="D15" s="193">
        <v>27755</v>
      </c>
      <c r="E15" s="193">
        <f t="shared" si="0"/>
        <v>41049.479999999996</v>
      </c>
      <c r="F15" s="193"/>
      <c r="G15" s="193">
        <f t="shared" ca="1" si="2"/>
        <v>41049.479999999996</v>
      </c>
      <c r="H15" s="193"/>
      <c r="I15" s="225"/>
      <c r="J15" s="222"/>
      <c r="K15" s="222"/>
      <c r="L15" s="222"/>
      <c r="M15" s="222"/>
      <c r="N15" s="222"/>
      <c r="O15" s="222"/>
      <c r="P15" s="222">
        <v>27755</v>
      </c>
      <c r="Q15" s="222"/>
      <c r="R15" s="222"/>
      <c r="S15" s="222"/>
      <c r="T15" s="237"/>
      <c r="U15" s="178"/>
      <c r="V15" s="178"/>
      <c r="W15" s="178"/>
      <c r="X15" s="178"/>
      <c r="Y15" s="222"/>
      <c r="Z15" s="178"/>
      <c r="AA15" s="28">
        <f>13175+119.48</f>
        <v>13294.48</v>
      </c>
      <c r="AB15" s="178"/>
      <c r="AC15" s="178"/>
      <c r="AD15" s="178"/>
      <c r="AE15" s="178"/>
      <c r="AF15" s="178"/>
      <c r="AG15" s="192"/>
      <c r="AR15" s="231"/>
      <c r="AS15"/>
      <c r="AT15"/>
      <c r="AU15"/>
      <c r="AV15" s="77"/>
      <c r="AW15" s="77"/>
      <c r="AX15" s="77"/>
    </row>
    <row r="16" spans="2:50" x14ac:dyDescent="0.25">
      <c r="B16" s="204"/>
      <c r="C16" s="185" t="s">
        <v>171</v>
      </c>
      <c r="D16" s="193">
        <v>50000</v>
      </c>
      <c r="E16" s="193">
        <f t="shared" si="0"/>
        <v>0</v>
      </c>
      <c r="F16" s="193"/>
      <c r="G16" s="193">
        <f t="shared" ca="1" si="2"/>
        <v>0</v>
      </c>
      <c r="H16" s="193"/>
      <c r="I16" s="225"/>
      <c r="J16" s="222"/>
      <c r="K16" s="222"/>
      <c r="L16" s="222"/>
      <c r="M16" s="222"/>
      <c r="N16" s="222"/>
      <c r="O16" s="222"/>
      <c r="P16" s="222"/>
      <c r="Q16" s="222"/>
      <c r="R16" s="222"/>
      <c r="S16" s="222"/>
      <c r="T16" s="237"/>
      <c r="U16" s="178"/>
      <c r="V16" s="178"/>
      <c r="W16" s="178"/>
      <c r="X16" s="178"/>
      <c r="Y16" s="178"/>
      <c r="Z16" s="178"/>
      <c r="AA16" s="178"/>
      <c r="AB16" s="178"/>
      <c r="AC16" s="178"/>
      <c r="AD16" s="178"/>
      <c r="AE16" s="178"/>
      <c r="AF16" s="178"/>
      <c r="AG16" s="192"/>
      <c r="AR16" s="231"/>
      <c r="AS16"/>
      <c r="AT16"/>
      <c r="AU16"/>
      <c r="AV16" s="77"/>
      <c r="AW16" s="77"/>
      <c r="AX16" s="77"/>
    </row>
    <row r="17" spans="2:50" x14ac:dyDescent="0.25">
      <c r="B17" s="204"/>
      <c r="C17" s="185" t="s">
        <v>389</v>
      </c>
      <c r="D17" s="193"/>
      <c r="E17" s="193">
        <f t="shared" si="0"/>
        <v>2500</v>
      </c>
      <c r="F17" s="193"/>
      <c r="G17" s="193">
        <f t="shared" ca="1" si="2"/>
        <v>2500</v>
      </c>
      <c r="H17" s="193" t="s">
        <v>238</v>
      </c>
      <c r="I17" s="225"/>
      <c r="J17" s="222"/>
      <c r="K17" s="222"/>
      <c r="L17" s="222"/>
      <c r="M17" s="222"/>
      <c r="N17" s="222"/>
      <c r="O17" s="222"/>
      <c r="P17" s="222"/>
      <c r="Q17" s="222"/>
      <c r="R17" s="222"/>
      <c r="S17" s="222"/>
      <c r="T17" s="237"/>
      <c r="U17" s="178"/>
      <c r="V17" s="178">
        <v>2500</v>
      </c>
      <c r="W17" s="178"/>
      <c r="X17" s="178"/>
      <c r="Y17" s="178"/>
      <c r="Z17" s="178"/>
      <c r="AA17" s="178"/>
      <c r="AB17" s="178"/>
      <c r="AC17" s="178"/>
      <c r="AD17" s="178"/>
      <c r="AE17" s="178"/>
      <c r="AF17" s="178"/>
      <c r="AG17" s="192"/>
      <c r="AR17" s="231"/>
      <c r="AS17"/>
      <c r="AT17"/>
      <c r="AU17"/>
      <c r="AV17" s="77"/>
      <c r="AW17" s="77"/>
      <c r="AX17" s="77"/>
    </row>
    <row r="18" spans="2:50" x14ac:dyDescent="0.25">
      <c r="B18" s="204"/>
      <c r="C18" s="185" t="s">
        <v>390</v>
      </c>
      <c r="D18" s="193">
        <v>3000</v>
      </c>
      <c r="E18" s="193">
        <f t="shared" si="0"/>
        <v>7558.2</v>
      </c>
      <c r="F18" s="193"/>
      <c r="G18" s="193">
        <f t="shared" ca="1" si="2"/>
        <v>7558.2</v>
      </c>
      <c r="H18" s="193" t="s">
        <v>105</v>
      </c>
      <c r="I18" s="177"/>
      <c r="J18" s="178"/>
      <c r="K18" s="178"/>
      <c r="L18" s="178"/>
      <c r="M18" s="178"/>
      <c r="N18" s="178"/>
      <c r="O18" s="178"/>
      <c r="P18" s="178"/>
      <c r="Q18" s="178"/>
      <c r="R18" s="178"/>
      <c r="S18" s="178"/>
      <c r="T18" s="226">
        <v>1225</v>
      </c>
      <c r="U18" s="178"/>
      <c r="V18" s="178">
        <v>5333.2</v>
      </c>
      <c r="W18" s="178"/>
      <c r="X18" s="178"/>
      <c r="Y18" s="178"/>
      <c r="Z18" s="178"/>
      <c r="AA18" s="178"/>
      <c r="AB18" s="28">
        <v>500</v>
      </c>
      <c r="AC18" s="28">
        <v>500</v>
      </c>
      <c r="AD18" s="178"/>
      <c r="AE18" s="178"/>
      <c r="AF18" s="178"/>
      <c r="AG18" s="192"/>
      <c r="AR18" s="231"/>
      <c r="AS18"/>
      <c r="AT18"/>
      <c r="AU18" s="297">
        <v>1250</v>
      </c>
      <c r="AV18" s="77"/>
      <c r="AW18" s="77"/>
      <c r="AX18" s="77"/>
    </row>
    <row r="19" spans="2:50" x14ac:dyDescent="0.25">
      <c r="B19" s="204"/>
      <c r="C19" s="185" t="s">
        <v>54</v>
      </c>
      <c r="D19" s="193">
        <v>3200</v>
      </c>
      <c r="E19" s="193">
        <f t="shared" si="0"/>
        <v>0</v>
      </c>
      <c r="F19" s="193"/>
      <c r="G19" s="193">
        <f t="shared" ca="1" si="2"/>
        <v>0</v>
      </c>
      <c r="H19" s="193"/>
      <c r="I19" s="177"/>
      <c r="J19" s="178"/>
      <c r="K19" s="178"/>
      <c r="L19" s="178"/>
      <c r="M19" s="178"/>
      <c r="N19" s="178"/>
      <c r="O19" s="178"/>
      <c r="P19" s="178"/>
      <c r="Q19" s="178"/>
      <c r="R19" s="178"/>
      <c r="S19" s="178"/>
      <c r="T19" s="226"/>
      <c r="U19" s="178"/>
      <c r="V19" s="178"/>
      <c r="W19" s="178"/>
      <c r="X19" s="178"/>
      <c r="Y19" s="178"/>
      <c r="Z19" s="178"/>
      <c r="AA19" s="178"/>
      <c r="AB19" s="178"/>
      <c r="AC19" s="178"/>
      <c r="AD19" s="178"/>
      <c r="AE19" s="178"/>
      <c r="AF19" s="178"/>
      <c r="AG19" s="192"/>
      <c r="AR19" s="231"/>
      <c r="AS19" s="297">
        <v>950</v>
      </c>
      <c r="AT19"/>
      <c r="AU19"/>
      <c r="AV19" s="77"/>
      <c r="AW19" s="77"/>
      <c r="AX19" s="77"/>
    </row>
    <row r="20" spans="2:50" x14ac:dyDescent="0.25">
      <c r="B20" s="204"/>
      <c r="C20" s="185" t="s">
        <v>56</v>
      </c>
      <c r="D20" s="193">
        <v>38540</v>
      </c>
      <c r="E20" s="193">
        <f t="shared" si="0"/>
        <v>29185</v>
      </c>
      <c r="F20" s="193"/>
      <c r="G20" s="193">
        <f t="shared" ca="1" si="2"/>
        <v>29185</v>
      </c>
      <c r="H20" s="193" t="s">
        <v>391</v>
      </c>
      <c r="I20" s="177"/>
      <c r="J20" s="178"/>
      <c r="K20" s="178"/>
      <c r="L20" s="178"/>
      <c r="M20" s="178"/>
      <c r="N20" s="178"/>
      <c r="O20" s="178"/>
      <c r="P20" s="178">
        <v>8220</v>
      </c>
      <c r="Q20" s="178"/>
      <c r="R20" s="178"/>
      <c r="S20" s="178"/>
      <c r="T20" s="226">
        <v>8320</v>
      </c>
      <c r="U20" s="178">
        <v>1740</v>
      </c>
      <c r="V20" s="178"/>
      <c r="W20" s="178"/>
      <c r="X20" s="178"/>
      <c r="Y20" s="178"/>
      <c r="Z20" s="178"/>
      <c r="AA20" s="178"/>
      <c r="AB20" s="178"/>
      <c r="AC20" s="178"/>
      <c r="AD20" s="178"/>
      <c r="AE20" s="26">
        <v>2730</v>
      </c>
      <c r="AF20" s="178">
        <f>1575+750+325</f>
        <v>2650</v>
      </c>
      <c r="AG20" s="192"/>
      <c r="AO20" s="297">
        <v>445</v>
      </c>
      <c r="AP20" s="297">
        <v>4120</v>
      </c>
      <c r="AR20" s="358">
        <v>960</v>
      </c>
      <c r="AS20"/>
      <c r="AT20"/>
      <c r="AU20"/>
      <c r="AV20" s="77"/>
      <c r="AW20" s="77"/>
      <c r="AX20" s="77"/>
    </row>
    <row r="21" spans="2:50" x14ac:dyDescent="0.25">
      <c r="B21" s="204"/>
      <c r="C21" s="185" t="s">
        <v>58</v>
      </c>
      <c r="D21" s="193">
        <v>15810</v>
      </c>
      <c r="E21" s="193">
        <v>25559</v>
      </c>
      <c r="F21" s="193">
        <v>24447</v>
      </c>
      <c r="G21" s="193">
        <f t="shared" ca="1" si="2"/>
        <v>24334.25</v>
      </c>
      <c r="H21" s="193" t="s">
        <v>208</v>
      </c>
      <c r="I21" s="177"/>
      <c r="J21" s="178"/>
      <c r="K21" s="178"/>
      <c r="L21" s="178"/>
      <c r="M21" s="178"/>
      <c r="N21" s="178"/>
      <c r="O21" s="178"/>
      <c r="P21" s="178"/>
      <c r="Q21" s="178"/>
      <c r="R21" s="178">
        <v>3315.5</v>
      </c>
      <c r="S21" s="178"/>
      <c r="T21" s="226"/>
      <c r="U21" s="178"/>
      <c r="V21" s="178"/>
      <c r="W21" s="178"/>
      <c r="X21" s="178"/>
      <c r="Y21" s="178"/>
      <c r="Z21" s="178"/>
      <c r="AA21" s="178"/>
      <c r="AB21" s="28">
        <f>935+935</f>
        <v>1870</v>
      </c>
      <c r="AC21" s="178"/>
      <c r="AD21" s="178"/>
      <c r="AE21" s="2"/>
      <c r="AF21" s="178"/>
      <c r="AG21" s="153">
        <v>10650</v>
      </c>
      <c r="AH21" s="240">
        <f>2872.5+5351.25</f>
        <v>8223.75</v>
      </c>
      <c r="AN21" s="297">
        <v>275</v>
      </c>
      <c r="AR21" s="231"/>
      <c r="AS21"/>
      <c r="AT21" s="297">
        <v>4250</v>
      </c>
      <c r="AU21" s="283">
        <v>9750</v>
      </c>
      <c r="AV21" s="77"/>
      <c r="AW21" s="77"/>
      <c r="AX21" s="77"/>
    </row>
    <row r="22" spans="2:50" x14ac:dyDescent="0.25">
      <c r="B22" s="204"/>
      <c r="C22" s="185" t="s">
        <v>59</v>
      </c>
      <c r="D22" s="193">
        <v>3000</v>
      </c>
      <c r="E22" s="193">
        <f t="shared" si="0"/>
        <v>450</v>
      </c>
      <c r="F22" s="193"/>
      <c r="G22" s="193">
        <f t="shared" ca="1" si="2"/>
        <v>450</v>
      </c>
      <c r="H22" s="193" t="s">
        <v>127</v>
      </c>
      <c r="I22" s="177"/>
      <c r="J22" s="178"/>
      <c r="K22" s="178"/>
      <c r="L22" s="178"/>
      <c r="M22" s="178"/>
      <c r="N22" s="178"/>
      <c r="O22" s="178"/>
      <c r="P22" s="178"/>
      <c r="Q22" s="178"/>
      <c r="R22" s="178"/>
      <c r="S22" s="178"/>
      <c r="T22" s="226"/>
      <c r="U22" s="178"/>
      <c r="V22" s="178"/>
      <c r="W22" s="178"/>
      <c r="X22" s="178"/>
      <c r="Y22" s="178"/>
      <c r="Z22" s="178"/>
      <c r="AE22" s="185">
        <v>450</v>
      </c>
      <c r="AG22" s="192"/>
      <c r="AR22" s="231"/>
      <c r="AS22"/>
      <c r="AT22"/>
      <c r="AU22"/>
      <c r="AV22" s="77"/>
      <c r="AW22" s="77"/>
      <c r="AX22" s="77"/>
    </row>
    <row r="23" spans="2:50" x14ac:dyDescent="0.25">
      <c r="B23" s="204"/>
      <c r="C23" s="185" t="s">
        <v>60</v>
      </c>
      <c r="D23" s="193">
        <v>2900</v>
      </c>
      <c r="E23" s="193">
        <f t="shared" si="0"/>
        <v>3400</v>
      </c>
      <c r="F23" s="193"/>
      <c r="G23" s="193">
        <f t="shared" ca="1" si="2"/>
        <v>3400</v>
      </c>
      <c r="H23" s="193" t="s">
        <v>209</v>
      </c>
      <c r="I23" s="177"/>
      <c r="J23" s="178"/>
      <c r="K23" s="178"/>
      <c r="L23" s="178"/>
      <c r="M23" s="178"/>
      <c r="N23" s="178"/>
      <c r="O23" s="178"/>
      <c r="P23" s="178"/>
      <c r="Q23" s="178"/>
      <c r="R23" s="178"/>
      <c r="S23" s="178"/>
      <c r="T23" s="226"/>
      <c r="U23" s="178"/>
      <c r="V23" s="178"/>
      <c r="W23" s="178"/>
      <c r="X23" s="178"/>
      <c r="Y23" s="28">
        <v>2450</v>
      </c>
      <c r="Z23" s="178"/>
      <c r="AG23" s="192"/>
      <c r="AQ23" s="297">
        <v>950</v>
      </c>
      <c r="AR23" s="231"/>
      <c r="AS23"/>
      <c r="AT23"/>
      <c r="AU23"/>
      <c r="AV23" s="77"/>
      <c r="AW23" s="77"/>
      <c r="AX23" s="77"/>
    </row>
    <row r="24" spans="2:50" x14ac:dyDescent="0.25">
      <c r="B24" s="204"/>
      <c r="C24" s="185" t="s">
        <v>61</v>
      </c>
      <c r="D24" s="193">
        <v>15000</v>
      </c>
      <c r="E24" s="193">
        <f t="shared" si="0"/>
        <v>321.75</v>
      </c>
      <c r="F24" s="193"/>
      <c r="G24" s="193">
        <f t="shared" ca="1" si="2"/>
        <v>321.75</v>
      </c>
      <c r="H24" s="193"/>
      <c r="I24" s="177"/>
      <c r="J24" s="178"/>
      <c r="K24" s="178"/>
      <c r="L24" s="178"/>
      <c r="M24" s="178"/>
      <c r="N24" s="178"/>
      <c r="O24" s="178"/>
      <c r="P24" s="178"/>
      <c r="Q24" s="178"/>
      <c r="R24" s="178"/>
      <c r="S24" s="178"/>
      <c r="T24" s="226"/>
      <c r="U24" s="178"/>
      <c r="V24" s="178"/>
      <c r="W24" s="178"/>
      <c r="X24" s="178"/>
      <c r="Y24" s="178"/>
      <c r="Z24" s="178"/>
      <c r="AF24" s="240">
        <v>321.75</v>
      </c>
      <c r="AG24" s="192"/>
      <c r="AR24" s="231"/>
      <c r="AS24"/>
      <c r="AT24"/>
      <c r="AU24"/>
      <c r="AV24" s="77"/>
      <c r="AW24" s="77"/>
      <c r="AX24" s="77"/>
    </row>
    <row r="25" spans="2:50" x14ac:dyDescent="0.25">
      <c r="B25" s="204"/>
      <c r="C25" s="185" t="s">
        <v>64</v>
      </c>
      <c r="D25" s="193">
        <v>2821</v>
      </c>
      <c r="E25" s="193">
        <f t="shared" si="0"/>
        <v>5221</v>
      </c>
      <c r="F25" s="193">
        <v>1243</v>
      </c>
      <c r="G25" s="193">
        <f t="shared" ca="1" si="2"/>
        <v>5221</v>
      </c>
      <c r="H25" s="193" t="s">
        <v>130</v>
      </c>
      <c r="I25" s="177"/>
      <c r="J25" s="178"/>
      <c r="K25" s="178"/>
      <c r="L25" s="178"/>
      <c r="M25" s="178"/>
      <c r="N25" s="178"/>
      <c r="O25" s="178"/>
      <c r="P25" s="178"/>
      <c r="Q25" s="178"/>
      <c r="R25" s="178"/>
      <c r="S25" s="178"/>
      <c r="T25" s="226"/>
      <c r="U25" s="178"/>
      <c r="V25" s="178"/>
      <c r="W25" s="178"/>
      <c r="X25" s="178"/>
      <c r="Y25" s="178"/>
      <c r="Z25" s="178"/>
      <c r="AB25" s="26">
        <v>1243</v>
      </c>
      <c r="AC25" s="26">
        <v>3978</v>
      </c>
      <c r="AG25" s="192"/>
      <c r="AR25" s="231"/>
      <c r="AS25"/>
      <c r="AT25"/>
      <c r="AU25"/>
      <c r="AV25" s="77"/>
      <c r="AW25" s="77"/>
      <c r="AX25" s="77"/>
    </row>
    <row r="26" spans="2:50" x14ac:dyDescent="0.25">
      <c r="B26" s="204"/>
      <c r="C26" s="185" t="s">
        <v>174</v>
      </c>
      <c r="D26" s="193"/>
      <c r="E26" s="193">
        <f t="shared" si="0"/>
        <v>0</v>
      </c>
      <c r="F26" s="193"/>
      <c r="G26" s="193">
        <f t="shared" ca="1" si="2"/>
        <v>0</v>
      </c>
      <c r="H26" s="193"/>
      <c r="I26" s="177"/>
      <c r="J26" s="178"/>
      <c r="K26" s="178"/>
      <c r="L26" s="178"/>
      <c r="M26" s="178"/>
      <c r="N26" s="178"/>
      <c r="O26" s="178"/>
      <c r="P26" s="178"/>
      <c r="Q26" s="178"/>
      <c r="R26" s="178"/>
      <c r="S26" s="178"/>
      <c r="T26" s="226"/>
      <c r="U26" s="178"/>
      <c r="V26" s="178"/>
      <c r="W26" s="178"/>
      <c r="X26" s="178"/>
      <c r="Y26" s="178"/>
      <c r="Z26" s="178"/>
      <c r="AG26" s="192"/>
      <c r="AR26" s="231"/>
      <c r="AS26"/>
      <c r="AT26"/>
      <c r="AU26"/>
      <c r="AV26" s="77"/>
      <c r="AW26" s="77"/>
      <c r="AX26" s="77"/>
    </row>
    <row r="27" spans="2:50" x14ac:dyDescent="0.25">
      <c r="B27" s="204"/>
      <c r="C27" s="185" t="s">
        <v>119</v>
      </c>
      <c r="D27" s="193">
        <v>57057.13</v>
      </c>
      <c r="E27" s="193">
        <f>SUM(I27:AR27)</f>
        <v>13349.58</v>
      </c>
      <c r="F27" s="193">
        <v>1500</v>
      </c>
      <c r="G27" s="193">
        <f t="shared" ca="1" si="2"/>
        <v>13349.58</v>
      </c>
      <c r="H27" s="193"/>
      <c r="I27" s="177"/>
      <c r="J27" s="178"/>
      <c r="K27" s="178"/>
      <c r="L27" s="178"/>
      <c r="M27" s="178"/>
      <c r="N27" s="178"/>
      <c r="O27" s="178"/>
      <c r="P27" s="178"/>
      <c r="Q27" s="178"/>
      <c r="R27" s="178"/>
      <c r="S27" s="178"/>
      <c r="T27" s="226"/>
      <c r="U27" s="178"/>
      <c r="V27" s="178"/>
      <c r="W27" s="178"/>
      <c r="X27" s="178"/>
      <c r="Y27" s="28">
        <v>8849.58</v>
      </c>
      <c r="Z27" s="178"/>
      <c r="AD27" s="26">
        <v>1500</v>
      </c>
      <c r="AG27" s="192"/>
      <c r="AK27" s="297">
        <v>1500</v>
      </c>
      <c r="AQ27" s="297">
        <v>1500</v>
      </c>
      <c r="AR27" s="231"/>
      <c r="AS27"/>
      <c r="AT27"/>
      <c r="AU27"/>
      <c r="AV27" s="77"/>
      <c r="AW27" s="77"/>
      <c r="AX27" s="378">
        <v>2202.19</v>
      </c>
    </row>
    <row r="28" spans="2:50" ht="14.25" customHeight="1" x14ac:dyDescent="0.25">
      <c r="B28" s="204"/>
      <c r="C28" s="231" t="s">
        <v>212</v>
      </c>
      <c r="D28" s="193"/>
      <c r="E28" s="193">
        <f t="shared" si="0"/>
        <v>0</v>
      </c>
      <c r="F28" s="198"/>
      <c r="G28" s="193">
        <f t="shared" ca="1" si="2"/>
        <v>0</v>
      </c>
      <c r="H28" s="193"/>
      <c r="I28" s="177"/>
      <c r="J28" s="178"/>
      <c r="K28" s="178"/>
      <c r="L28" s="178"/>
      <c r="M28" s="178"/>
      <c r="N28" s="178"/>
      <c r="O28" s="178"/>
      <c r="P28" s="178"/>
      <c r="Q28" s="178"/>
      <c r="R28" s="178"/>
      <c r="S28" s="178"/>
      <c r="T28" s="226"/>
      <c r="U28" s="178"/>
      <c r="V28" s="178"/>
      <c r="W28" s="178"/>
      <c r="X28" s="178"/>
      <c r="Y28" s="178"/>
      <c r="Z28" s="178"/>
      <c r="AG28" s="192"/>
      <c r="AR28" s="231"/>
      <c r="AS28"/>
      <c r="AT28"/>
      <c r="AU28"/>
      <c r="AV28" s="77"/>
      <c r="AW28" s="77"/>
      <c r="AX28" s="77"/>
    </row>
    <row r="29" spans="2:50" ht="14.25" customHeight="1" x14ac:dyDescent="0.25">
      <c r="B29" s="204"/>
      <c r="C29" s="231" t="s">
        <v>392</v>
      </c>
      <c r="D29" s="193"/>
      <c r="E29" s="193"/>
      <c r="F29" s="198"/>
      <c r="G29" s="193">
        <f t="shared" ca="1" si="2"/>
        <v>6690.57</v>
      </c>
      <c r="H29" s="177" t="s">
        <v>137</v>
      </c>
      <c r="I29" s="177"/>
      <c r="J29" s="178"/>
      <c r="K29" s="178"/>
      <c r="L29" s="178"/>
      <c r="M29" s="178"/>
      <c r="N29" s="178"/>
      <c r="O29" s="178"/>
      <c r="P29" s="178"/>
      <c r="Q29" s="178"/>
      <c r="R29" s="178"/>
      <c r="S29" s="178"/>
      <c r="T29" s="226"/>
      <c r="U29" s="178"/>
      <c r="V29" s="178"/>
      <c r="W29" s="178"/>
      <c r="X29" s="178"/>
      <c r="Y29" s="178"/>
      <c r="Z29" s="178"/>
      <c r="AG29" s="192"/>
      <c r="AM29" s="297">
        <v>1322</v>
      </c>
      <c r="AO29" s="319">
        <v>5368.57</v>
      </c>
      <c r="AR29" s="231"/>
      <c r="AS29"/>
      <c r="AT29"/>
      <c r="AU29"/>
      <c r="AV29" s="77"/>
      <c r="AW29" s="77"/>
      <c r="AX29" s="77"/>
    </row>
    <row r="30" spans="2:50" ht="14.1" customHeight="1" x14ac:dyDescent="0.25">
      <c r="B30" s="204"/>
      <c r="C30" s="231" t="s">
        <v>393</v>
      </c>
      <c r="D30" s="193"/>
      <c r="E30" s="193">
        <v>50684</v>
      </c>
      <c r="F30" s="198"/>
      <c r="G30" s="193">
        <f ca="1">SUMIF($I$3:$AR$3,"&lt;"&amp;TODAY(),$I30:$AX30)</f>
        <v>33259</v>
      </c>
      <c r="H30" s="177"/>
      <c r="I30" s="177"/>
      <c r="J30" s="178"/>
      <c r="K30" s="178"/>
      <c r="L30" s="178"/>
      <c r="M30" s="178"/>
      <c r="N30" s="178"/>
      <c r="O30" s="178"/>
      <c r="P30" s="178"/>
      <c r="Q30" s="178"/>
      <c r="R30" s="178"/>
      <c r="S30" s="178"/>
      <c r="T30" s="226"/>
      <c r="U30" s="178"/>
      <c r="V30" s="178"/>
      <c r="W30" s="178"/>
      <c r="X30" s="178"/>
      <c r="Y30" s="178"/>
      <c r="Z30" s="178"/>
      <c r="AG30" s="192"/>
      <c r="AQ30" s="297">
        <v>15834</v>
      </c>
      <c r="AR30" s="358">
        <v>17425</v>
      </c>
      <c r="AS30" s="437">
        <v>5000</v>
      </c>
      <c r="AT30" s="310">
        <v>9318.75</v>
      </c>
      <c r="AU30"/>
      <c r="AV30" s="77"/>
      <c r="AW30" s="77"/>
      <c r="AX30" s="378">
        <v>3106.25</v>
      </c>
    </row>
    <row r="31" spans="2:50" ht="14.1" customHeight="1" x14ac:dyDescent="0.25">
      <c r="B31" s="204"/>
      <c r="C31" s="185" t="s">
        <v>394</v>
      </c>
      <c r="D31" s="193">
        <v>300</v>
      </c>
      <c r="E31" s="193">
        <v>300</v>
      </c>
      <c r="F31" s="198"/>
      <c r="G31" s="193">
        <v>300</v>
      </c>
      <c r="H31" s="177"/>
      <c r="I31" s="177"/>
      <c r="J31" s="178"/>
      <c r="K31" s="178"/>
      <c r="L31" s="178"/>
      <c r="M31" s="178"/>
      <c r="N31" s="178"/>
      <c r="O31" s="178"/>
      <c r="P31" s="178"/>
      <c r="Q31" s="178"/>
      <c r="R31" s="178"/>
      <c r="S31" s="178"/>
      <c r="T31" s="226"/>
      <c r="U31" s="178"/>
      <c r="V31" s="178"/>
      <c r="W31" s="178"/>
      <c r="X31" s="178"/>
      <c r="Y31" s="178"/>
      <c r="Z31" s="178"/>
      <c r="AG31" s="192"/>
      <c r="AQ31" s="455"/>
      <c r="AR31" s="483"/>
      <c r="AS31" s="484"/>
      <c r="AT31" s="458"/>
      <c r="AU31"/>
      <c r="AV31" s="77"/>
      <c r="AW31" s="77"/>
      <c r="AX31" s="437">
        <v>300</v>
      </c>
    </row>
    <row r="32" spans="2:50" ht="14.1" customHeight="1" x14ac:dyDescent="0.25">
      <c r="B32" s="204"/>
      <c r="C32" s="185" t="s">
        <v>395</v>
      </c>
      <c r="D32" s="193">
        <v>525</v>
      </c>
      <c r="E32" s="193"/>
      <c r="F32" s="198"/>
      <c r="G32" s="193"/>
      <c r="H32" s="177"/>
      <c r="I32" s="177"/>
      <c r="J32" s="178"/>
      <c r="K32" s="178"/>
      <c r="L32" s="178"/>
      <c r="M32" s="178"/>
      <c r="N32" s="178"/>
      <c r="O32" s="178"/>
      <c r="P32" s="178"/>
      <c r="Q32" s="178"/>
      <c r="R32" s="178"/>
      <c r="S32" s="178"/>
      <c r="T32" s="226"/>
      <c r="U32" s="178"/>
      <c r="V32" s="178"/>
      <c r="W32" s="178"/>
      <c r="X32" s="178"/>
      <c r="Y32" s="178"/>
      <c r="Z32" s="178"/>
      <c r="AG32" s="192"/>
      <c r="AQ32" s="455"/>
      <c r="AR32" s="483"/>
      <c r="AS32" s="484"/>
      <c r="AT32" s="458"/>
      <c r="AU32"/>
      <c r="AV32" s="77"/>
      <c r="AW32" s="77"/>
      <c r="AX32" s="378">
        <v>525</v>
      </c>
    </row>
    <row r="33" spans="2:50" ht="14.1" customHeight="1" x14ac:dyDescent="0.25">
      <c r="B33" s="204"/>
      <c r="C33" s="185" t="s">
        <v>396</v>
      </c>
      <c r="D33" s="193"/>
      <c r="E33" s="193"/>
      <c r="F33" s="198"/>
      <c r="G33" s="193">
        <v>841.41</v>
      </c>
      <c r="H33" s="177"/>
      <c r="I33" s="177"/>
      <c r="J33" s="178"/>
      <c r="K33" s="178"/>
      <c r="L33" s="178"/>
      <c r="M33" s="178"/>
      <c r="N33" s="178"/>
      <c r="O33" s="178"/>
      <c r="P33" s="178"/>
      <c r="Q33" s="178"/>
      <c r="R33" s="178"/>
      <c r="S33" s="178"/>
      <c r="T33" s="226"/>
      <c r="U33" s="178"/>
      <c r="V33" s="178"/>
      <c r="W33" s="178"/>
      <c r="X33" s="178"/>
      <c r="Y33" s="178"/>
      <c r="Z33" s="178"/>
      <c r="AG33" s="192"/>
      <c r="AQ33" s="455"/>
      <c r="AR33" s="483"/>
      <c r="AS33" s="484"/>
      <c r="AT33" s="458"/>
      <c r="AU33"/>
      <c r="AV33" s="77"/>
      <c r="AW33" s="77"/>
      <c r="AX33" s="378">
        <v>841.41</v>
      </c>
    </row>
    <row r="34" spans="2:50" ht="14.1" customHeight="1" x14ac:dyDescent="0.25">
      <c r="B34" s="205"/>
      <c r="C34" s="197" t="s">
        <v>397</v>
      </c>
      <c r="D34" s="198">
        <v>1994</v>
      </c>
      <c r="E34" s="198">
        <v>1994</v>
      </c>
      <c r="F34" s="198"/>
      <c r="G34" s="193">
        <f t="shared" ca="1" si="2"/>
        <v>0</v>
      </c>
      <c r="H34" s="177" t="s">
        <v>398</v>
      </c>
      <c r="I34" s="177"/>
      <c r="J34" s="178"/>
      <c r="K34" s="178"/>
      <c r="L34" s="178"/>
      <c r="M34" s="178"/>
      <c r="N34" s="178"/>
      <c r="O34" s="178"/>
      <c r="P34" s="178"/>
      <c r="Q34" s="178"/>
      <c r="R34" s="178"/>
      <c r="S34" s="178"/>
      <c r="T34" s="226"/>
      <c r="U34" s="178"/>
      <c r="V34" s="178"/>
      <c r="W34" s="178"/>
      <c r="X34" s="178"/>
      <c r="Y34" s="178"/>
      <c r="Z34" s="178"/>
      <c r="AG34" s="192"/>
      <c r="AR34" s="231"/>
      <c r="AS34"/>
      <c r="AT34"/>
      <c r="AU34"/>
      <c r="AV34" s="77"/>
      <c r="AW34" s="77"/>
      <c r="AX34" s="77"/>
    </row>
    <row r="35" spans="2:50" ht="14.1" customHeight="1" x14ac:dyDescent="0.25">
      <c r="B35" s="205"/>
      <c r="C35" s="197" t="s">
        <v>399</v>
      </c>
      <c r="D35" s="198"/>
      <c r="E35" s="198">
        <v>500</v>
      </c>
      <c r="F35" s="198"/>
      <c r="G35" s="198"/>
      <c r="H35" s="177"/>
      <c r="I35" s="177"/>
      <c r="J35" s="178"/>
      <c r="K35" s="178"/>
      <c r="L35" s="178"/>
      <c r="M35" s="178"/>
      <c r="N35" s="178"/>
      <c r="O35" s="178"/>
      <c r="P35" s="178"/>
      <c r="Q35" s="178"/>
      <c r="R35" s="178"/>
      <c r="S35" s="178"/>
      <c r="T35" s="226"/>
      <c r="U35" s="178"/>
      <c r="V35" s="178"/>
      <c r="W35" s="178"/>
      <c r="X35" s="178"/>
      <c r="Y35" s="178"/>
      <c r="Z35" s="178"/>
      <c r="AG35" s="192"/>
      <c r="AR35" s="231"/>
      <c r="AS35"/>
      <c r="AT35" s="378">
        <v>500</v>
      </c>
      <c r="AU35"/>
    </row>
    <row r="36" spans="2:50" x14ac:dyDescent="0.25">
      <c r="B36" s="199" t="s">
        <v>93</v>
      </c>
      <c r="C36" s="200" t="s">
        <v>94</v>
      </c>
      <c r="D36" s="198"/>
      <c r="E36" s="198">
        <f ca="1">SUMIF($I$3:$AR$3,"&gt;"&amp;TODAY(),$I$36:$AR$36)</f>
        <v>0</v>
      </c>
      <c r="F36" s="198"/>
      <c r="G36" s="254" t="s">
        <v>199</v>
      </c>
      <c r="H36" s="206"/>
      <c r="I36" s="206">
        <f t="shared" ref="I36:AR36" si="3">SUM(I9:I28)*0.1</f>
        <v>0</v>
      </c>
      <c r="J36" s="203">
        <f t="shared" si="3"/>
        <v>0</v>
      </c>
      <c r="K36" s="203">
        <f t="shared" si="3"/>
        <v>0</v>
      </c>
      <c r="L36" s="203">
        <f t="shared" si="3"/>
        <v>94.050000000000011</v>
      </c>
      <c r="M36" s="203">
        <f t="shared" si="3"/>
        <v>24.400000000000002</v>
      </c>
      <c r="N36" s="203">
        <f t="shared" si="3"/>
        <v>50.95</v>
      </c>
      <c r="O36" s="203">
        <f t="shared" si="3"/>
        <v>1701</v>
      </c>
      <c r="P36" s="203">
        <f t="shared" si="3"/>
        <v>3731.6750000000002</v>
      </c>
      <c r="Q36" s="203">
        <f t="shared" si="3"/>
        <v>470.625</v>
      </c>
      <c r="R36" s="203">
        <f t="shared" si="3"/>
        <v>985.27500000000009</v>
      </c>
      <c r="S36" s="203">
        <f t="shared" si="3"/>
        <v>242.07</v>
      </c>
      <c r="T36" s="207">
        <f t="shared" si="3"/>
        <v>969.5</v>
      </c>
      <c r="U36" s="203">
        <f t="shared" si="3"/>
        <v>244</v>
      </c>
      <c r="V36" s="203">
        <f t="shared" si="3"/>
        <v>839.72000000000014</v>
      </c>
      <c r="W36" s="203">
        <f t="shared" si="3"/>
        <v>209.8</v>
      </c>
      <c r="X36" s="203">
        <f t="shared" si="3"/>
        <v>0</v>
      </c>
      <c r="Y36" s="203">
        <f t="shared" si="3"/>
        <v>1173.1580000000001</v>
      </c>
      <c r="Z36" s="203">
        <f t="shared" si="3"/>
        <v>0</v>
      </c>
      <c r="AA36" s="203">
        <f t="shared" si="3"/>
        <v>1871.1480000000001</v>
      </c>
      <c r="AB36" s="203">
        <f t="shared" si="3"/>
        <v>687</v>
      </c>
      <c r="AC36" s="203">
        <f t="shared" si="3"/>
        <v>947.80000000000007</v>
      </c>
      <c r="AD36" s="203">
        <f t="shared" si="3"/>
        <v>391.46900000000005</v>
      </c>
      <c r="AE36" s="203">
        <f t="shared" si="3"/>
        <v>629.76499999999999</v>
      </c>
      <c r="AF36" s="203">
        <f t="shared" si="3"/>
        <v>1605.4960000000001</v>
      </c>
      <c r="AG36" s="206">
        <f t="shared" si="3"/>
        <v>22371.100000000002</v>
      </c>
      <c r="AH36" s="203">
        <f t="shared" si="3"/>
        <v>4761.375</v>
      </c>
      <c r="AI36" s="203">
        <f t="shared" si="3"/>
        <v>0</v>
      </c>
      <c r="AJ36" s="203">
        <f t="shared" si="3"/>
        <v>0</v>
      </c>
      <c r="AK36" s="203">
        <f t="shared" si="3"/>
        <v>150</v>
      </c>
      <c r="AL36" s="203">
        <f t="shared" si="3"/>
        <v>403.38000000000005</v>
      </c>
      <c r="AM36" s="203">
        <f t="shared" si="3"/>
        <v>0</v>
      </c>
      <c r="AN36" s="203">
        <f t="shared" si="3"/>
        <v>152.5</v>
      </c>
      <c r="AO36" s="203">
        <f t="shared" si="3"/>
        <v>44.5</v>
      </c>
      <c r="AP36" s="203">
        <f t="shared" si="3"/>
        <v>462</v>
      </c>
      <c r="AQ36" s="203">
        <f t="shared" si="3"/>
        <v>515</v>
      </c>
      <c r="AR36" s="207">
        <f t="shared" si="3"/>
        <v>96</v>
      </c>
      <c r="AS36" s="14"/>
      <c r="AT36" s="15"/>
      <c r="AU36" s="15"/>
      <c r="AV36" s="362"/>
      <c r="AW36" s="362"/>
      <c r="AX36" s="362"/>
    </row>
    <row r="37" spans="2:50" x14ac:dyDescent="0.25">
      <c r="B37" s="199" t="s">
        <v>148</v>
      </c>
      <c r="C37" s="200"/>
      <c r="D37" s="201"/>
      <c r="E37" s="201">
        <f>SUM(I37:AR37)</f>
        <v>21981.06</v>
      </c>
      <c r="F37" s="201"/>
      <c r="G37" s="198">
        <f ca="1">SUMIF($I$3:$AR$3,"&lt;"&amp;TODAY(),$I37:$AR37)</f>
        <v>21981.06</v>
      </c>
      <c r="H37" s="198"/>
      <c r="I37" s="177"/>
      <c r="J37" s="178"/>
      <c r="K37" s="178"/>
      <c r="L37" s="178"/>
      <c r="M37" s="178"/>
      <c r="N37" s="178"/>
      <c r="O37" s="178"/>
      <c r="P37" s="178"/>
      <c r="Q37" s="178"/>
      <c r="R37" s="178"/>
      <c r="S37" s="178">
        <v>21981.06</v>
      </c>
      <c r="T37" s="226"/>
      <c r="U37" s="178"/>
      <c r="V37" s="178"/>
      <c r="W37" s="178"/>
      <c r="X37" s="178"/>
      <c r="Y37" s="178"/>
      <c r="Z37" s="178"/>
      <c r="AG37" s="192"/>
      <c r="AR37" s="231"/>
      <c r="AS37"/>
      <c r="AT37"/>
      <c r="AU37"/>
      <c r="AV37" s="77"/>
      <c r="AW37" s="77"/>
      <c r="AX37" s="77"/>
    </row>
    <row r="38" spans="2:50" x14ac:dyDescent="0.25">
      <c r="B38" s="199" t="s">
        <v>95</v>
      </c>
      <c r="C38" s="200"/>
      <c r="D38" s="201">
        <v>31950</v>
      </c>
      <c r="E38" s="201">
        <v>31950</v>
      </c>
      <c r="F38" s="201"/>
      <c r="G38" s="201">
        <v>31950</v>
      </c>
      <c r="H38" s="201"/>
      <c r="I38" s="177"/>
      <c r="J38" s="178"/>
      <c r="K38" s="178"/>
      <c r="L38" s="178"/>
      <c r="M38" s="178"/>
      <c r="N38" s="178"/>
      <c r="O38" s="178"/>
      <c r="P38" s="178"/>
      <c r="Q38" s="178"/>
      <c r="R38" s="178"/>
      <c r="S38" s="178"/>
      <c r="T38" s="231"/>
      <c r="W38" s="178"/>
      <c r="X38" s="178"/>
      <c r="Y38" s="178"/>
      <c r="Z38" s="178"/>
      <c r="AA38" s="178"/>
      <c r="AB38" s="178"/>
      <c r="AG38" s="192"/>
      <c r="AR38" s="231"/>
      <c r="AV38" s="360"/>
      <c r="AW38" s="360"/>
      <c r="AX38" s="360"/>
    </row>
    <row r="39" spans="2:50" ht="15.75" thickBot="1" x14ac:dyDescent="0.3">
      <c r="B39" s="192" t="s">
        <v>97</v>
      </c>
      <c r="C39" s="185" t="s">
        <v>213</v>
      </c>
      <c r="D39" s="193"/>
      <c r="E39" s="193">
        <f t="shared" ref="E39" si="4">SUM(I39:AR39)</f>
        <v>0</v>
      </c>
      <c r="F39" s="193"/>
      <c r="G39" s="198">
        <f ca="1">SUMIF($I$3:$AR$3,"&lt;"&amp;TODAY(),$I39:$AR39)</f>
        <v>0</v>
      </c>
      <c r="H39" s="193"/>
      <c r="I39" s="177"/>
      <c r="J39" s="178"/>
      <c r="K39" s="178"/>
      <c r="L39" s="178"/>
      <c r="M39" s="178"/>
      <c r="N39" s="178"/>
      <c r="O39" s="178"/>
      <c r="P39" s="178"/>
      <c r="Q39" s="178"/>
      <c r="R39" s="178"/>
      <c r="S39" s="178"/>
      <c r="T39" s="231"/>
      <c r="W39" s="178"/>
      <c r="X39" s="178"/>
      <c r="Y39" s="178"/>
      <c r="Z39" s="178"/>
      <c r="AA39" s="178"/>
      <c r="AB39" s="178"/>
      <c r="AG39" s="192"/>
      <c r="AR39" s="231"/>
      <c r="AV39" s="231"/>
      <c r="AW39" s="231"/>
      <c r="AX39" s="231"/>
    </row>
    <row r="40" spans="2:50" ht="15.75" thickBot="1" x14ac:dyDescent="0.3">
      <c r="B40" s="208" t="s">
        <v>98</v>
      </c>
      <c r="C40" s="209"/>
      <c r="D40" s="210">
        <f>SUM(D4:D39)</f>
        <v>733894.04</v>
      </c>
      <c r="E40" s="210">
        <f ca="1">SUM(E4:E39)</f>
        <v>892021.69000000006</v>
      </c>
      <c r="F40" s="210">
        <f>SUM(F4:F39)</f>
        <v>27190</v>
      </c>
      <c r="G40" s="210">
        <f ca="1">SUM(G4:G39)</f>
        <v>883409.92000000004</v>
      </c>
      <c r="H40" s="210"/>
      <c r="I40" s="211">
        <f t="shared" ref="I40:AR40" si="5">SUM(I4:I39)</f>
        <v>63730</v>
      </c>
      <c r="J40" s="212">
        <f t="shared" si="5"/>
        <v>0</v>
      </c>
      <c r="K40" s="212">
        <f t="shared" si="5"/>
        <v>0</v>
      </c>
      <c r="L40" s="212">
        <f t="shared" si="5"/>
        <v>1034.55</v>
      </c>
      <c r="M40" s="212">
        <f t="shared" si="5"/>
        <v>268.39999999999998</v>
      </c>
      <c r="N40" s="212">
        <f t="shared" si="5"/>
        <v>560.45000000000005</v>
      </c>
      <c r="O40" s="212">
        <f t="shared" si="5"/>
        <v>48666.9</v>
      </c>
      <c r="P40" s="212">
        <f t="shared" si="5"/>
        <v>51117.505000000005</v>
      </c>
      <c r="Q40" s="212">
        <f t="shared" si="5"/>
        <v>5176.875</v>
      </c>
      <c r="R40" s="212">
        <f t="shared" si="5"/>
        <v>10838.025</v>
      </c>
      <c r="S40" s="212">
        <f t="shared" si="5"/>
        <v>192911.9</v>
      </c>
      <c r="T40" s="213">
        <f t="shared" si="5"/>
        <v>10664.5</v>
      </c>
      <c r="U40" s="212">
        <f t="shared" si="5"/>
        <v>55800.77</v>
      </c>
      <c r="V40" s="212">
        <f t="shared" si="5"/>
        <v>9236.92</v>
      </c>
      <c r="W40" s="212">
        <f t="shared" si="5"/>
        <v>2307.8000000000002</v>
      </c>
      <c r="X40" s="212">
        <f t="shared" si="5"/>
        <v>0</v>
      </c>
      <c r="Y40" s="212">
        <f t="shared" si="5"/>
        <v>12904.737999999999</v>
      </c>
      <c r="Z40" s="212">
        <f t="shared" si="5"/>
        <v>0</v>
      </c>
      <c r="AA40" s="212">
        <f t="shared" si="5"/>
        <v>20582.628000000001</v>
      </c>
      <c r="AB40" s="212">
        <f t="shared" si="5"/>
        <v>7557</v>
      </c>
      <c r="AC40" s="212">
        <f t="shared" si="5"/>
        <v>10425.799999999999</v>
      </c>
      <c r="AD40" s="212">
        <f t="shared" si="5"/>
        <v>4306.1589999999997</v>
      </c>
      <c r="AE40" s="212">
        <f t="shared" si="5"/>
        <v>6927.415</v>
      </c>
      <c r="AF40" s="212">
        <f t="shared" si="5"/>
        <v>17660.455999999998</v>
      </c>
      <c r="AG40" s="211">
        <f t="shared" si="5"/>
        <v>246082.1</v>
      </c>
      <c r="AH40" s="212">
        <f t="shared" si="5"/>
        <v>52375.125</v>
      </c>
      <c r="AI40" s="212">
        <f t="shared" si="5"/>
        <v>0</v>
      </c>
      <c r="AJ40" s="212">
        <f t="shared" si="5"/>
        <v>0</v>
      </c>
      <c r="AK40" s="212">
        <f t="shared" si="5"/>
        <v>1650</v>
      </c>
      <c r="AL40" s="212">
        <f t="shared" si="5"/>
        <v>4437.18</v>
      </c>
      <c r="AM40" s="212">
        <f t="shared" si="5"/>
        <v>1322</v>
      </c>
      <c r="AN40" s="212">
        <f t="shared" si="5"/>
        <v>1677.5</v>
      </c>
      <c r="AO40" s="212">
        <f t="shared" si="5"/>
        <v>5858.07</v>
      </c>
      <c r="AP40" s="212">
        <f t="shared" si="5"/>
        <v>5082</v>
      </c>
      <c r="AQ40" s="212">
        <f t="shared" si="5"/>
        <v>21499</v>
      </c>
      <c r="AR40" s="213">
        <f t="shared" si="5"/>
        <v>18481</v>
      </c>
      <c r="AS40" s="212"/>
      <c r="AT40" s="212"/>
      <c r="AU40" s="212"/>
      <c r="AV40" s="213"/>
      <c r="AW40" s="213"/>
      <c r="AX40" s="213"/>
    </row>
    <row r="41" spans="2:50" ht="15.75" thickBot="1" x14ac:dyDescent="0.3">
      <c r="B41" s="214" t="s">
        <v>176</v>
      </c>
      <c r="C41" s="215">
        <v>65</v>
      </c>
      <c r="D41" s="216"/>
      <c r="E41" s="216"/>
      <c r="F41" s="216"/>
      <c r="G41" s="216"/>
      <c r="H41" s="216"/>
      <c r="I41" s="177"/>
      <c r="J41" s="178"/>
      <c r="K41" s="178"/>
      <c r="L41" s="178"/>
      <c r="M41" s="178"/>
      <c r="N41" s="178"/>
      <c r="O41" s="178"/>
      <c r="P41" s="178"/>
      <c r="Q41" s="178"/>
      <c r="R41" s="178"/>
      <c r="S41" s="178"/>
      <c r="T41" s="226"/>
      <c r="U41" s="178"/>
      <c r="V41" s="178"/>
      <c r="W41" s="178"/>
      <c r="X41" s="178"/>
      <c r="Y41" s="178"/>
      <c r="Z41" s="178"/>
      <c r="AG41" s="192"/>
      <c r="AR41" s="231"/>
      <c r="AV41" s="231"/>
      <c r="AW41" s="231"/>
      <c r="AX41" s="231"/>
    </row>
    <row r="42" spans="2:50" ht="15.75" thickBot="1" x14ac:dyDescent="0.3">
      <c r="B42" s="217" t="s">
        <v>100</v>
      </c>
      <c r="C42" s="218"/>
      <c r="D42" s="219">
        <f>D40/C41</f>
        <v>11290.677538461539</v>
      </c>
      <c r="E42" s="219">
        <f ca="1">E40/$C$41</f>
        <v>13723.410615384617</v>
      </c>
      <c r="F42" s="219">
        <f t="shared" ref="F42:G42" si="6">F40/$C$41</f>
        <v>418.30769230769232</v>
      </c>
      <c r="G42" s="219">
        <f t="shared" ca="1" si="6"/>
        <v>13590.921846153848</v>
      </c>
      <c r="H42" s="219"/>
      <c r="I42" s="214"/>
      <c r="J42" s="218"/>
      <c r="K42" s="218"/>
      <c r="L42" s="218"/>
      <c r="M42" s="218"/>
      <c r="N42" s="218"/>
      <c r="O42" s="218"/>
      <c r="P42" s="218"/>
      <c r="Q42" s="218"/>
      <c r="R42" s="218"/>
      <c r="S42" s="218"/>
      <c r="T42" s="220"/>
      <c r="U42" s="218"/>
      <c r="V42" s="218"/>
      <c r="W42" s="218"/>
      <c r="X42" s="218"/>
      <c r="Y42" s="218"/>
      <c r="Z42" s="218"/>
      <c r="AA42" s="218"/>
      <c r="AB42" s="218"/>
      <c r="AC42" s="218"/>
      <c r="AD42" s="218"/>
      <c r="AE42" s="218"/>
      <c r="AF42" s="218"/>
      <c r="AG42" s="214"/>
      <c r="AH42" s="218"/>
      <c r="AI42" s="218"/>
      <c r="AJ42" s="218"/>
      <c r="AK42" s="218"/>
      <c r="AL42" s="218"/>
      <c r="AM42" s="218"/>
      <c r="AN42" s="218"/>
      <c r="AO42" s="218"/>
      <c r="AP42" s="218"/>
      <c r="AQ42" s="218"/>
      <c r="AR42" s="220"/>
      <c r="AS42" s="218"/>
      <c r="AT42" s="218"/>
      <c r="AU42" s="218"/>
      <c r="AV42" s="220"/>
      <c r="AW42" s="220"/>
      <c r="AX42" s="220"/>
    </row>
    <row r="46" spans="2:50" x14ac:dyDescent="0.25">
      <c r="H46" s="378"/>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AD6E7-E5AB-45B7-8704-8E88358C8ACE}">
  <dimension ref="B1:AP41"/>
  <sheetViews>
    <sheetView tabSelected="1" zoomScale="80" zoomScaleNormal="80" workbookViewId="0">
      <selection activeCell="D12" sqref="D12"/>
    </sheetView>
  </sheetViews>
  <sheetFormatPr defaultRowHeight="15" x14ac:dyDescent="0.25"/>
  <cols>
    <col min="1" max="1" width="4.42578125" customWidth="1"/>
    <col min="2" max="2" width="32.5703125" customWidth="1"/>
    <col min="3" max="3" width="26.42578125" customWidth="1"/>
    <col min="4" max="5" width="15.42578125" customWidth="1"/>
    <col min="6" max="7" width="15" customWidth="1"/>
    <col min="8" max="8" width="29" bestFit="1" customWidth="1"/>
    <col min="9" max="12" width="8.5703125" hidden="1" customWidth="1"/>
    <col min="13" max="13" width="9.42578125" hidden="1" customWidth="1"/>
    <col min="14" max="25" width="8.5703125" hidden="1" customWidth="1"/>
    <col min="26" max="27" width="8.5703125" customWidth="1"/>
    <col min="31" max="31" width="9.5703125" bestFit="1" customWidth="1"/>
  </cols>
  <sheetData>
    <row r="1" spans="2:42" ht="15.75" thickBot="1" x14ac:dyDescent="0.3"/>
    <row r="2" spans="2:42" ht="30.75" thickBot="1" x14ac:dyDescent="0.3">
      <c r="B2" s="11" t="s">
        <v>400</v>
      </c>
      <c r="C2" s="252"/>
      <c r="D2" s="252"/>
      <c r="E2" s="252"/>
      <c r="F2" s="252"/>
      <c r="G2" s="252"/>
      <c r="H2" s="252"/>
      <c r="I2" s="252"/>
      <c r="J2" s="252"/>
      <c r="K2" s="252"/>
      <c r="L2" s="252"/>
      <c r="M2" s="252"/>
      <c r="N2" s="252"/>
      <c r="O2" s="252"/>
      <c r="P2" s="252"/>
      <c r="Q2" s="252"/>
      <c r="R2" s="280" t="s">
        <v>165</v>
      </c>
      <c r="S2" s="252"/>
      <c r="T2" s="252"/>
      <c r="U2" s="92"/>
      <c r="V2" s="92"/>
      <c r="W2" s="252"/>
      <c r="X2" s="252"/>
      <c r="Y2" s="252"/>
      <c r="Z2" s="12"/>
      <c r="AA2" s="252"/>
      <c r="AB2" s="252"/>
      <c r="AC2" s="252"/>
      <c r="AD2" s="252"/>
      <c r="AE2" s="252"/>
      <c r="AF2" s="252"/>
      <c r="AG2" s="252"/>
      <c r="AH2" s="252"/>
      <c r="AI2" s="12" t="s">
        <v>383</v>
      </c>
      <c r="AJ2" s="252"/>
      <c r="AK2" s="252"/>
      <c r="AL2" s="252"/>
      <c r="AM2" s="252"/>
      <c r="AN2" s="252"/>
      <c r="AO2" s="252"/>
      <c r="AP2" s="253"/>
    </row>
    <row r="3" spans="2:42" ht="45.75" thickBot="1" x14ac:dyDescent="0.3">
      <c r="B3" s="11" t="s">
        <v>16</v>
      </c>
      <c r="C3" s="12" t="s">
        <v>17</v>
      </c>
      <c r="D3" s="161" t="s">
        <v>184</v>
      </c>
      <c r="E3" s="161" t="s">
        <v>185</v>
      </c>
      <c r="F3" s="161" t="s">
        <v>186</v>
      </c>
      <c r="G3" s="134" t="s">
        <v>187</v>
      </c>
      <c r="H3" s="41" t="s">
        <v>111</v>
      </c>
      <c r="I3" s="159">
        <v>44500</v>
      </c>
      <c r="J3" s="144">
        <v>44530</v>
      </c>
      <c r="K3" s="144">
        <v>44561</v>
      </c>
      <c r="L3" s="143">
        <v>44592</v>
      </c>
      <c r="M3" s="143">
        <v>44620</v>
      </c>
      <c r="N3" s="143">
        <v>44651</v>
      </c>
      <c r="O3" s="143">
        <v>44681</v>
      </c>
      <c r="P3" s="143">
        <v>44712</v>
      </c>
      <c r="Q3" s="143">
        <v>44742</v>
      </c>
      <c r="R3" s="143">
        <v>44773</v>
      </c>
      <c r="S3" s="143">
        <v>44804</v>
      </c>
      <c r="T3" s="143">
        <v>44834</v>
      </c>
      <c r="U3" s="143">
        <v>44865</v>
      </c>
      <c r="V3" s="143">
        <v>44895</v>
      </c>
      <c r="W3" s="143">
        <v>44926</v>
      </c>
      <c r="X3" s="144">
        <v>44957</v>
      </c>
      <c r="Y3" s="144">
        <v>44985</v>
      </c>
      <c r="Z3" s="144">
        <v>45016</v>
      </c>
      <c r="AA3" s="144">
        <v>45046</v>
      </c>
      <c r="AB3" s="144">
        <v>45077</v>
      </c>
      <c r="AC3" s="144">
        <v>45107</v>
      </c>
      <c r="AD3" s="144">
        <v>45138</v>
      </c>
      <c r="AE3" s="144">
        <v>45169</v>
      </c>
      <c r="AF3" s="144">
        <v>45199</v>
      </c>
      <c r="AG3" s="144">
        <v>45230</v>
      </c>
      <c r="AH3" s="144">
        <v>45260</v>
      </c>
      <c r="AI3" s="144">
        <v>45291</v>
      </c>
      <c r="AJ3" s="144">
        <v>45292</v>
      </c>
      <c r="AK3" s="144">
        <v>45323</v>
      </c>
      <c r="AL3" s="144">
        <v>45352</v>
      </c>
      <c r="AM3" s="144">
        <v>45383</v>
      </c>
      <c r="AN3" s="144">
        <v>45413</v>
      </c>
      <c r="AO3" s="144">
        <v>45444</v>
      </c>
      <c r="AP3" s="276">
        <v>45474</v>
      </c>
    </row>
    <row r="4" spans="2:42" x14ac:dyDescent="0.25">
      <c r="B4" s="8" t="s">
        <v>29</v>
      </c>
      <c r="C4" t="s">
        <v>170</v>
      </c>
      <c r="D4" s="67">
        <v>15300</v>
      </c>
      <c r="E4" s="67">
        <f t="shared" ref="E4:F8" si="0">SUM(I4:AP4)</f>
        <v>29888</v>
      </c>
      <c r="F4" s="67">
        <f t="shared" ref="F4:G8" ca="1" si="1">SUMIF($I$3:$AP$3,"&lt;"&amp;TODAY(),$I4:$AP4)</f>
        <v>29888</v>
      </c>
      <c r="G4" s="67">
        <f t="shared" ca="1" si="1"/>
        <v>29888</v>
      </c>
      <c r="H4" s="266" t="s">
        <v>401</v>
      </c>
      <c r="I4" s="130">
        <f>12281+17607</f>
        <v>29888</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174"/>
      <c r="AP4" s="273"/>
    </row>
    <row r="5" spans="2:42" x14ac:dyDescent="0.25">
      <c r="B5" s="8"/>
      <c r="C5" t="s">
        <v>111</v>
      </c>
      <c r="D5" s="67">
        <f>SUM(H5:AO5)</f>
        <v>14154</v>
      </c>
      <c r="E5" s="67">
        <f t="shared" si="0"/>
        <v>14154</v>
      </c>
      <c r="F5" s="67">
        <f t="shared" ca="1" si="1"/>
        <v>14154</v>
      </c>
      <c r="G5" s="67">
        <f t="shared" ca="1" si="1"/>
        <v>14154</v>
      </c>
      <c r="H5" s="19"/>
      <c r="I5" s="78"/>
      <c r="J5" s="2"/>
      <c r="K5" s="2"/>
      <c r="L5" s="2"/>
      <c r="M5" s="2"/>
      <c r="N5" s="2"/>
      <c r="O5" s="2"/>
      <c r="P5" s="2"/>
      <c r="Q5" s="2"/>
      <c r="R5" s="2"/>
      <c r="S5" s="2"/>
      <c r="T5" s="2"/>
      <c r="U5" s="2"/>
      <c r="V5" s="2"/>
      <c r="W5" s="2"/>
      <c r="X5" s="2"/>
      <c r="Y5" s="28">
        <f>254+13900</f>
        <v>14154</v>
      </c>
      <c r="Z5" s="2"/>
      <c r="AA5" s="2"/>
      <c r="AB5" s="2"/>
      <c r="AC5" s="2"/>
      <c r="AD5" s="2"/>
      <c r="AE5" s="2"/>
      <c r="AF5" s="2"/>
      <c r="AG5" s="2"/>
      <c r="AH5" s="2"/>
      <c r="AI5" s="2"/>
      <c r="AJ5" s="2"/>
      <c r="AK5" s="2"/>
      <c r="AL5" s="2"/>
      <c r="AM5" s="2"/>
      <c r="AN5" s="2"/>
      <c r="AO5" s="2"/>
      <c r="AP5" s="5"/>
    </row>
    <row r="6" spans="2:42" x14ac:dyDescent="0.25">
      <c r="B6" s="8"/>
      <c r="C6" t="s">
        <v>32</v>
      </c>
      <c r="D6" s="67">
        <v>50000</v>
      </c>
      <c r="E6" s="67">
        <v>50000</v>
      </c>
      <c r="F6" s="125">
        <v>40725.4</v>
      </c>
      <c r="G6" s="67">
        <f t="shared" ca="1" si="1"/>
        <v>40393.279999999999</v>
      </c>
      <c r="H6" s="19"/>
      <c r="I6" s="78"/>
      <c r="J6" s="2"/>
      <c r="K6" s="2"/>
      <c r="L6" s="2"/>
      <c r="M6" s="2"/>
      <c r="N6" s="2"/>
      <c r="O6" s="2"/>
      <c r="P6" s="2"/>
      <c r="Q6" s="2"/>
      <c r="R6" s="2"/>
      <c r="S6" s="2"/>
      <c r="T6" s="2"/>
      <c r="U6" s="2"/>
      <c r="V6" s="2"/>
      <c r="W6" s="2"/>
      <c r="X6" s="2"/>
      <c r="Y6" s="2"/>
      <c r="Z6" s="2"/>
      <c r="AA6" s="2"/>
      <c r="AB6" s="2"/>
      <c r="AC6" s="2"/>
      <c r="AD6" s="288">
        <v>40393.279999999999</v>
      </c>
      <c r="AE6" s="2"/>
      <c r="AF6" s="2"/>
      <c r="AG6" s="2"/>
      <c r="AH6" s="2"/>
      <c r="AI6" s="2"/>
      <c r="AJ6" s="2"/>
      <c r="AK6" s="2"/>
      <c r="AL6" s="2"/>
      <c r="AM6" s="2"/>
      <c r="AN6" s="2"/>
      <c r="AO6" s="2"/>
      <c r="AP6" s="5"/>
    </row>
    <row r="7" spans="2:42" x14ac:dyDescent="0.25">
      <c r="B7" s="14" t="s">
        <v>35</v>
      </c>
      <c r="C7" s="15"/>
      <c r="D7" s="101">
        <v>31000</v>
      </c>
      <c r="E7" s="101">
        <v>31000</v>
      </c>
      <c r="F7" s="101">
        <v>31000</v>
      </c>
      <c r="G7" s="101">
        <f t="shared" ca="1" si="1"/>
        <v>29600</v>
      </c>
      <c r="H7" s="21" t="s">
        <v>402</v>
      </c>
      <c r="I7" s="136"/>
      <c r="J7" s="227">
        <v>10000</v>
      </c>
      <c r="K7" s="136"/>
      <c r="L7" s="136"/>
      <c r="M7" s="136"/>
      <c r="N7" s="15"/>
      <c r="O7" s="136"/>
      <c r="P7" s="136"/>
      <c r="Q7" s="136"/>
      <c r="R7" s="136"/>
      <c r="S7" s="136"/>
      <c r="T7" s="227">
        <v>9600</v>
      </c>
      <c r="U7" s="15"/>
      <c r="V7" s="15"/>
      <c r="W7" s="15"/>
      <c r="X7" s="15"/>
      <c r="Y7" s="15"/>
      <c r="Z7" s="15"/>
      <c r="AA7" s="15"/>
      <c r="AB7" s="15"/>
      <c r="AC7" s="15"/>
      <c r="AD7" s="15"/>
      <c r="AE7" s="136"/>
      <c r="AF7" s="136"/>
      <c r="AG7" s="136"/>
      <c r="AH7" s="136"/>
      <c r="AI7" s="136"/>
      <c r="AJ7" s="136"/>
      <c r="AK7" s="136"/>
      <c r="AL7" s="136"/>
      <c r="AM7" s="136">
        <v>10000</v>
      </c>
      <c r="AN7" s="136"/>
      <c r="AO7" s="136"/>
      <c r="AP7" s="274"/>
    </row>
    <row r="8" spans="2:42" x14ac:dyDescent="0.25">
      <c r="B8" s="14" t="s">
        <v>301</v>
      </c>
      <c r="C8" s="15"/>
      <c r="D8" s="101">
        <f>SUM(H8:AO8)</f>
        <v>500</v>
      </c>
      <c r="E8" s="101">
        <f t="shared" si="0"/>
        <v>500</v>
      </c>
      <c r="F8" s="101">
        <f t="shared" si="0"/>
        <v>500</v>
      </c>
      <c r="G8" s="101">
        <f t="shared" ca="1" si="1"/>
        <v>500</v>
      </c>
      <c r="H8" s="21"/>
      <c r="I8" s="136"/>
      <c r="J8" s="136"/>
      <c r="K8" s="136"/>
      <c r="L8" s="227">
        <v>500</v>
      </c>
      <c r="M8" s="15"/>
      <c r="N8" s="15"/>
      <c r="O8" s="136"/>
      <c r="P8" s="136"/>
      <c r="Q8" s="136"/>
      <c r="R8" s="136"/>
      <c r="S8" s="136"/>
      <c r="T8" s="136"/>
      <c r="U8" s="15"/>
      <c r="V8" s="15"/>
      <c r="W8" s="15"/>
      <c r="X8" s="15"/>
      <c r="Y8" s="15"/>
      <c r="Z8" s="15"/>
      <c r="AA8" s="15"/>
      <c r="AB8" s="15"/>
      <c r="AC8" s="15"/>
      <c r="AD8" s="15"/>
      <c r="AE8" s="136"/>
      <c r="AF8" s="136"/>
      <c r="AG8" s="136"/>
      <c r="AH8" s="136"/>
      <c r="AI8" s="136"/>
      <c r="AJ8" s="136"/>
      <c r="AK8" s="136"/>
      <c r="AL8" s="136"/>
      <c r="AM8" s="136"/>
      <c r="AN8" s="136"/>
      <c r="AO8" s="136"/>
      <c r="AP8" s="274"/>
    </row>
    <row r="9" spans="2:42" x14ac:dyDescent="0.25">
      <c r="B9" s="14" t="s">
        <v>329</v>
      </c>
      <c r="C9" s="15"/>
      <c r="D9" s="101">
        <v>1750</v>
      </c>
      <c r="E9" s="101">
        <v>1750</v>
      </c>
      <c r="F9" s="101">
        <v>1750</v>
      </c>
      <c r="G9" s="101"/>
      <c r="H9" s="21"/>
      <c r="I9" s="136"/>
      <c r="J9" s="136"/>
      <c r="K9" s="136"/>
      <c r="L9" s="227"/>
      <c r="M9" s="15"/>
      <c r="N9" s="15"/>
      <c r="O9" s="136"/>
      <c r="P9" s="136"/>
      <c r="Q9" s="136"/>
      <c r="R9" s="136"/>
      <c r="S9" s="136"/>
      <c r="T9" s="136"/>
      <c r="U9" s="15"/>
      <c r="V9" s="15"/>
      <c r="W9" s="15"/>
      <c r="X9" s="15"/>
      <c r="Y9" s="15"/>
      <c r="Z9" s="15"/>
      <c r="AA9" s="15"/>
      <c r="AB9" s="15"/>
      <c r="AC9" s="15"/>
      <c r="AD9" s="15"/>
      <c r="AE9" s="136"/>
      <c r="AF9" s="136"/>
      <c r="AG9" s="136"/>
      <c r="AH9" s="136"/>
      <c r="AI9" s="136"/>
      <c r="AJ9" s="136"/>
      <c r="AK9" s="136"/>
      <c r="AL9" s="136"/>
      <c r="AM9" s="136"/>
      <c r="AN9" s="136"/>
      <c r="AO9" s="136"/>
      <c r="AP9" s="274"/>
    </row>
    <row r="10" spans="2:42" x14ac:dyDescent="0.25">
      <c r="B10" s="14" t="s">
        <v>37</v>
      </c>
      <c r="C10" s="15"/>
      <c r="D10" s="101">
        <v>25000</v>
      </c>
      <c r="E10" s="101">
        <v>25000</v>
      </c>
      <c r="F10" s="101">
        <v>25000</v>
      </c>
      <c r="G10" s="101">
        <f t="shared" ref="G10" ca="1" si="2">SUMIF($I$3:$AP$3,"&lt;"&amp;TODAY(),$I10:$AP10)</f>
        <v>0</v>
      </c>
      <c r="H10" s="21" t="s">
        <v>188</v>
      </c>
      <c r="I10" s="2"/>
      <c r="J10" s="2"/>
      <c r="K10" s="2"/>
      <c r="L10" s="2"/>
      <c r="M10" s="2"/>
      <c r="O10" s="2"/>
      <c r="P10" s="2"/>
      <c r="Q10" s="2"/>
      <c r="S10" s="2"/>
      <c r="T10" s="2"/>
      <c r="AE10" s="2"/>
      <c r="AF10" s="2"/>
      <c r="AG10" s="136"/>
      <c r="AH10" s="2"/>
      <c r="AI10" s="2"/>
      <c r="AJ10" s="2"/>
      <c r="AK10" s="2"/>
      <c r="AL10" s="2"/>
      <c r="AM10" s="2"/>
      <c r="AN10" s="2"/>
      <c r="AO10" s="2"/>
      <c r="AP10" s="5"/>
    </row>
    <row r="11" spans="2:42" x14ac:dyDescent="0.25">
      <c r="B11" s="14" t="s">
        <v>40</v>
      </c>
      <c r="C11" s="15"/>
      <c r="D11" s="101">
        <v>23000</v>
      </c>
      <c r="E11" s="101">
        <v>22200</v>
      </c>
      <c r="F11" s="101">
        <v>22200</v>
      </c>
      <c r="G11" s="101">
        <f ca="1">SUMIF($I$3:$AP$3,"&lt;"&amp;TODAY(),$I11:$AP11)</f>
        <v>7400.75</v>
      </c>
      <c r="H11" s="21" t="s">
        <v>105</v>
      </c>
      <c r="I11" s="227">
        <v>510</v>
      </c>
      <c r="J11" s="227">
        <v>1000</v>
      </c>
      <c r="K11" s="227">
        <v>2388.75</v>
      </c>
      <c r="L11" s="15"/>
      <c r="M11" s="136"/>
      <c r="N11" s="15"/>
      <c r="O11" s="15"/>
      <c r="P11" s="15"/>
      <c r="Q11" s="262">
        <v>275</v>
      </c>
      <c r="R11" s="227">
        <f>237.5+490</f>
        <v>727.5</v>
      </c>
      <c r="S11" s="136"/>
      <c r="T11" s="227">
        <v>400</v>
      </c>
      <c r="U11" s="15"/>
      <c r="V11" s="15"/>
      <c r="W11" s="15"/>
      <c r="X11" s="15"/>
      <c r="Y11" s="15"/>
      <c r="Z11" s="15"/>
      <c r="AA11" s="15"/>
      <c r="AB11" s="15"/>
      <c r="AC11" s="296">
        <v>400</v>
      </c>
      <c r="AD11" s="296">
        <v>850</v>
      </c>
      <c r="AE11" s="136"/>
      <c r="AF11" s="136"/>
      <c r="AG11" s="296">
        <v>351.5</v>
      </c>
      <c r="AH11" s="325">
        <v>498</v>
      </c>
      <c r="AI11" s="136"/>
      <c r="AJ11" s="136"/>
      <c r="AK11" s="136"/>
      <c r="AL11" s="136"/>
      <c r="AM11" s="136"/>
      <c r="AN11" s="136"/>
      <c r="AO11" s="136"/>
      <c r="AP11" s="274"/>
    </row>
    <row r="12" spans="2:42" x14ac:dyDescent="0.25">
      <c r="B12" s="16" t="s">
        <v>42</v>
      </c>
      <c r="C12" t="s">
        <v>403</v>
      </c>
      <c r="D12" s="67">
        <v>1000</v>
      </c>
      <c r="E12" s="67">
        <v>1000</v>
      </c>
      <c r="F12" s="67">
        <v>300</v>
      </c>
      <c r="G12" s="67">
        <f t="shared" ref="G12:G20" ca="1" si="3">SUMIF($I$3:$AP$3,"&lt;"&amp;TODAY(),$I12:$AP12)</f>
        <v>1477.5</v>
      </c>
      <c r="H12" s="19" t="s">
        <v>339</v>
      </c>
      <c r="I12" s="130">
        <v>300</v>
      </c>
      <c r="J12" s="2"/>
      <c r="K12" s="2"/>
      <c r="M12" s="2"/>
      <c r="O12" s="2"/>
      <c r="S12" s="2"/>
      <c r="AC12" s="297">
        <v>1177.5</v>
      </c>
      <c r="AE12" s="2"/>
      <c r="AF12" s="2"/>
      <c r="AG12" s="2"/>
      <c r="AH12" s="2"/>
      <c r="AI12" s="2"/>
      <c r="AJ12" s="2"/>
      <c r="AK12" s="2"/>
      <c r="AL12" s="2"/>
      <c r="AM12" s="2"/>
      <c r="AN12" s="2"/>
      <c r="AO12" s="2"/>
      <c r="AP12" s="5"/>
    </row>
    <row r="13" spans="2:42" x14ac:dyDescent="0.25">
      <c r="B13" s="16"/>
      <c r="C13" t="s">
        <v>404</v>
      </c>
      <c r="D13" s="67">
        <v>3000</v>
      </c>
      <c r="E13" s="67">
        <v>3000</v>
      </c>
      <c r="F13" s="67">
        <v>2950</v>
      </c>
      <c r="G13" s="67">
        <f t="shared" ca="1" si="3"/>
        <v>0</v>
      </c>
      <c r="H13" s="19" t="s">
        <v>105</v>
      </c>
      <c r="I13" s="78"/>
      <c r="J13" s="2"/>
      <c r="K13" s="2"/>
      <c r="L13" s="2"/>
      <c r="M13" s="2"/>
      <c r="O13" s="2"/>
      <c r="S13" s="2"/>
      <c r="T13" s="2"/>
      <c r="AD13" s="2"/>
      <c r="AE13" s="2"/>
      <c r="AF13" s="2"/>
      <c r="AG13" s="2"/>
      <c r="AH13" s="2"/>
      <c r="AI13" s="2"/>
      <c r="AJ13" s="2"/>
      <c r="AK13" s="2"/>
      <c r="AL13" s="2"/>
      <c r="AP13" s="77"/>
    </row>
    <row r="14" spans="2:42" x14ac:dyDescent="0.25">
      <c r="B14" s="16"/>
      <c r="C14" t="s">
        <v>44</v>
      </c>
      <c r="D14" s="67">
        <v>2000</v>
      </c>
      <c r="E14" s="67">
        <v>2000</v>
      </c>
      <c r="F14" s="67">
        <v>1500</v>
      </c>
      <c r="G14" s="67">
        <f t="shared" ca="1" si="3"/>
        <v>1500</v>
      </c>
      <c r="H14" s="19" t="s">
        <v>405</v>
      </c>
      <c r="I14" s="78"/>
      <c r="J14" s="2"/>
      <c r="K14" s="2"/>
      <c r="L14" s="2"/>
      <c r="M14" s="2"/>
      <c r="O14" s="2"/>
      <c r="S14" s="2"/>
      <c r="T14" s="2"/>
      <c r="AD14" s="2"/>
      <c r="AE14" s="2"/>
      <c r="AF14" s="288">
        <v>1500</v>
      </c>
      <c r="AG14" s="2"/>
      <c r="AH14" s="2"/>
      <c r="AI14" s="2"/>
      <c r="AJ14" s="2"/>
      <c r="AK14" s="2"/>
      <c r="AL14" s="2"/>
      <c r="AP14" s="77"/>
    </row>
    <row r="15" spans="2:42" x14ac:dyDescent="0.25">
      <c r="B15" s="16"/>
      <c r="C15" t="s">
        <v>46</v>
      </c>
      <c r="D15" s="67">
        <v>2000</v>
      </c>
      <c r="E15" s="67">
        <v>2000</v>
      </c>
      <c r="F15" s="67">
        <v>1250</v>
      </c>
      <c r="G15" s="67">
        <f t="shared" ca="1" si="3"/>
        <v>0</v>
      </c>
      <c r="H15" s="19" t="s">
        <v>406</v>
      </c>
      <c r="I15" s="78"/>
      <c r="J15" s="2"/>
      <c r="K15" s="2"/>
      <c r="L15" s="2"/>
      <c r="M15" s="2"/>
      <c r="O15" s="2"/>
      <c r="S15" s="2"/>
      <c r="T15" s="2"/>
      <c r="AD15" s="2"/>
      <c r="AE15" s="2"/>
      <c r="AF15" s="2"/>
      <c r="AG15" s="2"/>
      <c r="AH15" s="2"/>
      <c r="AI15" s="2"/>
      <c r="AJ15" s="2"/>
      <c r="AK15" s="2"/>
      <c r="AL15" s="2"/>
      <c r="AP15" s="77"/>
    </row>
    <row r="16" spans="2:42" x14ac:dyDescent="0.25">
      <c r="B16" s="16"/>
      <c r="C16" t="s">
        <v>47</v>
      </c>
      <c r="D16" s="67">
        <v>3000</v>
      </c>
      <c r="E16" s="67">
        <f>SUM(I16:AL16)</f>
        <v>0</v>
      </c>
      <c r="F16" s="67">
        <v>1950</v>
      </c>
      <c r="G16" s="67">
        <f t="shared" ca="1" si="3"/>
        <v>0</v>
      </c>
      <c r="H16" s="19" t="s">
        <v>135</v>
      </c>
      <c r="I16" s="78"/>
      <c r="J16" s="2"/>
      <c r="K16" s="2"/>
      <c r="L16" s="2"/>
      <c r="M16" s="2"/>
      <c r="O16" s="2"/>
      <c r="S16" s="2"/>
      <c r="T16" s="2"/>
      <c r="AD16" s="2"/>
      <c r="AE16" s="2"/>
      <c r="AF16" s="2"/>
      <c r="AG16" s="2"/>
      <c r="AH16" s="2"/>
      <c r="AI16" s="2"/>
      <c r="AJ16" s="2"/>
      <c r="AK16" s="2"/>
      <c r="AL16" s="2"/>
      <c r="AP16" s="77"/>
    </row>
    <row r="17" spans="2:42" x14ac:dyDescent="0.25">
      <c r="B17" s="16"/>
      <c r="C17" t="s">
        <v>48</v>
      </c>
      <c r="D17" s="67">
        <v>7000</v>
      </c>
      <c r="E17" s="67">
        <v>7000</v>
      </c>
      <c r="F17" s="67">
        <v>2500</v>
      </c>
      <c r="G17" s="67">
        <f t="shared" ca="1" si="3"/>
        <v>0</v>
      </c>
      <c r="H17" s="19" t="s">
        <v>105</v>
      </c>
      <c r="I17" s="78"/>
      <c r="J17" s="2"/>
      <c r="K17" s="2"/>
      <c r="L17" s="2"/>
      <c r="M17" s="2"/>
      <c r="O17" s="2"/>
      <c r="S17" s="2"/>
      <c r="T17" s="2"/>
      <c r="AD17" s="2"/>
      <c r="AE17" s="2"/>
      <c r="AF17" s="2"/>
      <c r="AG17" s="2"/>
      <c r="AH17" s="2"/>
      <c r="AI17" s="2"/>
      <c r="AJ17" s="2"/>
      <c r="AK17" s="2"/>
      <c r="AL17" s="2"/>
      <c r="AP17" s="77"/>
    </row>
    <row r="18" spans="2:42" x14ac:dyDescent="0.25">
      <c r="B18" s="16"/>
      <c r="C18" t="s">
        <v>171</v>
      </c>
      <c r="D18" s="67">
        <v>40000</v>
      </c>
      <c r="E18" s="67">
        <v>40000</v>
      </c>
      <c r="F18" s="67">
        <v>0</v>
      </c>
      <c r="G18" s="67">
        <f t="shared" ca="1" si="3"/>
        <v>0</v>
      </c>
      <c r="H18" s="19"/>
      <c r="I18" s="78"/>
      <c r="J18" s="2"/>
      <c r="K18" s="2"/>
      <c r="L18" s="2"/>
      <c r="M18" s="2"/>
      <c r="O18" s="2"/>
      <c r="S18" s="2"/>
      <c r="T18" s="2"/>
      <c r="AD18" s="2"/>
      <c r="AE18" s="2"/>
      <c r="AF18" s="2"/>
      <c r="AG18" s="2"/>
      <c r="AH18" s="2"/>
      <c r="AK18" s="2"/>
      <c r="AL18" s="2"/>
      <c r="AP18" s="77"/>
    </row>
    <row r="19" spans="2:42" x14ac:dyDescent="0.25">
      <c r="B19" s="16"/>
      <c r="C19" t="s">
        <v>172</v>
      </c>
      <c r="D19" s="67">
        <v>2500</v>
      </c>
      <c r="E19" s="67">
        <f>SUM(I19:AL19)</f>
        <v>0</v>
      </c>
      <c r="F19" s="67">
        <v>1995</v>
      </c>
      <c r="G19" s="67">
        <f t="shared" ca="1" si="3"/>
        <v>0</v>
      </c>
      <c r="H19" s="19" t="s">
        <v>105</v>
      </c>
      <c r="I19" s="78"/>
      <c r="J19" s="2"/>
      <c r="K19" s="2"/>
      <c r="L19" s="2"/>
      <c r="M19" s="2"/>
      <c r="O19" s="2"/>
      <c r="S19" s="2"/>
      <c r="T19" s="2"/>
      <c r="AD19" s="2"/>
      <c r="AE19" s="2"/>
      <c r="AF19" s="2"/>
      <c r="AG19" s="2"/>
      <c r="AH19" s="2"/>
      <c r="AI19" s="2"/>
      <c r="AJ19" s="2"/>
      <c r="AK19" s="2"/>
      <c r="AL19" s="2"/>
      <c r="AP19" s="77"/>
    </row>
    <row r="20" spans="2:42" x14ac:dyDescent="0.25">
      <c r="B20" s="16"/>
      <c r="C20" t="s">
        <v>54</v>
      </c>
      <c r="D20" s="67">
        <v>4000</v>
      </c>
      <c r="E20" s="67">
        <v>4000</v>
      </c>
      <c r="F20" s="67">
        <v>4650</v>
      </c>
      <c r="G20" s="67">
        <f t="shared" ca="1" si="3"/>
        <v>3650</v>
      </c>
      <c r="H20" s="19" t="s">
        <v>127</v>
      </c>
      <c r="I20" s="78"/>
      <c r="J20" s="2"/>
      <c r="K20" s="2"/>
      <c r="L20" s="2"/>
      <c r="M20" s="2"/>
      <c r="O20" s="2"/>
      <c r="S20" s="2"/>
      <c r="T20" s="2"/>
      <c r="AD20" s="288">
        <v>3650</v>
      </c>
      <c r="AE20" s="2"/>
      <c r="AF20" s="2"/>
      <c r="AG20" s="2"/>
      <c r="AH20" s="2"/>
      <c r="AI20" s="2"/>
      <c r="AJ20" s="2"/>
      <c r="AK20" s="2"/>
      <c r="AL20" s="2"/>
      <c r="AP20" s="77"/>
    </row>
    <row r="21" spans="2:42" x14ac:dyDescent="0.25">
      <c r="B21" s="16"/>
      <c r="C21" t="s">
        <v>56</v>
      </c>
      <c r="D21" s="67">
        <v>13000</v>
      </c>
      <c r="E21" s="67">
        <v>13000</v>
      </c>
      <c r="F21" s="67">
        <v>12285</v>
      </c>
      <c r="G21" s="67">
        <f ca="1">SUMIF($I$3:$AP$3,"&lt;"&amp;TODAY(),$I21:$AP21)</f>
        <v>8585</v>
      </c>
      <c r="H21" s="19" t="s">
        <v>407</v>
      </c>
      <c r="I21" s="130">
        <v>1325</v>
      </c>
      <c r="J21" s="2"/>
      <c r="K21" s="2"/>
      <c r="M21" s="2"/>
      <c r="O21" s="2"/>
      <c r="S21" s="2"/>
      <c r="T21" s="2"/>
      <c r="AD21" s="288">
        <v>7260</v>
      </c>
      <c r="AE21" s="2"/>
      <c r="AF21" s="2"/>
      <c r="AG21" s="2"/>
      <c r="AH21" s="2"/>
      <c r="AI21" s="2"/>
      <c r="AJ21" s="2"/>
      <c r="AK21" s="2"/>
      <c r="AL21" s="2"/>
      <c r="AP21" s="77"/>
    </row>
    <row r="22" spans="2:42" x14ac:dyDescent="0.25">
      <c r="B22" s="16"/>
      <c r="C22" t="s">
        <v>58</v>
      </c>
      <c r="D22" s="67">
        <v>14000</v>
      </c>
      <c r="E22" s="67">
        <v>14000</v>
      </c>
      <c r="F22" s="67">
        <v>13745</v>
      </c>
      <c r="G22" s="67">
        <f t="shared" ref="G22:G27" ca="1" si="4">SUMIF($I$3:$AP$3,"&lt;"&amp;TODAY(),$I22:$AP22)</f>
        <v>2360</v>
      </c>
      <c r="H22" s="19" t="s">
        <v>105</v>
      </c>
      <c r="I22" s="78"/>
      <c r="J22" s="2"/>
      <c r="K22" s="2"/>
      <c r="L22" s="2"/>
      <c r="M22" s="2"/>
      <c r="O22" s="2"/>
      <c r="R22" s="26">
        <v>750</v>
      </c>
      <c r="S22" s="2"/>
      <c r="T22" s="2"/>
      <c r="AD22" s="2"/>
      <c r="AE22" s="288">
        <v>1610</v>
      </c>
      <c r="AF22" s="2"/>
      <c r="AG22" s="2"/>
      <c r="AH22" s="2"/>
      <c r="AI22" s="2"/>
      <c r="AJ22" s="2"/>
      <c r="AK22" s="2"/>
      <c r="AL22" s="2"/>
      <c r="AP22" s="77"/>
    </row>
    <row r="23" spans="2:42" x14ac:dyDescent="0.25">
      <c r="B23" s="16"/>
      <c r="C23" t="s">
        <v>59</v>
      </c>
      <c r="D23" s="67">
        <v>2000</v>
      </c>
      <c r="E23" s="67">
        <v>2000</v>
      </c>
      <c r="F23" s="67">
        <v>2000</v>
      </c>
      <c r="G23" s="67">
        <f t="shared" ca="1" si="4"/>
        <v>0</v>
      </c>
      <c r="H23" s="19" t="s">
        <v>127</v>
      </c>
      <c r="I23" s="78"/>
      <c r="J23" s="2"/>
      <c r="K23" s="2"/>
      <c r="L23" s="2"/>
      <c r="M23" s="2"/>
      <c r="O23" s="2"/>
      <c r="S23" s="2"/>
      <c r="T23" s="2"/>
      <c r="AD23" s="2"/>
      <c r="AE23" s="2"/>
      <c r="AF23" s="2"/>
      <c r="AG23" s="2"/>
      <c r="AH23" s="2"/>
      <c r="AI23" s="2"/>
      <c r="AJ23" s="2"/>
      <c r="AK23" s="2"/>
      <c r="AL23" s="2"/>
      <c r="AP23" s="77"/>
    </row>
    <row r="24" spans="2:42" x14ac:dyDescent="0.25">
      <c r="B24" s="16"/>
      <c r="C24" t="s">
        <v>60</v>
      </c>
      <c r="D24" s="67">
        <v>5500</v>
      </c>
      <c r="E24" s="67">
        <v>5500</v>
      </c>
      <c r="F24" s="67">
        <v>5220</v>
      </c>
      <c r="G24" s="67">
        <f ca="1">SUMIF($I$3:$AP$3,"&lt;"&amp;TODAY(),$I24:$AP24)</f>
        <v>3290</v>
      </c>
      <c r="H24" s="19" t="s">
        <v>209</v>
      </c>
      <c r="I24" s="78"/>
      <c r="J24" s="2"/>
      <c r="K24" s="2"/>
      <c r="L24" s="2"/>
      <c r="M24" s="2"/>
      <c r="O24" s="2"/>
      <c r="S24" s="2"/>
      <c r="AD24" s="2"/>
      <c r="AE24" s="2"/>
      <c r="AF24" s="288">
        <v>1645</v>
      </c>
      <c r="AG24" s="288">
        <v>1645</v>
      </c>
      <c r="AH24" s="2"/>
      <c r="AI24" s="2"/>
      <c r="AJ24" s="2"/>
      <c r="AK24" s="2"/>
      <c r="AL24" s="2"/>
      <c r="AP24" s="77"/>
    </row>
    <row r="25" spans="2:42" x14ac:dyDescent="0.25">
      <c r="B25" s="16"/>
      <c r="C25" t="s">
        <v>314</v>
      </c>
      <c r="D25" s="67">
        <v>6000</v>
      </c>
      <c r="E25" s="67">
        <v>5570</v>
      </c>
      <c r="F25" s="67">
        <v>5570</v>
      </c>
      <c r="G25" s="67">
        <f t="shared" ca="1" si="4"/>
        <v>4950</v>
      </c>
      <c r="H25" s="19" t="s">
        <v>209</v>
      </c>
      <c r="I25" s="78"/>
      <c r="J25" s="2"/>
      <c r="K25" s="2"/>
      <c r="L25" s="2"/>
      <c r="M25" s="2"/>
      <c r="O25" s="2"/>
      <c r="S25" s="2"/>
      <c r="AD25" s="2"/>
      <c r="AE25" s="288">
        <v>4950</v>
      </c>
      <c r="AF25" s="2"/>
      <c r="AG25" s="2"/>
      <c r="AH25" s="2"/>
      <c r="AI25" s="2"/>
      <c r="AJ25" s="2"/>
      <c r="AK25" s="2"/>
      <c r="AL25" s="2"/>
      <c r="AP25" s="77"/>
    </row>
    <row r="26" spans="2:42" x14ac:dyDescent="0.25">
      <c r="B26" s="16"/>
      <c r="C26" t="s">
        <v>408</v>
      </c>
      <c r="D26" s="67">
        <v>1500</v>
      </c>
      <c r="E26" s="67">
        <v>1500</v>
      </c>
      <c r="F26" s="67">
        <v>1500</v>
      </c>
      <c r="G26" s="67">
        <f t="shared" ca="1" si="4"/>
        <v>300</v>
      </c>
      <c r="H26" s="19" t="s">
        <v>105</v>
      </c>
      <c r="I26" s="130">
        <v>300</v>
      </c>
      <c r="J26" s="2"/>
      <c r="K26" s="2"/>
      <c r="L26" s="2"/>
      <c r="M26" s="2"/>
      <c r="O26" s="2"/>
      <c r="P26" s="2"/>
      <c r="R26" s="2"/>
      <c r="S26" s="2"/>
      <c r="T26" s="2"/>
      <c r="AD26" s="2"/>
      <c r="AE26" s="2"/>
      <c r="AF26" s="2"/>
      <c r="AG26" s="2"/>
      <c r="AH26" s="2"/>
      <c r="AI26" s="2"/>
      <c r="AJ26" s="2"/>
      <c r="AK26" s="2"/>
      <c r="AL26" s="2"/>
      <c r="AM26" s="2"/>
      <c r="AN26" s="2"/>
      <c r="AO26" s="2"/>
      <c r="AP26" s="5"/>
    </row>
    <row r="27" spans="2:42" x14ac:dyDescent="0.25">
      <c r="B27" s="16"/>
      <c r="C27" t="s">
        <v>409</v>
      </c>
      <c r="D27" s="67">
        <v>16000</v>
      </c>
      <c r="E27" s="67">
        <v>0</v>
      </c>
      <c r="F27" s="67">
        <v>0</v>
      </c>
      <c r="G27" s="67">
        <f t="shared" ca="1" si="4"/>
        <v>0</v>
      </c>
      <c r="H27" s="20" t="s">
        <v>105</v>
      </c>
      <c r="I27" s="2"/>
      <c r="J27" s="2"/>
      <c r="K27" s="2"/>
      <c r="M27" s="2"/>
      <c r="O27" s="2"/>
      <c r="S27" s="2"/>
      <c r="AE27" s="2"/>
      <c r="AF27" s="2"/>
      <c r="AG27" s="2"/>
      <c r="AH27" s="2"/>
      <c r="AI27" s="2"/>
      <c r="AJ27" s="2"/>
      <c r="AK27" s="2"/>
      <c r="AL27" s="2"/>
      <c r="AM27" s="2"/>
      <c r="AN27" s="2"/>
      <c r="AO27" s="2"/>
      <c r="AP27" s="5"/>
    </row>
    <row r="28" spans="2:42" x14ac:dyDescent="0.25">
      <c r="B28" s="14" t="s">
        <v>93</v>
      </c>
      <c r="C28" s="15" t="s">
        <v>94</v>
      </c>
      <c r="D28" s="101" cm="1">
        <f t="array" ref="D28">SUM(D11:D27*0.1)</f>
        <v>14550</v>
      </c>
      <c r="E28" s="128">
        <f ca="1">SUMIF($I$3:$AP$3,"&gt;"&amp;TODAY(),$I28:$AP28)</f>
        <v>0</v>
      </c>
      <c r="F28" s="128">
        <f>SUM(F10:F27)*0.1</f>
        <v>10461.5</v>
      </c>
      <c r="G28" s="101" t="s">
        <v>199</v>
      </c>
      <c r="H28" s="21"/>
      <c r="I28" s="136">
        <f t="shared" ref="I28:T28" si="5">SUM(I10:I27)*0.1</f>
        <v>243.5</v>
      </c>
      <c r="J28" s="136">
        <f t="shared" si="5"/>
        <v>100</v>
      </c>
      <c r="K28" s="136">
        <f t="shared" si="5"/>
        <v>238.875</v>
      </c>
      <c r="L28" s="136">
        <f t="shared" si="5"/>
        <v>0</v>
      </c>
      <c r="M28" s="136">
        <f t="shared" si="5"/>
        <v>0</v>
      </c>
      <c r="N28" s="136">
        <f t="shared" si="5"/>
        <v>0</v>
      </c>
      <c r="O28" s="136">
        <f t="shared" si="5"/>
        <v>0</v>
      </c>
      <c r="P28" s="136">
        <f t="shared" si="5"/>
        <v>0</v>
      </c>
      <c r="Q28" s="136">
        <f t="shared" si="5"/>
        <v>27.5</v>
      </c>
      <c r="R28" s="136">
        <f t="shared" si="5"/>
        <v>147.75</v>
      </c>
      <c r="S28" s="136">
        <f t="shared" si="5"/>
        <v>0</v>
      </c>
      <c r="T28" s="136">
        <f t="shared" si="5"/>
        <v>40</v>
      </c>
      <c r="U28" s="136">
        <f t="shared" ref="U28:AC28" si="6">SUM(AG10:AG27)*0.1</f>
        <v>199.65</v>
      </c>
      <c r="V28" s="136">
        <f t="shared" si="6"/>
        <v>49.800000000000004</v>
      </c>
      <c r="W28" s="136">
        <f t="shared" si="6"/>
        <v>0</v>
      </c>
      <c r="X28" s="136">
        <f t="shared" si="6"/>
        <v>0</v>
      </c>
      <c r="Y28" s="136">
        <f t="shared" si="6"/>
        <v>0</v>
      </c>
      <c r="Z28" s="136">
        <f t="shared" si="6"/>
        <v>0</v>
      </c>
      <c r="AA28" s="136">
        <f t="shared" si="6"/>
        <v>0</v>
      </c>
      <c r="AB28" s="136">
        <f t="shared" si="6"/>
        <v>0</v>
      </c>
      <c r="AC28" s="136">
        <f t="shared" si="6"/>
        <v>0</v>
      </c>
      <c r="AD28" s="136">
        <f t="shared" ref="AD28:AP28" si="7">SUM(AD10:AD27)*0.1</f>
        <v>1176</v>
      </c>
      <c r="AE28" s="136">
        <f t="shared" si="7"/>
        <v>656</v>
      </c>
      <c r="AF28" s="136">
        <f t="shared" si="7"/>
        <v>314.5</v>
      </c>
      <c r="AG28" s="136">
        <f t="shared" si="7"/>
        <v>199.65</v>
      </c>
      <c r="AH28" s="136">
        <f t="shared" si="7"/>
        <v>49.800000000000004</v>
      </c>
      <c r="AI28" s="136">
        <f t="shared" si="7"/>
        <v>0</v>
      </c>
      <c r="AJ28" s="136">
        <f t="shared" si="7"/>
        <v>0</v>
      </c>
      <c r="AK28" s="136">
        <f t="shared" si="7"/>
        <v>0</v>
      </c>
      <c r="AL28" s="136">
        <f t="shared" si="7"/>
        <v>0</v>
      </c>
      <c r="AM28" s="136">
        <f t="shared" si="7"/>
        <v>0</v>
      </c>
      <c r="AN28" s="136">
        <f t="shared" si="7"/>
        <v>0</v>
      </c>
      <c r="AO28" s="136">
        <f t="shared" si="7"/>
        <v>0</v>
      </c>
      <c r="AP28" s="274">
        <f t="shared" si="7"/>
        <v>0</v>
      </c>
    </row>
    <row r="29" spans="2:42" x14ac:dyDescent="0.25">
      <c r="B29" s="13" t="s">
        <v>148</v>
      </c>
      <c r="C29" s="6"/>
      <c r="D29" s="68">
        <v>150000</v>
      </c>
      <c r="E29" s="21">
        <f>SUM(I29:AP29)</f>
        <v>140000</v>
      </c>
      <c r="F29" s="68"/>
      <c r="G29" s="68">
        <f ca="1">SUMIF($I$3:$AP$3,"&lt;"&amp;TODAY(),$I29:$AP29)</f>
        <v>140000</v>
      </c>
      <c r="H29" s="20"/>
      <c r="I29" s="78"/>
      <c r="J29" s="2"/>
      <c r="K29" s="2"/>
      <c r="L29" s="2"/>
      <c r="M29" s="2"/>
      <c r="N29" s="2"/>
      <c r="AC29" s="2">
        <v>5000</v>
      </c>
      <c r="AD29" s="2">
        <v>5000</v>
      </c>
      <c r="AE29" s="2">
        <v>5000</v>
      </c>
      <c r="AF29" s="2">
        <v>5000</v>
      </c>
      <c r="AG29" s="2">
        <v>5000</v>
      </c>
      <c r="AH29" s="2">
        <v>5000</v>
      </c>
      <c r="AI29" s="2">
        <v>5000</v>
      </c>
      <c r="AJ29" s="2">
        <v>5000</v>
      </c>
      <c r="AK29" s="2">
        <v>100000</v>
      </c>
      <c r="AL29" s="2"/>
      <c r="AM29" s="2"/>
      <c r="AN29" s="2"/>
      <c r="AO29" s="2"/>
      <c r="AP29" s="5"/>
    </row>
    <row r="30" spans="2:42" x14ac:dyDescent="0.25">
      <c r="B30" s="13" t="s">
        <v>95</v>
      </c>
      <c r="D30" s="68">
        <v>15000</v>
      </c>
      <c r="E30" s="68">
        <f>SUM(I30:AP30)</f>
        <v>15000</v>
      </c>
      <c r="F30" s="68">
        <v>15000</v>
      </c>
      <c r="G30" s="68">
        <f ca="1">SUMIF($I$3:$AP$3,"&lt;"&amp;TODAY(),$I30:$AP30)</f>
        <v>15000</v>
      </c>
      <c r="H30" s="20"/>
      <c r="I30" s="78"/>
      <c r="J30" s="2"/>
      <c r="K30" s="2"/>
      <c r="L30" s="2"/>
      <c r="M30" s="2"/>
      <c r="N30" s="2"/>
      <c r="AC30" s="2"/>
      <c r="AD30" s="2"/>
      <c r="AE30" s="2"/>
      <c r="AF30" s="2"/>
      <c r="AG30" s="2"/>
      <c r="AH30" s="2"/>
      <c r="AI30" s="2"/>
      <c r="AJ30" s="2"/>
      <c r="AK30" s="2">
        <v>5000</v>
      </c>
      <c r="AL30" s="2">
        <v>5000</v>
      </c>
      <c r="AM30" s="2">
        <v>5000</v>
      </c>
      <c r="AN30" s="2"/>
      <c r="AO30" s="2"/>
      <c r="AP30" s="5"/>
    </row>
    <row r="31" spans="2:42" x14ac:dyDescent="0.25">
      <c r="B31" s="8" t="s">
        <v>97</v>
      </c>
      <c r="D31" s="67">
        <v>15000</v>
      </c>
      <c r="E31" s="67">
        <f>SUM(I31:AP31)</f>
        <v>15000</v>
      </c>
      <c r="F31" s="67">
        <v>15000</v>
      </c>
      <c r="G31" s="67">
        <f ca="1">SUMIF($I$3:$AP$3,"&lt;"&amp;TODAY(),$I31:$AP31)</f>
        <v>15000</v>
      </c>
      <c r="H31" s="19"/>
      <c r="I31" s="78"/>
      <c r="J31" s="2"/>
      <c r="K31" s="2"/>
      <c r="L31" s="2"/>
      <c r="M31" s="2"/>
      <c r="N31" s="2"/>
      <c r="AC31" s="2"/>
      <c r="AD31" s="2"/>
      <c r="AE31" s="2"/>
      <c r="AF31" s="2"/>
      <c r="AG31" s="2"/>
      <c r="AH31" s="2"/>
      <c r="AI31" s="2"/>
      <c r="AJ31" s="2"/>
      <c r="AK31" s="2"/>
      <c r="AL31" s="2"/>
      <c r="AM31" s="2"/>
      <c r="AN31" s="2">
        <v>5000</v>
      </c>
      <c r="AO31" s="2">
        <v>5000</v>
      </c>
      <c r="AP31" s="275">
        <v>5000</v>
      </c>
    </row>
    <row r="32" spans="2:42" x14ac:dyDescent="0.25">
      <c r="B32" s="160" t="s">
        <v>98</v>
      </c>
      <c r="C32" s="123"/>
      <c r="D32" s="453">
        <f>SUM(D4:D31)</f>
        <v>477754</v>
      </c>
      <c r="E32" s="453">
        <f ca="1">SUM(E4:E31)</f>
        <v>445062</v>
      </c>
      <c r="F32" s="453">
        <f ca="1">SUM(F4:F31)</f>
        <v>263093.90000000002</v>
      </c>
      <c r="G32" s="454">
        <f ca="1">SUM(G4:G31)</f>
        <v>318048.53000000003</v>
      </c>
      <c r="H32" s="21"/>
      <c r="I32" s="80">
        <f t="shared" ref="I32:AP32" si="8">SUM(I4:I31)</f>
        <v>32566.5</v>
      </c>
      <c r="J32" s="136">
        <f t="shared" si="8"/>
        <v>11100</v>
      </c>
      <c r="K32" s="136">
        <f t="shared" si="8"/>
        <v>2627.625</v>
      </c>
      <c r="L32" s="136">
        <f t="shared" si="8"/>
        <v>500</v>
      </c>
      <c r="M32" s="136">
        <f t="shared" si="8"/>
        <v>0</v>
      </c>
      <c r="N32" s="136">
        <f t="shared" si="8"/>
        <v>0</v>
      </c>
      <c r="O32" s="136">
        <f t="shared" si="8"/>
        <v>0</v>
      </c>
      <c r="P32" s="136">
        <f t="shared" si="8"/>
        <v>0</v>
      </c>
      <c r="Q32" s="136">
        <f t="shared" si="8"/>
        <v>302.5</v>
      </c>
      <c r="R32" s="136">
        <f t="shared" si="8"/>
        <v>1625.25</v>
      </c>
      <c r="S32" s="136">
        <f t="shared" si="8"/>
        <v>0</v>
      </c>
      <c r="T32" s="136">
        <f t="shared" si="8"/>
        <v>10040</v>
      </c>
      <c r="U32" s="136">
        <f t="shared" si="8"/>
        <v>199.65</v>
      </c>
      <c r="V32" s="136">
        <f t="shared" si="8"/>
        <v>49.800000000000004</v>
      </c>
      <c r="W32" s="136">
        <f t="shared" si="8"/>
        <v>0</v>
      </c>
      <c r="X32" s="136">
        <f t="shared" si="8"/>
        <v>0</v>
      </c>
      <c r="Y32" s="136">
        <f t="shared" si="8"/>
        <v>14154</v>
      </c>
      <c r="Z32" s="136">
        <f t="shared" si="8"/>
        <v>0</v>
      </c>
      <c r="AA32" s="136">
        <f t="shared" si="8"/>
        <v>0</v>
      </c>
      <c r="AB32" s="136">
        <f t="shared" si="8"/>
        <v>0</v>
      </c>
      <c r="AC32" s="136">
        <f t="shared" si="8"/>
        <v>6577.5</v>
      </c>
      <c r="AD32" s="136">
        <f t="shared" si="8"/>
        <v>58329.279999999999</v>
      </c>
      <c r="AE32" s="136">
        <f t="shared" si="8"/>
        <v>12216</v>
      </c>
      <c r="AF32" s="136">
        <f t="shared" si="8"/>
        <v>8459.5</v>
      </c>
      <c r="AG32" s="136">
        <f t="shared" si="8"/>
        <v>7196.15</v>
      </c>
      <c r="AH32" s="136">
        <f t="shared" si="8"/>
        <v>5547.8</v>
      </c>
      <c r="AI32" s="136">
        <f t="shared" si="8"/>
        <v>5000</v>
      </c>
      <c r="AJ32" s="136">
        <f t="shared" si="8"/>
        <v>5000</v>
      </c>
      <c r="AK32" s="136">
        <f t="shared" si="8"/>
        <v>105000</v>
      </c>
      <c r="AL32" s="136">
        <f t="shared" si="8"/>
        <v>5000</v>
      </c>
      <c r="AM32" s="136">
        <f t="shared" si="8"/>
        <v>15000</v>
      </c>
      <c r="AN32" s="136">
        <f t="shared" si="8"/>
        <v>5000</v>
      </c>
      <c r="AO32" s="136">
        <f t="shared" si="8"/>
        <v>5000</v>
      </c>
      <c r="AP32" s="136">
        <f t="shared" si="8"/>
        <v>5000</v>
      </c>
    </row>
    <row r="33" spans="2:42" ht="15.75" thickBot="1" x14ac:dyDescent="0.3">
      <c r="B33" s="35" t="s">
        <v>319</v>
      </c>
      <c r="C33" s="122">
        <v>70</v>
      </c>
      <c r="D33" s="119"/>
      <c r="E33" s="119"/>
      <c r="F33" s="119"/>
      <c r="G33" s="119"/>
      <c r="H33" s="36"/>
      <c r="I33" s="78"/>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76"/>
    </row>
    <row r="34" spans="2:42" ht="15.75" thickBot="1" x14ac:dyDescent="0.3">
      <c r="B34" s="35" t="s">
        <v>410</v>
      </c>
      <c r="C34" s="10"/>
      <c r="D34" s="284">
        <f>SUM(D32/C33)</f>
        <v>6825.0571428571429</v>
      </c>
      <c r="E34" s="284">
        <f ca="1">E32/$C$33</f>
        <v>6358.028571428571</v>
      </c>
      <c r="F34" s="284">
        <f t="shared" ref="F34" ca="1" si="9">F32/$C$33</f>
        <v>3758.4842857142862</v>
      </c>
      <c r="G34" s="284">
        <f ca="1">G32/$C$33</f>
        <v>4543.5504285714287</v>
      </c>
      <c r="H34" s="23"/>
      <c r="I34" s="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32"/>
    </row>
    <row r="41" spans="2:42" x14ac:dyDescent="0.25">
      <c r="AC41" s="2"/>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AEC4-0A45-451A-97DC-FFDA8BE36462}">
  <dimension ref="B3:AJ36"/>
  <sheetViews>
    <sheetView showGridLines="0" topLeftCell="A2" zoomScale="60" zoomScaleNormal="60" workbookViewId="0">
      <selection activeCell="M5" sqref="M5"/>
    </sheetView>
  </sheetViews>
  <sheetFormatPr defaultRowHeight="15" x14ac:dyDescent="0.25"/>
  <cols>
    <col min="1" max="1" width="4.42578125" customWidth="1"/>
    <col min="2" max="2" width="44.5703125" bestFit="1" customWidth="1"/>
    <col min="3" max="3" width="33.42578125" bestFit="1" customWidth="1"/>
    <col min="4" max="7" width="16.5703125" customWidth="1"/>
    <col min="8" max="8" width="27" bestFit="1" customWidth="1"/>
    <col min="9" max="12" width="12.5703125" customWidth="1"/>
    <col min="13" max="13" width="8.5703125" bestFit="1" customWidth="1"/>
    <col min="14" max="14" width="9.42578125" customWidth="1"/>
    <col min="15" max="15" width="12.5703125" customWidth="1"/>
    <col min="16" max="21" width="8.5703125" bestFit="1" customWidth="1"/>
  </cols>
  <sheetData>
    <row r="3" spans="2:36" ht="72" customHeight="1" thickBot="1" x14ac:dyDescent="0.3">
      <c r="B3" s="1" t="s">
        <v>411</v>
      </c>
      <c r="O3" s="158" t="s">
        <v>165</v>
      </c>
      <c r="V3" s="117" t="s">
        <v>412</v>
      </c>
      <c r="AB3" s="1" t="s">
        <v>296</v>
      </c>
    </row>
    <row r="4" spans="2:36" ht="45.75" thickBot="1" x14ac:dyDescent="0.3">
      <c r="B4" s="11" t="s">
        <v>16</v>
      </c>
      <c r="C4" s="12" t="s">
        <v>17</v>
      </c>
      <c r="D4" s="161" t="s">
        <v>184</v>
      </c>
      <c r="E4" s="161" t="s">
        <v>185</v>
      </c>
      <c r="F4" s="161" t="s">
        <v>186</v>
      </c>
      <c r="G4" s="134" t="s">
        <v>187</v>
      </c>
      <c r="H4" s="121" t="s">
        <v>111</v>
      </c>
      <c r="I4" s="159">
        <v>44469</v>
      </c>
      <c r="J4" s="144">
        <v>44500</v>
      </c>
      <c r="K4" s="144">
        <v>44530</v>
      </c>
      <c r="L4" s="144">
        <v>44561</v>
      </c>
      <c r="M4" s="143">
        <v>44592</v>
      </c>
      <c r="N4" s="143">
        <v>44620</v>
      </c>
      <c r="O4" s="143">
        <v>44651</v>
      </c>
      <c r="P4" s="143">
        <v>44681</v>
      </c>
      <c r="Q4" s="143">
        <v>44712</v>
      </c>
      <c r="R4" s="143">
        <v>44742</v>
      </c>
      <c r="S4" s="143">
        <v>44773</v>
      </c>
      <c r="T4" s="143">
        <v>44804</v>
      </c>
      <c r="U4" s="143">
        <v>44834</v>
      </c>
      <c r="V4" s="143">
        <v>44865</v>
      </c>
      <c r="W4" s="143">
        <v>44895</v>
      </c>
      <c r="X4" s="143">
        <v>44926</v>
      </c>
      <c r="Y4" s="144">
        <v>44957</v>
      </c>
      <c r="Z4" s="144">
        <v>44985</v>
      </c>
      <c r="AA4" s="144">
        <v>45016</v>
      </c>
      <c r="AB4" s="144">
        <v>45046</v>
      </c>
      <c r="AC4" s="144">
        <v>45077</v>
      </c>
      <c r="AD4" s="144">
        <v>45107</v>
      </c>
      <c r="AE4" s="144">
        <v>45138</v>
      </c>
      <c r="AF4" s="144">
        <v>45169</v>
      </c>
      <c r="AG4" s="144">
        <v>45199</v>
      </c>
      <c r="AH4" s="144">
        <v>45230</v>
      </c>
      <c r="AI4" s="144">
        <v>45260</v>
      </c>
      <c r="AJ4" s="145">
        <v>45291</v>
      </c>
    </row>
    <row r="5" spans="2:36" x14ac:dyDescent="0.25">
      <c r="B5" s="8" t="s">
        <v>29</v>
      </c>
      <c r="C5" t="s">
        <v>170</v>
      </c>
      <c r="D5" s="67">
        <v>8000</v>
      </c>
      <c r="E5" s="67">
        <f>SUM(I5:AJ5)</f>
        <v>7880</v>
      </c>
      <c r="F5" s="19"/>
      <c r="G5" s="19">
        <f ca="1">SUMIF($I$4:$AJ$4,"&lt;"&amp;TODAY(),$I5:$AJ5)</f>
        <v>7880</v>
      </c>
      <c r="H5" s="78"/>
      <c r="I5" s="78"/>
      <c r="J5" s="2"/>
      <c r="K5" s="2"/>
      <c r="L5" s="2"/>
      <c r="M5" s="28">
        <v>7880</v>
      </c>
      <c r="N5" s="2"/>
      <c r="O5" s="2"/>
      <c r="P5" s="2"/>
      <c r="Q5" s="2"/>
      <c r="R5" s="2"/>
      <c r="S5" s="2"/>
      <c r="T5" s="2"/>
      <c r="U5" s="2"/>
      <c r="V5" s="2"/>
      <c r="W5" s="2"/>
      <c r="X5" s="2"/>
      <c r="Y5" s="2"/>
      <c r="Z5" s="2"/>
      <c r="AA5" s="2"/>
      <c r="AB5" s="2"/>
      <c r="AC5" s="2"/>
      <c r="AD5" s="2"/>
      <c r="AJ5" s="131"/>
    </row>
    <row r="6" spans="2:36" x14ac:dyDescent="0.25">
      <c r="B6" s="8"/>
      <c r="C6" t="s">
        <v>111</v>
      </c>
      <c r="D6" s="67">
        <v>0</v>
      </c>
      <c r="E6" s="67">
        <f t="shared" ref="E6:E33" si="0">SUM(I6:AJ6)</f>
        <v>0</v>
      </c>
      <c r="F6" s="19"/>
      <c r="G6" s="19">
        <f t="shared" ref="G6:G33" ca="1" si="1">SUMIF($I$4:$AJ$4,"&lt;"&amp;TODAY(),$I6:$AJ6)</f>
        <v>0</v>
      </c>
      <c r="H6" s="78"/>
      <c r="I6" s="78"/>
      <c r="J6" s="2"/>
      <c r="K6" s="2"/>
      <c r="L6" s="2"/>
      <c r="M6" s="2"/>
      <c r="N6" s="2"/>
      <c r="O6" s="2"/>
      <c r="P6" s="2"/>
      <c r="Q6" s="2"/>
      <c r="R6" s="2"/>
      <c r="S6" s="2"/>
      <c r="T6" s="2"/>
      <c r="U6" s="2"/>
      <c r="V6" s="2"/>
      <c r="W6" s="2"/>
      <c r="X6" s="2"/>
      <c r="Y6" s="2"/>
      <c r="Z6" s="2"/>
      <c r="AA6" s="2"/>
      <c r="AB6" s="2"/>
      <c r="AC6" s="2"/>
      <c r="AD6" s="2"/>
      <c r="AJ6" s="131"/>
    </row>
    <row r="7" spans="2:36" x14ac:dyDescent="0.25">
      <c r="B7" s="8"/>
      <c r="C7" t="s">
        <v>32</v>
      </c>
      <c r="D7" s="67">
        <v>50000</v>
      </c>
      <c r="E7" s="67">
        <f t="shared" si="0"/>
        <v>50000</v>
      </c>
      <c r="F7" s="19"/>
      <c r="G7" s="19">
        <f t="shared" ca="1" si="1"/>
        <v>50000</v>
      </c>
      <c r="H7" s="78"/>
      <c r="I7" s="78"/>
      <c r="J7" s="2"/>
      <c r="K7" s="2"/>
      <c r="L7" s="2"/>
      <c r="M7" s="28">
        <v>50000</v>
      </c>
      <c r="N7" s="2"/>
      <c r="P7" s="2"/>
      <c r="Q7" s="2"/>
      <c r="R7" s="2"/>
      <c r="S7" s="2"/>
      <c r="T7" s="2"/>
      <c r="U7" s="2"/>
      <c r="V7" s="2"/>
      <c r="W7" s="2"/>
      <c r="X7" s="2"/>
      <c r="Y7" s="2"/>
      <c r="Z7" s="2"/>
      <c r="AA7" s="2"/>
      <c r="AB7" s="2"/>
      <c r="AC7" s="2"/>
      <c r="AD7" s="2"/>
      <c r="AJ7" s="131"/>
    </row>
    <row r="8" spans="2:36" x14ac:dyDescent="0.25">
      <c r="B8" s="13"/>
      <c r="C8" s="6" t="s">
        <v>148</v>
      </c>
      <c r="D8" s="68">
        <v>25000</v>
      </c>
      <c r="E8" s="68">
        <f t="shared" si="0"/>
        <v>15000</v>
      </c>
      <c r="F8" s="20">
        <v>0</v>
      </c>
      <c r="G8" s="20">
        <f t="shared" ca="1" si="1"/>
        <v>15000</v>
      </c>
      <c r="H8" s="79"/>
      <c r="I8" s="78"/>
      <c r="J8" s="2"/>
      <c r="K8" s="2"/>
      <c r="L8" s="2"/>
      <c r="M8" s="2"/>
      <c r="N8" s="2"/>
      <c r="O8" s="2"/>
      <c r="P8" s="2"/>
      <c r="Q8" s="124">
        <v>5000</v>
      </c>
      <c r="R8" s="2">
        <v>5000</v>
      </c>
      <c r="S8" s="2">
        <v>5000</v>
      </c>
      <c r="T8" s="2"/>
      <c r="U8" s="2"/>
      <c r="V8" s="2"/>
      <c r="W8" s="2"/>
      <c r="X8" s="2"/>
      <c r="Y8" s="2"/>
      <c r="Z8" s="2"/>
      <c r="AA8" s="2"/>
      <c r="AB8" s="2"/>
      <c r="AC8" s="2"/>
      <c r="AD8" s="2"/>
      <c r="AJ8" s="131"/>
    </row>
    <row r="9" spans="2:36" x14ac:dyDescent="0.25">
      <c r="B9" s="14" t="s">
        <v>35</v>
      </c>
      <c r="C9" s="15"/>
      <c r="D9" s="101">
        <v>31000</v>
      </c>
      <c r="E9" s="101">
        <f t="shared" si="0"/>
        <v>34027</v>
      </c>
      <c r="F9" s="21"/>
      <c r="G9" s="21">
        <f t="shared" ca="1" si="1"/>
        <v>34027</v>
      </c>
      <c r="H9" s="80" t="s">
        <v>204</v>
      </c>
      <c r="I9" s="78"/>
      <c r="J9" s="2"/>
      <c r="K9" s="28">
        <v>2015</v>
      </c>
      <c r="L9" s="2"/>
      <c r="P9" s="28">
        <v>1012</v>
      </c>
      <c r="Q9" s="2">
        <v>20000</v>
      </c>
      <c r="R9" s="2">
        <v>11000</v>
      </c>
      <c r="S9" s="2"/>
      <c r="T9" s="2"/>
      <c r="U9" s="2"/>
      <c r="V9" s="2"/>
      <c r="W9" s="2"/>
      <c r="X9" s="2"/>
      <c r="Y9" s="2"/>
      <c r="Z9" s="2"/>
      <c r="AA9" s="2"/>
      <c r="AB9" s="2"/>
      <c r="AC9" s="2"/>
      <c r="AD9" s="2"/>
      <c r="AJ9" s="131"/>
    </row>
    <row r="10" spans="2:36" x14ac:dyDescent="0.25">
      <c r="B10" s="14" t="s">
        <v>301</v>
      </c>
      <c r="C10" s="15"/>
      <c r="D10" s="101"/>
      <c r="E10" s="101">
        <f t="shared" si="0"/>
        <v>1184</v>
      </c>
      <c r="F10" s="21"/>
      <c r="G10" s="21">
        <f t="shared" ca="1" si="1"/>
        <v>1184</v>
      </c>
      <c r="H10" s="80"/>
      <c r="I10" s="78"/>
      <c r="J10" s="28">
        <v>684</v>
      </c>
      <c r="K10" s="2"/>
      <c r="L10" s="2"/>
      <c r="M10" s="28">
        <v>500</v>
      </c>
      <c r="N10" s="2"/>
      <c r="O10" s="2"/>
      <c r="P10" s="2"/>
      <c r="Q10" s="2"/>
      <c r="R10" s="2"/>
      <c r="S10" s="2"/>
      <c r="T10" s="2"/>
      <c r="U10" s="2"/>
      <c r="V10" s="2"/>
      <c r="W10" s="2"/>
      <c r="X10" s="2"/>
      <c r="Y10" s="2"/>
      <c r="Z10" s="2"/>
      <c r="AA10" s="2"/>
      <c r="AB10" s="2"/>
      <c r="AC10" s="2"/>
      <c r="AD10" s="2"/>
      <c r="AJ10" s="131"/>
    </row>
    <row r="11" spans="2:36" x14ac:dyDescent="0.25">
      <c r="B11" s="14" t="s">
        <v>37</v>
      </c>
      <c r="C11" s="15"/>
      <c r="D11" s="101">
        <v>150000</v>
      </c>
      <c r="E11" s="101">
        <f t="shared" si="0"/>
        <v>150000</v>
      </c>
      <c r="F11" s="21"/>
      <c r="G11" s="21">
        <f t="shared" ca="1" si="1"/>
        <v>150000</v>
      </c>
      <c r="H11" s="80"/>
      <c r="I11" s="78"/>
      <c r="J11" s="2"/>
      <c r="K11" s="2"/>
      <c r="L11" s="2"/>
      <c r="M11" s="2"/>
      <c r="N11" s="2"/>
      <c r="P11" s="2"/>
      <c r="Q11" s="2"/>
      <c r="R11" s="2"/>
      <c r="T11" s="2"/>
      <c r="U11" s="2">
        <v>150000</v>
      </c>
      <c r="W11" s="2"/>
      <c r="X11" s="2"/>
      <c r="Y11" s="2"/>
      <c r="Z11" s="2"/>
      <c r="AA11" s="2"/>
      <c r="AB11" s="2"/>
      <c r="AC11" s="2"/>
      <c r="AD11" s="2"/>
      <c r="AJ11" s="131"/>
    </row>
    <row r="12" spans="2:36" x14ac:dyDescent="0.25">
      <c r="B12" s="14" t="s">
        <v>40</v>
      </c>
      <c r="C12" s="15"/>
      <c r="D12" s="101">
        <v>32000</v>
      </c>
      <c r="E12" s="164">
        <f t="shared" si="0"/>
        <v>31785</v>
      </c>
      <c r="F12" s="21"/>
      <c r="G12" s="21">
        <f t="shared" ca="1" si="1"/>
        <v>31785</v>
      </c>
      <c r="H12" s="80" t="s">
        <v>105</v>
      </c>
      <c r="I12" s="130">
        <v>907.5</v>
      </c>
      <c r="J12" s="28">
        <v>1531.25</v>
      </c>
      <c r="K12" s="2"/>
      <c r="L12" s="2"/>
      <c r="M12" s="2"/>
      <c r="N12" s="2"/>
      <c r="Q12" s="28">
        <v>346.25</v>
      </c>
      <c r="R12" s="2">
        <v>4000</v>
      </c>
      <c r="S12" s="2">
        <v>4000</v>
      </c>
      <c r="T12" s="2">
        <v>4000</v>
      </c>
      <c r="U12" s="2">
        <v>4000</v>
      </c>
      <c r="V12" s="2">
        <v>4000</v>
      </c>
      <c r="W12" s="2">
        <v>4000</v>
      </c>
      <c r="X12" s="2">
        <v>1000</v>
      </c>
      <c r="Y12" s="2">
        <v>1000</v>
      </c>
      <c r="Z12" s="2">
        <v>1000</v>
      </c>
      <c r="AA12" s="2">
        <v>2000</v>
      </c>
      <c r="AB12" s="2"/>
      <c r="AC12" s="2"/>
      <c r="AD12" s="2"/>
      <c r="AJ12" s="131"/>
    </row>
    <row r="13" spans="2:36" x14ac:dyDescent="0.25">
      <c r="B13" s="16" t="s">
        <v>42</v>
      </c>
      <c r="C13" t="s">
        <v>43</v>
      </c>
      <c r="D13" s="67">
        <v>5000</v>
      </c>
      <c r="E13" s="67">
        <f t="shared" si="0"/>
        <v>5000</v>
      </c>
      <c r="F13" s="19"/>
      <c r="G13" s="19">
        <f t="shared" ca="1" si="1"/>
        <v>5000</v>
      </c>
      <c r="H13" s="78" t="s">
        <v>105</v>
      </c>
      <c r="I13" s="78"/>
      <c r="J13" s="2"/>
      <c r="K13" s="2"/>
      <c r="L13" s="2"/>
      <c r="M13" s="2"/>
      <c r="N13" s="2"/>
      <c r="R13" s="2">
        <v>3000</v>
      </c>
      <c r="S13" s="2"/>
      <c r="T13" s="2"/>
      <c r="U13" s="2"/>
      <c r="V13" s="2">
        <v>2000</v>
      </c>
      <c r="W13" s="2"/>
      <c r="X13" s="2"/>
      <c r="Y13" s="2"/>
      <c r="Z13" s="2"/>
      <c r="AA13" s="2"/>
      <c r="AB13" s="2"/>
      <c r="AC13" s="2"/>
      <c r="AD13" s="2"/>
      <c r="AJ13" s="131"/>
    </row>
    <row r="14" spans="2:36" x14ac:dyDescent="0.25">
      <c r="B14" s="16"/>
      <c r="C14" t="s">
        <v>44</v>
      </c>
      <c r="D14" s="67">
        <v>3500</v>
      </c>
      <c r="E14" s="67">
        <f t="shared" si="0"/>
        <v>6500</v>
      </c>
      <c r="F14" s="19">
        <v>3000</v>
      </c>
      <c r="G14" s="19">
        <f t="shared" ca="1" si="1"/>
        <v>6500</v>
      </c>
      <c r="H14" s="78" t="s">
        <v>405</v>
      </c>
      <c r="I14" s="78"/>
      <c r="J14" s="28">
        <v>3000</v>
      </c>
      <c r="K14" s="2"/>
      <c r="L14" s="2"/>
      <c r="M14" s="2"/>
      <c r="N14" s="2"/>
      <c r="R14" s="2">
        <v>3500</v>
      </c>
      <c r="S14" s="2"/>
      <c r="T14" s="2"/>
      <c r="U14" s="2"/>
      <c r="V14" s="2"/>
      <c r="W14" s="2"/>
      <c r="X14" s="2"/>
      <c r="Y14" s="2"/>
      <c r="Z14" s="2"/>
      <c r="AA14" s="2"/>
      <c r="AB14" s="2"/>
      <c r="AC14" s="2"/>
      <c r="AD14" s="2"/>
      <c r="AJ14" s="131"/>
    </row>
    <row r="15" spans="2:36" x14ac:dyDescent="0.25">
      <c r="B15" s="16"/>
      <c r="C15" t="s">
        <v>46</v>
      </c>
      <c r="D15" s="67">
        <v>5500</v>
      </c>
      <c r="E15" s="67">
        <f t="shared" si="0"/>
        <v>10480</v>
      </c>
      <c r="F15" s="19">
        <v>5000</v>
      </c>
      <c r="G15" s="19">
        <f t="shared" ca="1" si="1"/>
        <v>10480</v>
      </c>
      <c r="H15" s="78" t="s">
        <v>207</v>
      </c>
      <c r="I15" s="130">
        <v>4980</v>
      </c>
      <c r="J15" s="2"/>
      <c r="K15" s="2"/>
      <c r="L15" s="2"/>
      <c r="M15" s="2"/>
      <c r="N15" s="2"/>
      <c r="R15" s="2">
        <v>4500</v>
      </c>
      <c r="S15" s="2"/>
      <c r="T15" s="2"/>
      <c r="U15" s="2"/>
      <c r="V15" s="2">
        <v>1000</v>
      </c>
      <c r="W15" s="2"/>
      <c r="X15" s="2"/>
      <c r="Y15" s="2"/>
      <c r="Z15" s="2"/>
      <c r="AA15" s="2"/>
      <c r="AB15" s="2"/>
      <c r="AC15" s="2"/>
      <c r="AD15" s="2"/>
      <c r="AJ15" s="131"/>
    </row>
    <row r="16" spans="2:36" x14ac:dyDescent="0.25">
      <c r="B16" s="16"/>
      <c r="C16" t="s">
        <v>47</v>
      </c>
      <c r="D16" s="67">
        <v>4000</v>
      </c>
      <c r="E16" s="67">
        <f t="shared" si="0"/>
        <v>6100</v>
      </c>
      <c r="F16" s="19">
        <v>6100</v>
      </c>
      <c r="G16" s="19">
        <f t="shared" ca="1" si="1"/>
        <v>6100</v>
      </c>
      <c r="H16" s="78" t="s">
        <v>135</v>
      </c>
      <c r="I16" s="78"/>
      <c r="J16" s="2"/>
      <c r="K16" s="28">
        <v>2100</v>
      </c>
      <c r="L16" s="2"/>
      <c r="M16" s="2"/>
      <c r="N16" s="2"/>
      <c r="R16" s="2">
        <v>3000</v>
      </c>
      <c r="S16" s="2"/>
      <c r="T16" s="2"/>
      <c r="U16" s="2"/>
      <c r="V16" s="2">
        <v>1000</v>
      </c>
      <c r="W16" s="2"/>
      <c r="X16" s="2"/>
      <c r="Y16" s="2"/>
      <c r="Z16" s="2"/>
      <c r="AA16" s="2"/>
      <c r="AB16" s="2"/>
      <c r="AC16" s="2"/>
      <c r="AD16" s="2"/>
      <c r="AJ16" s="131"/>
    </row>
    <row r="17" spans="2:36" x14ac:dyDescent="0.25">
      <c r="B17" s="16"/>
      <c r="C17" t="s">
        <v>48</v>
      </c>
      <c r="D17" s="67">
        <v>17500</v>
      </c>
      <c r="E17" s="67">
        <f t="shared" si="0"/>
        <v>17500</v>
      </c>
      <c r="F17" s="19">
        <v>13500</v>
      </c>
      <c r="G17" s="19">
        <f t="shared" ca="1" si="1"/>
        <v>17500</v>
      </c>
      <c r="H17" s="78"/>
      <c r="I17" s="78"/>
      <c r="J17" s="2"/>
      <c r="K17" s="2"/>
      <c r="L17" s="2"/>
      <c r="M17" s="2"/>
      <c r="N17" s="2"/>
      <c r="R17" s="2">
        <v>17500</v>
      </c>
      <c r="S17" s="2"/>
      <c r="T17" s="2"/>
      <c r="U17" s="2"/>
      <c r="V17" s="2"/>
      <c r="W17" s="2"/>
      <c r="X17" s="2"/>
      <c r="Y17" s="2"/>
      <c r="Z17" s="2"/>
      <c r="AA17" s="2"/>
      <c r="AB17" s="2"/>
      <c r="AC17" s="2"/>
      <c r="AD17" s="2"/>
      <c r="AJ17" s="131"/>
    </row>
    <row r="18" spans="2:36" x14ac:dyDescent="0.25">
      <c r="B18" s="16"/>
      <c r="C18" t="s">
        <v>171</v>
      </c>
      <c r="D18" s="67">
        <v>80000</v>
      </c>
      <c r="E18" s="67">
        <f t="shared" si="0"/>
        <v>60000</v>
      </c>
      <c r="F18" s="19"/>
      <c r="G18" s="19">
        <f t="shared" ca="1" si="1"/>
        <v>60000</v>
      </c>
      <c r="H18" s="78"/>
      <c r="I18" s="78"/>
      <c r="J18" s="2"/>
      <c r="K18" s="2"/>
      <c r="L18" s="2"/>
      <c r="M18" s="2"/>
      <c r="N18" s="2"/>
      <c r="R18" s="2"/>
      <c r="S18" s="2"/>
      <c r="T18" s="2"/>
      <c r="U18" s="2"/>
      <c r="V18" s="2"/>
      <c r="W18" s="2"/>
      <c r="X18" s="2"/>
      <c r="Y18" s="2"/>
      <c r="AB18" s="2">
        <v>20000</v>
      </c>
      <c r="AC18" s="2">
        <v>20000</v>
      </c>
      <c r="AD18" s="2">
        <v>20000</v>
      </c>
      <c r="AJ18" s="131"/>
    </row>
    <row r="19" spans="2:36" x14ac:dyDescent="0.25">
      <c r="B19" s="16"/>
      <c r="C19" t="s">
        <v>172</v>
      </c>
      <c r="D19" s="67">
        <v>2500</v>
      </c>
      <c r="E19" s="67">
        <f t="shared" si="0"/>
        <v>2500</v>
      </c>
      <c r="F19" s="19"/>
      <c r="G19" s="19">
        <f t="shared" ca="1" si="1"/>
        <v>2500</v>
      </c>
      <c r="H19" s="78"/>
      <c r="I19" s="78"/>
      <c r="J19" s="2"/>
      <c r="K19" s="2"/>
      <c r="L19" s="2"/>
      <c r="M19" s="2"/>
      <c r="N19" s="2"/>
      <c r="R19" s="2">
        <v>1500</v>
      </c>
      <c r="S19" s="2"/>
      <c r="T19" s="2"/>
      <c r="U19" s="2"/>
      <c r="V19" s="2">
        <v>1000</v>
      </c>
      <c r="W19" s="2"/>
      <c r="X19" s="2"/>
      <c r="Y19" s="2"/>
      <c r="Z19" s="2"/>
      <c r="AA19" s="2"/>
      <c r="AB19" s="2"/>
      <c r="AC19" s="2"/>
      <c r="AD19" s="2"/>
      <c r="AJ19" s="131"/>
    </row>
    <row r="20" spans="2:36" x14ac:dyDescent="0.25">
      <c r="B20" s="16"/>
      <c r="C20" t="s">
        <v>54</v>
      </c>
      <c r="D20" s="67">
        <v>5000</v>
      </c>
      <c r="E20" s="67">
        <f t="shared" si="0"/>
        <v>5500</v>
      </c>
      <c r="F20" s="19"/>
      <c r="G20" s="19">
        <f t="shared" ca="1" si="1"/>
        <v>5500</v>
      </c>
      <c r="H20" s="78" t="s">
        <v>127</v>
      </c>
      <c r="I20" s="130">
        <v>500</v>
      </c>
      <c r="J20" s="2"/>
      <c r="K20" s="2"/>
      <c r="L20" s="2"/>
      <c r="M20" s="2"/>
      <c r="N20" s="2"/>
      <c r="R20" s="2">
        <v>3000</v>
      </c>
      <c r="S20" s="2"/>
      <c r="T20" s="2"/>
      <c r="U20" s="2"/>
      <c r="V20" s="2">
        <v>1000</v>
      </c>
      <c r="W20" s="2"/>
      <c r="X20" s="2">
        <v>1000</v>
      </c>
      <c r="Y20" s="2"/>
      <c r="Z20" s="2"/>
      <c r="AA20" s="2"/>
      <c r="AB20" s="2"/>
      <c r="AC20" s="2"/>
      <c r="AD20" s="2"/>
      <c r="AJ20" s="131"/>
    </row>
    <row r="21" spans="2:36" x14ac:dyDescent="0.25">
      <c r="B21" s="16"/>
      <c r="C21" t="s">
        <v>56</v>
      </c>
      <c r="D21" s="67">
        <v>26500</v>
      </c>
      <c r="E21" s="67">
        <f t="shared" si="0"/>
        <v>24180</v>
      </c>
      <c r="F21" s="19">
        <v>26500</v>
      </c>
      <c r="G21" s="19">
        <f t="shared" ca="1" si="1"/>
        <v>24180</v>
      </c>
      <c r="H21" s="78" t="s">
        <v>407</v>
      </c>
      <c r="I21" s="78"/>
      <c r="J21" s="28">
        <v>3250</v>
      </c>
      <c r="K21" s="28">
        <v>575</v>
      </c>
      <c r="L21" s="2"/>
      <c r="M21" s="28">
        <v>1725</v>
      </c>
      <c r="N21" s="2"/>
      <c r="O21" s="28">
        <f>3250+575</f>
        <v>3825</v>
      </c>
      <c r="P21" s="26">
        <v>575</v>
      </c>
      <c r="Q21" s="28">
        <v>730</v>
      </c>
      <c r="R21" s="2"/>
      <c r="S21" s="2"/>
      <c r="T21" s="2">
        <v>3500</v>
      </c>
      <c r="U21" s="2">
        <v>5000</v>
      </c>
      <c r="V21" s="2">
        <v>3000</v>
      </c>
      <c r="W21" s="2">
        <v>2000</v>
      </c>
      <c r="X21" s="2"/>
      <c r="Y21" s="2"/>
      <c r="Z21" s="2"/>
      <c r="AA21" s="2"/>
      <c r="AB21" s="2"/>
      <c r="AC21" s="2"/>
      <c r="AD21" s="2"/>
      <c r="AJ21" s="131"/>
    </row>
    <row r="22" spans="2:36" x14ac:dyDescent="0.25">
      <c r="B22" s="16"/>
      <c r="C22" t="s">
        <v>58</v>
      </c>
      <c r="D22" s="67">
        <v>13500</v>
      </c>
      <c r="E22" s="67">
        <f t="shared" si="0"/>
        <v>13500</v>
      </c>
      <c r="F22" s="19">
        <v>13500</v>
      </c>
      <c r="G22" s="19">
        <f t="shared" ca="1" si="1"/>
        <v>13500</v>
      </c>
      <c r="H22" s="78"/>
      <c r="I22" s="78"/>
      <c r="J22" s="2"/>
      <c r="K22" s="2"/>
      <c r="L22" s="2"/>
      <c r="M22" s="2"/>
      <c r="N22" s="2"/>
      <c r="R22" s="2">
        <v>5000</v>
      </c>
      <c r="S22" s="2">
        <v>3000</v>
      </c>
      <c r="T22" s="2">
        <v>3000</v>
      </c>
      <c r="U22" s="2"/>
      <c r="V22" s="2">
        <v>1500</v>
      </c>
      <c r="W22" s="2"/>
      <c r="X22" s="2">
        <v>1000</v>
      </c>
      <c r="Y22" s="2"/>
      <c r="Z22" s="2"/>
      <c r="AA22" s="2"/>
      <c r="AB22" s="2"/>
      <c r="AC22" s="2"/>
      <c r="AD22" s="2"/>
      <c r="AJ22" s="131"/>
    </row>
    <row r="23" spans="2:36" x14ac:dyDescent="0.25">
      <c r="B23" s="16"/>
      <c r="C23" t="s">
        <v>59</v>
      </c>
      <c r="D23" s="67">
        <v>2000</v>
      </c>
      <c r="E23" s="67">
        <f t="shared" si="0"/>
        <v>2000</v>
      </c>
      <c r="F23" s="19">
        <v>1750</v>
      </c>
      <c r="G23" s="19">
        <f t="shared" ca="1" si="1"/>
        <v>2000</v>
      </c>
      <c r="H23" s="78"/>
      <c r="I23" s="78"/>
      <c r="J23" s="2"/>
      <c r="K23" s="2"/>
      <c r="L23" s="2"/>
      <c r="M23" s="2"/>
      <c r="N23" s="2"/>
      <c r="R23" s="2">
        <v>1500</v>
      </c>
      <c r="S23" s="2"/>
      <c r="T23" s="2"/>
      <c r="U23" s="2"/>
      <c r="V23" s="2">
        <v>500</v>
      </c>
      <c r="W23" s="2"/>
      <c r="X23" s="2"/>
      <c r="Y23" s="2"/>
      <c r="Z23" s="2"/>
      <c r="AA23" s="2"/>
      <c r="AB23" s="2"/>
      <c r="AC23" s="2"/>
      <c r="AD23" s="2"/>
      <c r="AJ23" s="131"/>
    </row>
    <row r="24" spans="2:36" x14ac:dyDescent="0.25">
      <c r="B24" s="16"/>
      <c r="C24" t="s">
        <v>60</v>
      </c>
      <c r="D24" s="67">
        <v>3000</v>
      </c>
      <c r="E24" s="67">
        <f t="shared" si="0"/>
        <v>2900</v>
      </c>
      <c r="F24" s="19">
        <v>3000</v>
      </c>
      <c r="G24" s="19">
        <f t="shared" ca="1" si="1"/>
        <v>2900</v>
      </c>
      <c r="H24" s="78" t="s">
        <v>413</v>
      </c>
      <c r="I24" s="78"/>
      <c r="J24" s="2"/>
      <c r="K24" s="2"/>
      <c r="L24" s="2"/>
      <c r="M24" s="2"/>
      <c r="N24" s="2"/>
      <c r="R24" s="2"/>
      <c r="S24" s="2"/>
      <c r="T24" s="28">
        <v>2900</v>
      </c>
      <c r="U24" s="2"/>
      <c r="V24" s="2"/>
      <c r="W24" s="2"/>
      <c r="X24" s="2"/>
      <c r="Y24" s="2"/>
      <c r="Z24" s="2"/>
      <c r="AA24" s="2"/>
      <c r="AB24" s="2"/>
      <c r="AC24" s="2"/>
      <c r="AD24" s="2"/>
      <c r="AJ24" s="131"/>
    </row>
    <row r="25" spans="2:36" x14ac:dyDescent="0.25">
      <c r="B25" s="16"/>
      <c r="C25" t="s">
        <v>313</v>
      </c>
      <c r="D25" s="67">
        <v>0</v>
      </c>
      <c r="E25" s="67">
        <f>SUM(I25:AJ25)</f>
        <v>0</v>
      </c>
      <c r="F25" s="19"/>
      <c r="G25" s="19">
        <f ca="1">SUMIF($I$4:$AJ$4,"&lt;"&amp;TODAY(),$I25:$AJ25)</f>
        <v>0</v>
      </c>
      <c r="H25" s="78">
        <v>0</v>
      </c>
      <c r="I25" s="78"/>
      <c r="J25" s="2"/>
      <c r="K25" s="2"/>
      <c r="L25" s="2"/>
      <c r="M25" s="2"/>
      <c r="N25" s="2"/>
      <c r="R25" s="2"/>
      <c r="S25" s="2"/>
      <c r="T25" s="2"/>
      <c r="U25" s="2"/>
      <c r="V25" s="2"/>
      <c r="W25" s="2"/>
      <c r="X25" s="2"/>
      <c r="Y25" s="2"/>
      <c r="Z25" s="2"/>
      <c r="AA25" s="2"/>
      <c r="AB25" s="2"/>
      <c r="AC25" s="2"/>
      <c r="AD25" s="2"/>
      <c r="AJ25" s="131"/>
    </row>
    <row r="26" spans="2:36" x14ac:dyDescent="0.25">
      <c r="B26" s="16"/>
      <c r="C26" t="s">
        <v>64</v>
      </c>
      <c r="D26" s="67">
        <v>5500</v>
      </c>
      <c r="E26" s="67">
        <f t="shared" si="0"/>
        <v>5920</v>
      </c>
      <c r="F26" s="19">
        <v>4500</v>
      </c>
      <c r="G26" s="19">
        <f t="shared" ca="1" si="1"/>
        <v>5920</v>
      </c>
      <c r="H26" s="78" t="s">
        <v>130</v>
      </c>
      <c r="I26" s="78"/>
      <c r="J26" s="2"/>
      <c r="K26" s="2"/>
      <c r="L26" s="28">
        <v>420</v>
      </c>
      <c r="M26" s="2"/>
      <c r="N26" s="2"/>
      <c r="R26" s="2">
        <v>4500</v>
      </c>
      <c r="S26" s="2"/>
      <c r="T26" s="2"/>
      <c r="U26" s="2"/>
      <c r="V26" s="2">
        <v>1000</v>
      </c>
      <c r="W26" s="2"/>
      <c r="X26" s="2"/>
      <c r="Y26" s="2"/>
      <c r="Z26" s="2"/>
      <c r="AA26" s="2"/>
      <c r="AB26" s="2"/>
      <c r="AC26" s="2"/>
      <c r="AD26" s="2"/>
      <c r="AJ26" s="131"/>
    </row>
    <row r="27" spans="2:36" x14ac:dyDescent="0.25">
      <c r="B27" s="16"/>
      <c r="C27" t="s">
        <v>196</v>
      </c>
      <c r="D27" s="67"/>
      <c r="E27" s="67">
        <f t="shared" si="0"/>
        <v>1320</v>
      </c>
      <c r="F27" s="19"/>
      <c r="G27" s="19">
        <f t="shared" ca="1" si="1"/>
        <v>1320</v>
      </c>
      <c r="H27" s="78" t="s">
        <v>133</v>
      </c>
      <c r="I27" s="78"/>
      <c r="J27" s="2"/>
      <c r="K27" s="2"/>
      <c r="L27" s="28">
        <v>1320</v>
      </c>
      <c r="M27" s="2"/>
      <c r="N27" s="2"/>
      <c r="O27" s="2"/>
      <c r="P27" s="2"/>
      <c r="Q27" s="2"/>
      <c r="R27" s="2"/>
      <c r="S27" s="2"/>
      <c r="T27" s="2"/>
      <c r="U27" s="2"/>
      <c r="V27" s="2"/>
      <c r="W27" s="2"/>
      <c r="X27" s="2"/>
      <c r="Y27" s="2"/>
      <c r="Z27" s="2"/>
      <c r="AB27" s="2"/>
      <c r="AC27" s="2"/>
      <c r="AD27" s="2"/>
      <c r="AJ27" s="131"/>
    </row>
    <row r="28" spans="2:36" x14ac:dyDescent="0.25">
      <c r="B28" s="16"/>
      <c r="C28" t="s">
        <v>414</v>
      </c>
      <c r="D28" s="67"/>
      <c r="E28" s="67">
        <f t="shared" si="0"/>
        <v>1140</v>
      </c>
      <c r="F28" s="19"/>
      <c r="G28" s="19">
        <f t="shared" ca="1" si="1"/>
        <v>1140</v>
      </c>
      <c r="H28" s="78" t="s">
        <v>415</v>
      </c>
      <c r="I28" s="78"/>
      <c r="J28" s="28">
        <v>1140</v>
      </c>
      <c r="K28" s="2"/>
      <c r="L28" s="2"/>
      <c r="M28" s="2"/>
      <c r="N28" s="2"/>
      <c r="O28" s="2"/>
      <c r="P28" s="2"/>
      <c r="Q28" s="2"/>
      <c r="R28" s="2"/>
      <c r="S28" s="2"/>
      <c r="T28" s="2"/>
      <c r="U28" s="2"/>
      <c r="V28" s="2"/>
      <c r="W28" s="2"/>
      <c r="X28" s="2"/>
      <c r="Y28" s="2"/>
      <c r="Z28" s="2"/>
      <c r="AB28" s="2"/>
      <c r="AC28" s="2"/>
      <c r="AD28" s="2"/>
      <c r="AJ28" s="131"/>
    </row>
    <row r="29" spans="2:36" x14ac:dyDescent="0.25">
      <c r="B29" s="16"/>
      <c r="C29" t="s">
        <v>174</v>
      </c>
      <c r="D29" s="67">
        <v>10000</v>
      </c>
      <c r="E29" s="67">
        <f t="shared" si="0"/>
        <v>10000</v>
      </c>
      <c r="F29" s="19"/>
      <c r="G29" s="19">
        <f ca="1">SUMIF($I$4:$AJ$4,"&lt;"&amp;TODAY(),$I29:$AJ29)</f>
        <v>10000</v>
      </c>
      <c r="H29" s="78"/>
      <c r="I29" s="78"/>
      <c r="J29" s="2"/>
      <c r="K29" s="2"/>
      <c r="L29" s="2"/>
      <c r="M29" s="2"/>
      <c r="N29" s="2"/>
      <c r="R29" s="2">
        <v>5000</v>
      </c>
      <c r="S29" s="2">
        <v>1000</v>
      </c>
      <c r="T29" s="2">
        <v>1000</v>
      </c>
      <c r="U29" s="2">
        <v>1000</v>
      </c>
      <c r="V29" s="2">
        <v>1000</v>
      </c>
      <c r="W29" s="2">
        <v>1000</v>
      </c>
      <c r="X29" s="2"/>
      <c r="Y29" s="2"/>
      <c r="Z29" s="2"/>
      <c r="AB29" s="2"/>
      <c r="AC29" s="2"/>
      <c r="AD29" s="2"/>
      <c r="AJ29" s="131"/>
    </row>
    <row r="30" spans="2:36" x14ac:dyDescent="0.25">
      <c r="B30" s="14" t="s">
        <v>93</v>
      </c>
      <c r="C30" s="15" t="s">
        <v>94</v>
      </c>
      <c r="D30" s="101">
        <f>SUM(D11:D29)*0.1</f>
        <v>36550</v>
      </c>
      <c r="E30" s="101">
        <f ca="1">SUMIF($I$4:$AJ$4,"&gt;"&amp;TODAY(),$I30:$AJ30)</f>
        <v>0</v>
      </c>
      <c r="F30" s="21">
        <f>SUM(F11:F29)*0.1</f>
        <v>7685</v>
      </c>
      <c r="G30" s="157" t="s">
        <v>199</v>
      </c>
      <c r="H30" s="80"/>
      <c r="I30" s="80">
        <f>SUM(I11:I29)*0.1</f>
        <v>638.75</v>
      </c>
      <c r="J30" s="136">
        <f t="shared" ref="J30:L30" si="2">SUM(J11:J29)*0.1</f>
        <v>892.125</v>
      </c>
      <c r="K30" s="136">
        <f t="shared" si="2"/>
        <v>267.5</v>
      </c>
      <c r="L30" s="136">
        <f t="shared" si="2"/>
        <v>174</v>
      </c>
      <c r="M30" s="136">
        <f t="shared" ref="M30:AD30" si="3">SUM(M11:M29)*0.1</f>
        <v>172.5</v>
      </c>
      <c r="N30" s="136">
        <f t="shared" si="3"/>
        <v>0</v>
      </c>
      <c r="O30" s="136">
        <f t="shared" si="3"/>
        <v>382.5</v>
      </c>
      <c r="P30" s="136">
        <f t="shared" si="3"/>
        <v>57.5</v>
      </c>
      <c r="Q30" s="136">
        <f t="shared" si="3"/>
        <v>107.625</v>
      </c>
      <c r="R30" s="136">
        <f t="shared" si="3"/>
        <v>5600</v>
      </c>
      <c r="S30" s="136">
        <f t="shared" si="3"/>
        <v>800</v>
      </c>
      <c r="T30" s="136">
        <f t="shared" si="3"/>
        <v>1440</v>
      </c>
      <c r="U30" s="136">
        <f>SUM(U11:U29)*0.1</f>
        <v>16000</v>
      </c>
      <c r="V30" s="136">
        <f>SUM(V11:V29)*0.1</f>
        <v>1700</v>
      </c>
      <c r="W30" s="136">
        <f>SUM(W11:W29)*0.1</f>
        <v>700</v>
      </c>
      <c r="X30" s="136">
        <f t="shared" si="3"/>
        <v>300</v>
      </c>
      <c r="Y30" s="136">
        <f t="shared" si="3"/>
        <v>100</v>
      </c>
      <c r="Z30" s="136">
        <f t="shared" si="3"/>
        <v>100</v>
      </c>
      <c r="AA30" s="136">
        <f t="shared" si="3"/>
        <v>200</v>
      </c>
      <c r="AB30" s="136">
        <f>SUM(AB11:AB29)*0.1</f>
        <v>2000</v>
      </c>
      <c r="AC30" s="136">
        <f t="shared" si="3"/>
        <v>2000</v>
      </c>
      <c r="AD30" s="136">
        <f t="shared" si="3"/>
        <v>2000</v>
      </c>
      <c r="AE30" s="136">
        <f t="shared" ref="AE30:AJ30" si="4">SUM(AE11:AE29)*0.1</f>
        <v>0</v>
      </c>
      <c r="AF30" s="136">
        <f t="shared" si="4"/>
        <v>0</v>
      </c>
      <c r="AG30" s="136">
        <f t="shared" si="4"/>
        <v>0</v>
      </c>
      <c r="AH30" s="136">
        <f t="shared" si="4"/>
        <v>0</v>
      </c>
      <c r="AI30" s="136">
        <f t="shared" si="4"/>
        <v>0</v>
      </c>
      <c r="AJ30" s="140">
        <f t="shared" si="4"/>
        <v>0</v>
      </c>
    </row>
    <row r="31" spans="2:36" x14ac:dyDescent="0.25">
      <c r="B31" s="13" t="s">
        <v>148</v>
      </c>
      <c r="C31" s="6"/>
      <c r="D31" s="68"/>
      <c r="E31" s="20">
        <f>SUM(I31:AJ31)</f>
        <v>15000</v>
      </c>
      <c r="F31" s="20"/>
      <c r="G31" s="20">
        <f ca="1">SUMIF($I$4:$AJ$4,"&lt;"&amp;TODAY(),$I31:$AJ31)</f>
        <v>15000</v>
      </c>
      <c r="H31" s="79"/>
      <c r="I31" s="78"/>
      <c r="J31" s="2"/>
      <c r="K31" s="2"/>
      <c r="L31" s="2"/>
      <c r="M31" s="2"/>
      <c r="N31" s="2"/>
      <c r="O31" s="2"/>
      <c r="P31" s="2"/>
      <c r="Q31" s="2">
        <v>5000</v>
      </c>
      <c r="R31" s="2">
        <v>5000</v>
      </c>
      <c r="S31" s="2">
        <v>5000</v>
      </c>
      <c r="T31" s="2"/>
      <c r="U31" s="2"/>
      <c r="V31" s="2"/>
      <c r="W31" s="2"/>
      <c r="X31" s="2"/>
      <c r="Y31" s="2"/>
      <c r="Z31" s="2"/>
      <c r="AA31" s="2"/>
      <c r="AB31" s="2"/>
      <c r="AC31" s="2"/>
      <c r="AD31" s="2"/>
      <c r="AE31" s="2"/>
      <c r="AF31" s="2"/>
      <c r="AG31" s="2"/>
      <c r="AH31" s="2"/>
      <c r="AI31" s="2"/>
      <c r="AJ31" s="76"/>
    </row>
    <row r="32" spans="2:36" x14ac:dyDescent="0.25">
      <c r="B32" s="13" t="s">
        <v>95</v>
      </c>
      <c r="C32" s="6"/>
      <c r="D32" s="68">
        <v>15000</v>
      </c>
      <c r="E32" s="68">
        <f t="shared" si="0"/>
        <v>15000</v>
      </c>
      <c r="F32" s="20">
        <v>15000</v>
      </c>
      <c r="G32" s="20">
        <f t="shared" ca="1" si="1"/>
        <v>15000</v>
      </c>
      <c r="H32" s="79"/>
      <c r="I32" s="78"/>
      <c r="J32" s="2"/>
      <c r="K32" s="2"/>
      <c r="L32" s="2"/>
      <c r="M32" s="2"/>
      <c r="N32" s="2"/>
      <c r="O32" s="2"/>
      <c r="P32" s="2"/>
      <c r="Q32" s="2"/>
      <c r="R32" s="2"/>
      <c r="S32" s="2"/>
      <c r="T32" s="2"/>
      <c r="U32" s="2"/>
      <c r="V32" s="2"/>
      <c r="W32" s="2">
        <v>5000</v>
      </c>
      <c r="X32" s="2">
        <v>5000</v>
      </c>
      <c r="Y32" s="2">
        <v>5000</v>
      </c>
      <c r="Z32" s="2"/>
      <c r="AA32" s="2"/>
      <c r="AB32" s="2"/>
      <c r="AD32" s="2"/>
      <c r="AJ32" s="131"/>
    </row>
    <row r="33" spans="2:36" ht="15.75" thickBot="1" x14ac:dyDescent="0.3">
      <c r="B33" s="8" t="s">
        <v>97</v>
      </c>
      <c r="D33" s="67">
        <v>15000</v>
      </c>
      <c r="E33" s="67">
        <f t="shared" si="0"/>
        <v>15000</v>
      </c>
      <c r="F33" s="19">
        <v>15000</v>
      </c>
      <c r="G33" s="19">
        <f t="shared" ca="1" si="1"/>
        <v>15000</v>
      </c>
      <c r="H33" s="78"/>
      <c r="I33" s="78"/>
      <c r="J33" s="2"/>
      <c r="K33" s="2"/>
      <c r="L33" s="2"/>
      <c r="M33" s="2"/>
      <c r="N33" s="2"/>
      <c r="O33" s="2"/>
      <c r="P33" s="2"/>
      <c r="Q33" s="2"/>
      <c r="R33" s="2"/>
      <c r="S33" s="2"/>
      <c r="T33" s="2"/>
      <c r="U33" s="2"/>
      <c r="V33" s="2"/>
      <c r="W33" s="2"/>
      <c r="X33" s="2"/>
      <c r="Y33" s="2"/>
      <c r="Z33" s="2">
        <v>5000</v>
      </c>
      <c r="AA33" s="2">
        <v>5000</v>
      </c>
      <c r="AB33" s="2">
        <v>5000</v>
      </c>
      <c r="AD33" s="2"/>
      <c r="AJ33" s="131"/>
    </row>
    <row r="34" spans="2:36" ht="15.75" thickBot="1" x14ac:dyDescent="0.3">
      <c r="B34" s="11" t="s">
        <v>98</v>
      </c>
      <c r="C34" s="12"/>
      <c r="D34" s="452">
        <v>531050</v>
      </c>
      <c r="E34" s="152">
        <f ca="1">SUM(E5:E33)</f>
        <v>509416</v>
      </c>
      <c r="F34" s="152">
        <f>SUM(F5:F33)</f>
        <v>114535</v>
      </c>
      <c r="G34" s="152">
        <f ca="1">SUM(G5:G33)</f>
        <v>509416</v>
      </c>
      <c r="H34" s="81"/>
      <c r="I34" s="80">
        <f t="shared" ref="I34:L34" si="5">SUM(I5:I33)</f>
        <v>7026.25</v>
      </c>
      <c r="J34" s="136">
        <f t="shared" si="5"/>
        <v>10497.375</v>
      </c>
      <c r="K34" s="136">
        <f t="shared" si="5"/>
        <v>4957.5</v>
      </c>
      <c r="L34" s="136">
        <f t="shared" si="5"/>
        <v>1914</v>
      </c>
      <c r="M34" s="136">
        <f t="shared" ref="M34:AD34" si="6">SUM(M5:M33)</f>
        <v>60277.5</v>
      </c>
      <c r="N34" s="136">
        <f t="shared" si="6"/>
        <v>0</v>
      </c>
      <c r="O34" s="136">
        <f t="shared" si="6"/>
        <v>4207.5</v>
      </c>
      <c r="P34" s="136">
        <f t="shared" si="6"/>
        <v>1644.5</v>
      </c>
      <c r="Q34" s="136">
        <f t="shared" si="6"/>
        <v>31183.875</v>
      </c>
      <c r="R34" s="136">
        <f t="shared" si="6"/>
        <v>82600</v>
      </c>
      <c r="S34" s="136">
        <f t="shared" si="6"/>
        <v>18800</v>
      </c>
      <c r="T34" s="136">
        <f t="shared" si="6"/>
        <v>15840</v>
      </c>
      <c r="U34" s="136">
        <f t="shared" si="6"/>
        <v>176000</v>
      </c>
      <c r="V34" s="136">
        <f t="shared" si="6"/>
        <v>18700</v>
      </c>
      <c r="W34" s="136">
        <f t="shared" si="6"/>
        <v>12700</v>
      </c>
      <c r="X34" s="136">
        <f t="shared" si="6"/>
        <v>8300</v>
      </c>
      <c r="Y34" s="136">
        <f t="shared" si="6"/>
        <v>6100</v>
      </c>
      <c r="Z34" s="136">
        <f t="shared" si="6"/>
        <v>6100</v>
      </c>
      <c r="AA34" s="136">
        <f t="shared" si="6"/>
        <v>7200</v>
      </c>
      <c r="AB34" s="136">
        <f t="shared" si="6"/>
        <v>27000</v>
      </c>
      <c r="AC34" s="136">
        <f t="shared" si="6"/>
        <v>22000</v>
      </c>
      <c r="AD34" s="136">
        <f t="shared" si="6"/>
        <v>22000</v>
      </c>
      <c r="AE34" s="136">
        <f t="shared" ref="AE34:AJ34" si="7">SUM(AE5:AE33)</f>
        <v>0</v>
      </c>
      <c r="AF34" s="136">
        <f t="shared" si="7"/>
        <v>0</v>
      </c>
      <c r="AG34" s="136">
        <f t="shared" si="7"/>
        <v>0</v>
      </c>
      <c r="AH34" s="136">
        <f t="shared" si="7"/>
        <v>0</v>
      </c>
      <c r="AI34" s="136">
        <f t="shared" si="7"/>
        <v>0</v>
      </c>
      <c r="AJ34" s="140">
        <f t="shared" si="7"/>
        <v>0</v>
      </c>
    </row>
    <row r="35" spans="2:36" ht="15.75" thickBot="1" x14ac:dyDescent="0.3">
      <c r="B35" s="9" t="s">
        <v>176</v>
      </c>
      <c r="C35" s="37">
        <v>50</v>
      </c>
      <c r="D35" s="119"/>
      <c r="E35" s="119"/>
      <c r="F35" s="36"/>
      <c r="G35" s="36"/>
      <c r="H35" s="82"/>
      <c r="I35" s="78"/>
      <c r="J35" s="2"/>
      <c r="K35" s="2"/>
      <c r="L35" s="2"/>
      <c r="M35" s="2"/>
      <c r="N35" s="2"/>
      <c r="O35" s="2"/>
      <c r="P35" s="2"/>
      <c r="Q35" s="2"/>
      <c r="R35" s="2"/>
      <c r="S35" s="2"/>
      <c r="T35" s="2"/>
      <c r="U35" s="2"/>
      <c r="V35" s="2"/>
      <c r="W35" s="2"/>
      <c r="X35" s="2"/>
      <c r="Y35" s="2"/>
      <c r="Z35" s="2"/>
      <c r="AA35" s="2"/>
      <c r="AB35" s="2"/>
      <c r="AC35" s="2"/>
      <c r="AD35" s="2"/>
      <c r="AJ35" s="131"/>
    </row>
    <row r="36" spans="2:36" ht="15.75" thickBot="1" x14ac:dyDescent="0.3">
      <c r="B36" s="35" t="s">
        <v>100</v>
      </c>
      <c r="C36" s="10"/>
      <c r="D36" s="133">
        <f>D34/$C$35</f>
        <v>10621</v>
      </c>
      <c r="E36" s="165">
        <f ca="1">E34/$C$35</f>
        <v>10188.32</v>
      </c>
      <c r="F36" s="165">
        <f t="shared" ref="F36:G36" si="8">F34/$C$35</f>
        <v>2290.6999999999998</v>
      </c>
      <c r="G36" s="165">
        <f t="shared" ca="1" si="8"/>
        <v>10188.32</v>
      </c>
      <c r="H36" s="83"/>
      <c r="I36" s="83"/>
      <c r="J36" s="163"/>
      <c r="K36" s="163"/>
      <c r="L36" s="163"/>
      <c r="M36" s="10"/>
      <c r="N36" s="10"/>
      <c r="O36" s="10"/>
      <c r="P36" s="10"/>
      <c r="Q36" s="10"/>
      <c r="R36" s="10"/>
      <c r="S36" s="10"/>
      <c r="T36" s="10"/>
      <c r="U36" s="10"/>
      <c r="V36" s="10"/>
      <c r="W36" s="10"/>
      <c r="X36" s="10"/>
      <c r="Y36" s="10"/>
      <c r="Z36" s="10"/>
      <c r="AA36" s="10"/>
      <c r="AB36" s="10"/>
      <c r="AC36" s="10"/>
      <c r="AD36" s="10"/>
      <c r="AE36" s="10"/>
      <c r="AF36" s="10"/>
      <c r="AG36" s="10"/>
      <c r="AH36" s="10"/>
      <c r="AI36" s="10"/>
      <c r="AJ36" s="132"/>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31D0E-CFD0-4258-8D96-AA6A1BB74A39}">
  <dimension ref="B1:BW131"/>
  <sheetViews>
    <sheetView topLeftCell="A37" zoomScaleNormal="100" workbookViewId="0">
      <selection activeCell="B2" sqref="B2"/>
    </sheetView>
  </sheetViews>
  <sheetFormatPr defaultRowHeight="15" x14ac:dyDescent="0.25"/>
  <cols>
    <col min="2" max="2" width="27" customWidth="1"/>
    <col min="3" max="3" width="45.5703125" customWidth="1"/>
    <col min="4" max="4" width="13.28515625" customWidth="1"/>
    <col min="5" max="5" width="16.28515625" customWidth="1"/>
    <col min="6" max="6" width="12.85546875" customWidth="1"/>
    <col min="7" max="7" width="18.42578125" customWidth="1"/>
    <col min="8" max="8" width="14.42578125" style="555" customWidth="1"/>
    <col min="9" max="9" width="11" customWidth="1"/>
    <col min="10" max="10" width="24.28515625" customWidth="1"/>
    <col min="11" max="11" width="9.5703125" hidden="1" customWidth="1"/>
    <col min="12" max="12" width="9.28515625" hidden="1" customWidth="1"/>
    <col min="13" max="13" width="11.28515625" hidden="1" customWidth="1"/>
    <col min="14" max="22" width="9.28515625" hidden="1" customWidth="1"/>
    <col min="23" max="23" width="9.5703125" hidden="1" customWidth="1"/>
    <col min="24" max="45" width="9.28515625" hidden="1" customWidth="1"/>
    <col min="46" max="46" width="11.7109375" hidden="1" customWidth="1"/>
    <col min="47" max="52" width="9.28515625" hidden="1" customWidth="1"/>
    <col min="54" max="75" width="9.5703125" bestFit="1" customWidth="1"/>
  </cols>
  <sheetData>
    <row r="1" spans="2:75" ht="15.75" thickBot="1" x14ac:dyDescent="0.3"/>
    <row r="2" spans="2:75" ht="45.75" thickBot="1" x14ac:dyDescent="0.3">
      <c r="B2" s="525" t="s">
        <v>230</v>
      </c>
      <c r="C2" s="526"/>
      <c r="D2" s="527"/>
      <c r="E2" s="527"/>
      <c r="F2" s="527"/>
      <c r="G2" s="511"/>
      <c r="H2" s="527"/>
      <c r="I2" s="511"/>
      <c r="J2" s="511"/>
      <c r="K2" s="511"/>
      <c r="L2" s="511"/>
      <c r="M2" s="511" t="s">
        <v>416</v>
      </c>
      <c r="N2" s="511"/>
      <c r="O2" s="511"/>
      <c r="P2" s="511"/>
      <c r="Q2" s="511"/>
      <c r="R2" s="511"/>
      <c r="S2" s="511"/>
      <c r="T2" s="511"/>
      <c r="U2" s="511"/>
      <c r="V2" s="511"/>
      <c r="W2" s="511"/>
      <c r="X2" s="511"/>
      <c r="Y2" s="511"/>
      <c r="Z2" s="511"/>
      <c r="AA2" s="511"/>
      <c r="AB2" s="511"/>
      <c r="AC2" s="511"/>
      <c r="AD2" s="511"/>
      <c r="AE2" s="511"/>
      <c r="AF2" s="511"/>
      <c r="AG2" s="511"/>
      <c r="AH2" s="511"/>
      <c r="AI2" s="511"/>
      <c r="AJ2" s="511"/>
      <c r="AK2" s="511"/>
      <c r="AL2" s="511"/>
      <c r="AM2" s="511"/>
      <c r="AN2" s="511"/>
      <c r="AO2" s="511"/>
      <c r="AP2" s="511"/>
      <c r="AQ2" s="511"/>
      <c r="AR2" s="511"/>
      <c r="AS2" s="511"/>
      <c r="AT2" s="511"/>
      <c r="AU2" s="511"/>
      <c r="AV2" s="511"/>
      <c r="AW2" s="511"/>
      <c r="AX2" s="511"/>
      <c r="AY2" s="511"/>
      <c r="AZ2" s="511"/>
      <c r="BA2" s="714"/>
      <c r="BB2" s="527"/>
      <c r="BC2" s="527"/>
      <c r="BD2" s="527"/>
      <c r="BE2" s="528"/>
      <c r="BF2" s="527"/>
      <c r="BG2" s="527"/>
      <c r="BH2" s="527"/>
      <c r="BI2" s="529" t="s">
        <v>166</v>
      </c>
      <c r="BJ2" s="527"/>
      <c r="BK2" s="527"/>
      <c r="BL2" s="527"/>
      <c r="BM2" s="527"/>
      <c r="BN2" s="527"/>
      <c r="BO2" s="527"/>
      <c r="BP2" s="527"/>
      <c r="BQ2" s="527"/>
      <c r="BR2" s="527"/>
      <c r="BS2" s="527"/>
      <c r="BT2" s="529" t="s">
        <v>215</v>
      </c>
      <c r="BU2" s="527"/>
      <c r="BV2" s="529" t="s">
        <v>216</v>
      </c>
      <c r="BW2" s="530" t="s">
        <v>217</v>
      </c>
    </row>
    <row r="3" spans="2:75" ht="60.75" thickBot="1" x14ac:dyDescent="0.3">
      <c r="B3" s="35" t="s">
        <v>16</v>
      </c>
      <c r="C3" s="372" t="s">
        <v>17</v>
      </c>
      <c r="D3" s="521" t="s">
        <v>184</v>
      </c>
      <c r="E3" s="522" t="s">
        <v>185</v>
      </c>
      <c r="F3" s="523" t="s">
        <v>186</v>
      </c>
      <c r="G3" s="134" t="s">
        <v>187</v>
      </c>
      <c r="H3" s="687" t="s">
        <v>324</v>
      </c>
      <c r="I3" s="540" t="s">
        <v>417</v>
      </c>
      <c r="J3" s="708" t="s">
        <v>111</v>
      </c>
      <c r="K3" s="142">
        <v>44197</v>
      </c>
      <c r="L3" s="142">
        <v>44228</v>
      </c>
      <c r="M3" s="142">
        <v>44256</v>
      </c>
      <c r="N3" s="142">
        <v>44287</v>
      </c>
      <c r="O3" s="142">
        <v>44317</v>
      </c>
      <c r="P3" s="142">
        <v>44348</v>
      </c>
      <c r="Q3" s="142">
        <v>44378</v>
      </c>
      <c r="R3" s="142">
        <v>44409</v>
      </c>
      <c r="S3" s="142">
        <v>44440</v>
      </c>
      <c r="T3" s="142">
        <v>44470</v>
      </c>
      <c r="U3" s="142">
        <v>44501</v>
      </c>
      <c r="V3" s="142">
        <v>44531</v>
      </c>
      <c r="W3" s="142">
        <v>44562</v>
      </c>
      <c r="X3" s="142">
        <v>44593</v>
      </c>
      <c r="Y3" s="142">
        <v>44621</v>
      </c>
      <c r="Z3" s="142">
        <v>44652</v>
      </c>
      <c r="AA3" s="142">
        <v>44682</v>
      </c>
      <c r="AB3" s="142">
        <v>44713</v>
      </c>
      <c r="AC3" s="142">
        <v>44743</v>
      </c>
      <c r="AD3" s="142">
        <v>44774</v>
      </c>
      <c r="AE3" s="142">
        <v>44805</v>
      </c>
      <c r="AF3" s="142">
        <v>44835</v>
      </c>
      <c r="AG3" s="142">
        <v>44866</v>
      </c>
      <c r="AH3" s="142">
        <v>44896</v>
      </c>
      <c r="AI3" s="142">
        <v>44927</v>
      </c>
      <c r="AJ3" s="142">
        <v>44958</v>
      </c>
      <c r="AK3" s="142">
        <v>44986</v>
      </c>
      <c r="AL3" s="142">
        <v>45017</v>
      </c>
      <c r="AM3" s="142">
        <v>45047</v>
      </c>
      <c r="AN3" s="142">
        <v>45078</v>
      </c>
      <c r="AO3" s="142">
        <v>45108</v>
      </c>
      <c r="AP3" s="142">
        <v>45139</v>
      </c>
      <c r="AQ3" s="142">
        <v>45170</v>
      </c>
      <c r="AR3" s="142">
        <v>45200</v>
      </c>
      <c r="AS3" s="142">
        <v>45231</v>
      </c>
      <c r="AT3" s="270">
        <v>45261</v>
      </c>
      <c r="AU3" s="142">
        <v>45292</v>
      </c>
      <c r="AV3" s="270">
        <v>45323</v>
      </c>
      <c r="AW3" s="143">
        <v>45352</v>
      </c>
      <c r="AX3" s="270">
        <v>45383</v>
      </c>
      <c r="AY3" s="143">
        <v>45413</v>
      </c>
      <c r="AZ3" s="142">
        <v>45444</v>
      </c>
      <c r="BA3" s="715">
        <v>45497</v>
      </c>
      <c r="BB3" s="524">
        <v>45528</v>
      </c>
      <c r="BC3" s="524">
        <v>45559</v>
      </c>
      <c r="BD3" s="524">
        <v>45589</v>
      </c>
      <c r="BE3" s="524">
        <v>45620</v>
      </c>
      <c r="BF3" s="524">
        <v>45650</v>
      </c>
      <c r="BG3" s="524">
        <v>45681</v>
      </c>
      <c r="BH3" s="524">
        <v>45712</v>
      </c>
      <c r="BI3" s="524">
        <v>45740</v>
      </c>
      <c r="BJ3" s="524">
        <v>45771</v>
      </c>
      <c r="BK3" s="524">
        <v>45801</v>
      </c>
      <c r="BL3" s="524">
        <v>45832</v>
      </c>
      <c r="BM3" s="524">
        <v>45862</v>
      </c>
      <c r="BN3" s="524">
        <v>45893</v>
      </c>
      <c r="BO3" s="524">
        <v>45924</v>
      </c>
      <c r="BP3" s="524">
        <v>45954</v>
      </c>
      <c r="BQ3" s="524">
        <v>45985</v>
      </c>
      <c r="BR3" s="524">
        <v>46015</v>
      </c>
      <c r="BS3" s="524">
        <v>46046</v>
      </c>
      <c r="BT3" s="524">
        <v>46077</v>
      </c>
      <c r="BU3" s="524">
        <v>46105</v>
      </c>
      <c r="BV3" s="524">
        <v>46136</v>
      </c>
      <c r="BW3" s="524">
        <v>46166</v>
      </c>
    </row>
    <row r="4" spans="2:75" x14ac:dyDescent="0.25">
      <c r="B4" s="8" t="s">
        <v>29</v>
      </c>
      <c r="C4" t="s">
        <v>297</v>
      </c>
      <c r="D4" s="19">
        <v>0</v>
      </c>
      <c r="E4" s="713">
        <v>60663</v>
      </c>
      <c r="F4" s="67">
        <f>37000+34912.5</f>
        <v>71912.5</v>
      </c>
      <c r="G4" s="713">
        <f ca="1">SUMIF($K$3:$CJ$3,"&lt;"&amp;TODAY(),K4:CJ4)</f>
        <v>60663.33</v>
      </c>
      <c r="H4" s="719">
        <f ca="1">F4-G4</f>
        <v>11249.169999999998</v>
      </c>
      <c r="I4" s="512"/>
      <c r="J4" s="533"/>
      <c r="K4" s="709"/>
      <c r="L4" s="709"/>
      <c r="M4" s="709">
        <v>37000</v>
      </c>
      <c r="N4" s="709"/>
      <c r="O4" s="709"/>
      <c r="P4" s="709"/>
      <c r="Q4" s="709"/>
      <c r="R4" s="709"/>
      <c r="S4" s="709"/>
      <c r="T4" s="709"/>
      <c r="U4" s="709"/>
      <c r="V4" s="709"/>
      <c r="W4" s="709"/>
      <c r="X4" s="709"/>
      <c r="Y4" s="709"/>
      <c r="Z4" s="709"/>
      <c r="AA4" s="709"/>
      <c r="AB4" s="709"/>
      <c r="AC4" s="709"/>
      <c r="AD4" s="709"/>
      <c r="AE4" s="709"/>
      <c r="AF4" s="709"/>
      <c r="AG4" s="709"/>
      <c r="AH4" s="709"/>
      <c r="AI4" s="709"/>
      <c r="AJ4" s="709"/>
      <c r="AK4" s="709"/>
      <c r="AL4" s="709"/>
      <c r="AM4" s="709"/>
      <c r="AN4" s="709"/>
      <c r="AO4" s="709"/>
      <c r="AP4" s="709"/>
      <c r="AQ4" s="709"/>
      <c r="AR4" s="709"/>
      <c r="AS4" s="709"/>
      <c r="AT4" s="709">
        <v>-11249.17</v>
      </c>
      <c r="AU4" s="709"/>
      <c r="AV4" s="709"/>
      <c r="AW4" s="709"/>
      <c r="AX4" s="709"/>
      <c r="AY4" s="709"/>
      <c r="AZ4" s="709">
        <v>34912.5</v>
      </c>
      <c r="BA4" s="716"/>
      <c r="BB4" s="709"/>
      <c r="BC4" s="709"/>
      <c r="BD4" s="709"/>
      <c r="BE4" s="709"/>
      <c r="BF4" s="709"/>
      <c r="BG4" s="709"/>
      <c r="BH4" s="709"/>
      <c r="BI4" s="709"/>
      <c r="BJ4" s="709"/>
      <c r="BK4" s="709"/>
      <c r="BL4" s="709"/>
      <c r="BM4" s="709"/>
      <c r="BN4" s="709"/>
      <c r="BO4" s="709"/>
      <c r="BP4" s="709"/>
      <c r="BQ4" s="709"/>
      <c r="BR4" s="709"/>
      <c r="BS4" s="709"/>
      <c r="BT4" s="709"/>
      <c r="BU4" s="709"/>
      <c r="BV4" s="709"/>
      <c r="BW4" s="709"/>
    </row>
    <row r="5" spans="2:75" x14ac:dyDescent="0.25">
      <c r="B5" s="8"/>
      <c r="C5" t="s">
        <v>111</v>
      </c>
      <c r="D5" s="19"/>
      <c r="E5" s="19">
        <v>1800</v>
      </c>
      <c r="F5" s="19">
        <v>1800</v>
      </c>
      <c r="G5" s="713">
        <f ca="1">SUMIF($K$3:$CJ$3,"&lt;"&amp;TODAY(),K5:CJ5)</f>
        <v>1800</v>
      </c>
      <c r="H5" s="719">
        <f ca="1">F5-G5</f>
        <v>0</v>
      </c>
      <c r="I5" s="499"/>
      <c r="J5" s="533" t="s">
        <v>219</v>
      </c>
      <c r="K5" s="709"/>
      <c r="L5" s="709"/>
      <c r="M5" s="709"/>
      <c r="N5" s="709"/>
      <c r="O5" s="709"/>
      <c r="P5" s="709">
        <v>1800</v>
      </c>
      <c r="Q5" s="709"/>
      <c r="R5" s="709"/>
      <c r="S5" s="709"/>
      <c r="T5" s="709"/>
      <c r="U5" s="709"/>
      <c r="V5" s="709"/>
      <c r="W5" s="709"/>
      <c r="X5" s="709"/>
      <c r="Y5" s="709"/>
      <c r="Z5" s="709"/>
      <c r="AA5" s="709"/>
      <c r="AB5" s="709"/>
      <c r="AC5" s="709"/>
      <c r="AD5" s="709"/>
      <c r="AE5" s="709"/>
      <c r="AF5" s="709"/>
      <c r="AG5" s="709"/>
      <c r="AH5" s="709"/>
      <c r="AI5" s="709"/>
      <c r="AJ5" s="709"/>
      <c r="AK5" s="709"/>
      <c r="AL5" s="709"/>
      <c r="AM5" s="709"/>
      <c r="AN5" s="709"/>
      <c r="AO5" s="709"/>
      <c r="AP5" s="709"/>
      <c r="AQ5" s="709"/>
      <c r="AR5" s="709"/>
      <c r="AS5" s="709"/>
      <c r="AT5" s="709"/>
      <c r="AU5" s="709"/>
      <c r="AV5" s="709"/>
      <c r="AW5" s="709"/>
      <c r="AX5" s="709"/>
      <c r="AY5" s="709"/>
      <c r="AZ5" s="709"/>
      <c r="BA5" s="716"/>
      <c r="BB5" s="709"/>
      <c r="BC5" s="709"/>
      <c r="BD5" s="709"/>
      <c r="BE5" s="709"/>
      <c r="BF5" s="709"/>
      <c r="BG5" s="709"/>
      <c r="BH5" s="709"/>
      <c r="BI5" s="709"/>
      <c r="BJ5" s="709"/>
      <c r="BK5" s="709"/>
      <c r="BL5" s="709"/>
      <c r="BM5" s="709"/>
      <c r="BN5" s="709"/>
      <c r="BO5" s="709"/>
      <c r="BP5" s="709"/>
      <c r="BQ5" s="709"/>
      <c r="BR5" s="709"/>
      <c r="BS5" s="709"/>
      <c r="BT5" s="709"/>
      <c r="BU5" s="709"/>
      <c r="BV5" s="709"/>
      <c r="BW5" s="709"/>
    </row>
    <row r="6" spans="2:75" x14ac:dyDescent="0.25">
      <c r="B6" s="13"/>
      <c r="C6" s="6" t="s">
        <v>32</v>
      </c>
      <c r="D6" s="20"/>
      <c r="E6" s="787" t="s">
        <v>199</v>
      </c>
      <c r="F6" s="788" t="s">
        <v>199</v>
      </c>
      <c r="G6" s="713">
        <f ca="1">SUMIF($K$3:$CJ$3,"&lt;"&amp;TODAY(),K6:CJ6)</f>
        <v>472614.13</v>
      </c>
      <c r="H6" s="556"/>
      <c r="I6" s="499"/>
      <c r="J6" s="533"/>
      <c r="K6" s="709"/>
      <c r="L6" s="709"/>
      <c r="M6" s="709"/>
      <c r="N6" s="709"/>
      <c r="O6" s="709"/>
      <c r="P6" s="709"/>
      <c r="Q6" s="709"/>
      <c r="R6" s="709"/>
      <c r="S6" s="709"/>
      <c r="T6" s="709"/>
      <c r="U6" s="709"/>
      <c r="V6" s="709"/>
      <c r="W6" s="709"/>
      <c r="X6" s="709"/>
      <c r="Y6" s="709">
        <v>32415.56</v>
      </c>
      <c r="Z6" s="709"/>
      <c r="AA6" s="709"/>
      <c r="AB6" s="709"/>
      <c r="AC6" s="709"/>
      <c r="AD6" s="709"/>
      <c r="AE6" s="709">
        <v>7734.85</v>
      </c>
      <c r="AF6" s="709"/>
      <c r="AG6" s="709"/>
      <c r="AH6" s="709"/>
      <c r="AI6" s="709"/>
      <c r="AJ6" s="709"/>
      <c r="AK6" s="709">
        <v>226312.58</v>
      </c>
      <c r="AL6" s="709"/>
      <c r="AM6" s="709"/>
      <c r="AN6" s="709"/>
      <c r="AO6" s="709"/>
      <c r="AP6" s="709"/>
      <c r="AQ6" s="709">
        <v>206151.14</v>
      </c>
      <c r="AR6" s="709"/>
      <c r="AS6" s="709"/>
      <c r="AT6" s="709"/>
      <c r="AU6" s="709"/>
      <c r="AV6" s="709"/>
      <c r="AW6" s="712">
        <v>0</v>
      </c>
      <c r="AX6" s="709"/>
      <c r="AY6" s="709"/>
      <c r="AZ6" s="709"/>
      <c r="BA6" s="716"/>
      <c r="BB6" s="709"/>
      <c r="BC6" s="712">
        <v>0</v>
      </c>
      <c r="BD6" s="709"/>
      <c r="BE6" s="709"/>
      <c r="BF6" s="709"/>
      <c r="BG6" s="709"/>
      <c r="BH6" s="709"/>
      <c r="BI6" s="712">
        <v>0</v>
      </c>
      <c r="BJ6" s="709"/>
      <c r="BK6" s="709"/>
      <c r="BL6" s="709"/>
      <c r="BM6" s="709"/>
      <c r="BN6" s="709"/>
      <c r="BO6" s="712">
        <v>0</v>
      </c>
      <c r="BP6" s="709"/>
      <c r="BQ6" s="709"/>
      <c r="BR6" s="709"/>
      <c r="BS6" s="709"/>
      <c r="BT6" s="709"/>
      <c r="BU6" s="709">
        <v>697419.50943999982</v>
      </c>
      <c r="BV6" s="709"/>
      <c r="BW6" s="709"/>
    </row>
    <row r="7" spans="2:75" x14ac:dyDescent="0.25">
      <c r="B7" s="14" t="s">
        <v>35</v>
      </c>
      <c r="C7" s="15"/>
      <c r="D7" s="21">
        <v>0</v>
      </c>
      <c r="E7" s="21">
        <v>62320</v>
      </c>
      <c r="F7" s="21"/>
      <c r="G7" s="21">
        <f t="shared" ref="G7:G81" ca="1" si="0">SUMIF($W$3:$CJ$3,"&lt;"&amp;TODAY(),W7:CJ7)</f>
        <v>0</v>
      </c>
      <c r="H7" s="681"/>
      <c r="I7" s="541"/>
      <c r="J7" s="536"/>
      <c r="K7" s="709"/>
      <c r="L7" s="709"/>
      <c r="M7" s="709"/>
      <c r="N7" s="709"/>
      <c r="O7" s="709"/>
      <c r="P7" s="709"/>
      <c r="Q7" s="709"/>
      <c r="R7" s="709"/>
      <c r="S7" s="709"/>
      <c r="T7" s="709"/>
      <c r="U7" s="709"/>
      <c r="V7" s="709"/>
      <c r="W7" s="709"/>
      <c r="X7" s="709"/>
      <c r="Y7" s="709"/>
      <c r="Z7" s="709"/>
      <c r="AA7" s="709"/>
      <c r="AB7" s="709"/>
      <c r="AC7" s="709"/>
      <c r="AD7" s="709"/>
      <c r="AE7" s="709"/>
      <c r="AF7" s="709"/>
      <c r="AG7" s="709"/>
      <c r="AH7" s="709"/>
      <c r="AI7" s="709"/>
      <c r="AJ7" s="709"/>
      <c r="AK7" s="709"/>
      <c r="AL7" s="709"/>
      <c r="AM7" s="709"/>
      <c r="AN7" s="709"/>
      <c r="AO7" s="709"/>
      <c r="AP7" s="709"/>
      <c r="AQ7" s="709"/>
      <c r="AR7" s="709"/>
      <c r="AS7" s="709"/>
      <c r="AT7" s="709"/>
      <c r="AU7" s="709"/>
      <c r="AV7" s="709"/>
      <c r="AW7" s="709"/>
      <c r="AX7" s="709"/>
      <c r="AY7" s="709"/>
      <c r="AZ7" s="709"/>
      <c r="BA7" s="716"/>
      <c r="BB7" s="709"/>
      <c r="BC7" s="709"/>
      <c r="BD7" s="709"/>
      <c r="BE7" s="709"/>
      <c r="BF7" s="709"/>
      <c r="BG7" s="709"/>
      <c r="BH7" s="709"/>
      <c r="BI7" s="709"/>
      <c r="BJ7" s="709"/>
      <c r="BK7" s="709"/>
      <c r="BL7" s="709"/>
      <c r="BM7" s="709"/>
      <c r="BN7" s="709"/>
      <c r="BO7" s="709"/>
      <c r="BP7" s="709"/>
      <c r="BQ7" s="709"/>
      <c r="BR7" s="709"/>
      <c r="BS7" s="709"/>
      <c r="BT7" s="709"/>
      <c r="BU7" s="709"/>
      <c r="BV7" s="709"/>
      <c r="BW7" s="709"/>
    </row>
    <row r="8" spans="2:75" x14ac:dyDescent="0.25">
      <c r="B8" s="14" t="s">
        <v>198</v>
      </c>
      <c r="C8" s="15"/>
      <c r="D8" s="21"/>
      <c r="E8" s="21">
        <v>55000</v>
      </c>
      <c r="F8" s="21">
        <v>14500</v>
      </c>
      <c r="G8" s="21">
        <f t="shared" ca="1" si="0"/>
        <v>0</v>
      </c>
      <c r="H8" s="582"/>
      <c r="I8" s="486" t="s">
        <v>418</v>
      </c>
      <c r="J8" s="534" t="s">
        <v>419</v>
      </c>
      <c r="K8" s="709"/>
      <c r="L8" s="709"/>
      <c r="M8" s="709"/>
      <c r="N8" s="709"/>
      <c r="O8" s="709"/>
      <c r="P8" s="709"/>
      <c r="Q8" s="709"/>
      <c r="R8" s="709"/>
      <c r="S8" s="709"/>
      <c r="T8" s="709"/>
      <c r="U8" s="709"/>
      <c r="V8" s="709"/>
      <c r="W8" s="709"/>
      <c r="X8" s="709"/>
      <c r="Y8" s="709"/>
      <c r="Z8" s="709"/>
      <c r="AA8" s="709"/>
      <c r="AB8" s="709"/>
      <c r="AC8" s="709"/>
      <c r="AD8" s="709"/>
      <c r="AE8" s="709"/>
      <c r="AF8" s="709"/>
      <c r="AG8" s="709"/>
      <c r="AH8" s="709"/>
      <c r="AI8" s="709"/>
      <c r="AJ8" s="709"/>
      <c r="AK8" s="709"/>
      <c r="AL8" s="709"/>
      <c r="AM8" s="709"/>
      <c r="AN8" s="709"/>
      <c r="AO8" s="709"/>
      <c r="AP8" s="709"/>
      <c r="AQ8" s="709"/>
      <c r="AR8" s="709"/>
      <c r="AS8" s="709"/>
      <c r="AT8" s="709"/>
      <c r="AU8" s="709"/>
      <c r="AV8" s="709"/>
      <c r="AW8" s="709"/>
      <c r="AX8" s="709"/>
      <c r="AY8" s="709"/>
      <c r="AZ8" s="709"/>
      <c r="BA8" s="716"/>
      <c r="BB8" s="709"/>
      <c r="BC8" s="709"/>
      <c r="BD8" s="709"/>
      <c r="BE8" s="709"/>
      <c r="BF8" s="709"/>
      <c r="BG8" s="709"/>
      <c r="BH8" s="709"/>
      <c r="BI8" s="709"/>
      <c r="BJ8" s="709"/>
      <c r="BK8" s="709"/>
      <c r="BL8" s="709"/>
      <c r="BM8" s="709"/>
      <c r="BN8" s="709"/>
      <c r="BO8" s="709"/>
      <c r="BP8" s="709"/>
      <c r="BQ8" s="709"/>
      <c r="BR8" s="709"/>
      <c r="BS8" s="709"/>
      <c r="BT8" s="709"/>
      <c r="BU8" s="709"/>
      <c r="BV8" s="709"/>
      <c r="BW8" s="709"/>
    </row>
    <row r="9" spans="2:75" x14ac:dyDescent="0.25">
      <c r="B9" s="14" t="s">
        <v>40</v>
      </c>
      <c r="C9" s="15"/>
      <c r="D9" s="21"/>
      <c r="E9" s="21">
        <v>106477.5</v>
      </c>
      <c r="F9" s="21"/>
      <c r="G9" s="21">
        <f t="shared" ca="1" si="0"/>
        <v>0</v>
      </c>
      <c r="H9" s="688"/>
      <c r="I9" s="541"/>
      <c r="J9" s="536" t="s">
        <v>420</v>
      </c>
      <c r="K9" s="709"/>
      <c r="L9" s="709"/>
      <c r="M9" s="709"/>
      <c r="N9" s="709"/>
      <c r="O9" s="709"/>
      <c r="P9" s="709"/>
      <c r="Q9" s="709"/>
      <c r="R9" s="709"/>
      <c r="S9" s="709"/>
      <c r="T9" s="709"/>
      <c r="U9" s="709"/>
      <c r="V9" s="709"/>
      <c r="W9" s="709"/>
      <c r="X9" s="709"/>
      <c r="Y9" s="709"/>
      <c r="Z9" s="709"/>
      <c r="AA9" s="709"/>
      <c r="AB9" s="709"/>
      <c r="AC9" s="709"/>
      <c r="AD9" s="709"/>
      <c r="AE9" s="709"/>
      <c r="AF9" s="709"/>
      <c r="AG9" s="709"/>
      <c r="AH9" s="709"/>
      <c r="AI9" s="709"/>
      <c r="AJ9" s="709"/>
      <c r="AK9" s="709"/>
      <c r="AL9" s="709"/>
      <c r="AM9" s="709"/>
      <c r="AN9" s="709"/>
      <c r="AO9" s="709"/>
      <c r="AP9" s="709"/>
      <c r="AQ9" s="709"/>
      <c r="AR9" s="709"/>
      <c r="AS9" s="709"/>
      <c r="AT9" s="709"/>
      <c r="AU9" s="709"/>
      <c r="AV9" s="709"/>
      <c r="AW9" s="709"/>
      <c r="AX9" s="709"/>
      <c r="AY9" s="709"/>
      <c r="AZ9" s="709"/>
      <c r="BA9" s="716"/>
      <c r="BB9" s="709"/>
      <c r="BC9" s="709"/>
      <c r="BD9" s="709"/>
      <c r="BE9" s="709"/>
      <c r="BF9" s="709"/>
      <c r="BG9" s="709"/>
      <c r="BH9" s="709"/>
      <c r="BI9" s="709"/>
      <c r="BJ9" s="709"/>
      <c r="BK9" s="709"/>
      <c r="BL9" s="709"/>
      <c r="BM9" s="709"/>
      <c r="BN9" s="709"/>
      <c r="BO9" s="709"/>
      <c r="BP9" s="709"/>
      <c r="BQ9" s="709"/>
      <c r="BR9" s="709"/>
      <c r="BS9" s="709"/>
      <c r="BT9" s="709"/>
      <c r="BU9" s="709"/>
      <c r="BV9" s="709"/>
      <c r="BW9" s="709"/>
    </row>
    <row r="10" spans="2:75" x14ac:dyDescent="0.25">
      <c r="B10" s="14" t="s">
        <v>37</v>
      </c>
      <c r="C10" s="15"/>
      <c r="D10" s="21"/>
      <c r="E10" s="21">
        <v>60000</v>
      </c>
      <c r="F10" s="21"/>
      <c r="G10" s="80">
        <f t="shared" ca="1" si="0"/>
        <v>0</v>
      </c>
      <c r="H10" s="425">
        <f t="shared" ref="H10:H74" ca="1" si="1">SUM(F10-G10)</f>
        <v>0</v>
      </c>
      <c r="I10" s="681"/>
      <c r="J10" s="536" t="s">
        <v>222</v>
      </c>
      <c r="K10" s="709"/>
      <c r="L10" s="709"/>
      <c r="M10" s="709"/>
      <c r="N10" s="709"/>
      <c r="O10" s="709"/>
      <c r="P10" s="709"/>
      <c r="Q10" s="709"/>
      <c r="R10" s="709"/>
      <c r="S10" s="709"/>
      <c r="T10" s="709"/>
      <c r="U10" s="709"/>
      <c r="V10" s="709"/>
      <c r="W10" s="709"/>
      <c r="X10" s="709"/>
      <c r="Y10" s="709"/>
      <c r="Z10" s="709"/>
      <c r="AA10" s="709"/>
      <c r="AB10" s="709"/>
      <c r="AC10" s="709"/>
      <c r="AD10" s="709"/>
      <c r="AE10" s="709"/>
      <c r="AF10" s="709"/>
      <c r="AG10" s="709"/>
      <c r="AH10" s="709"/>
      <c r="AI10" s="709"/>
      <c r="AJ10" s="709"/>
      <c r="AK10" s="709"/>
      <c r="AL10" s="709"/>
      <c r="AM10" s="709"/>
      <c r="AN10" s="709"/>
      <c r="AO10" s="709"/>
      <c r="AP10" s="709"/>
      <c r="AQ10" s="709"/>
      <c r="AR10" s="709"/>
      <c r="AS10" s="709"/>
      <c r="AT10" s="709"/>
      <c r="AU10" s="709"/>
      <c r="AV10" s="709"/>
      <c r="AW10" s="709"/>
      <c r="AX10" s="709"/>
      <c r="AY10" s="709"/>
      <c r="AZ10" s="709"/>
      <c r="BA10" s="716"/>
      <c r="BB10" s="709"/>
      <c r="BC10" s="709"/>
      <c r="BD10" s="709"/>
      <c r="BE10" s="709"/>
      <c r="BF10" s="709"/>
      <c r="BG10" s="709"/>
      <c r="BH10" s="709"/>
      <c r="BI10" s="709"/>
      <c r="BJ10" s="709"/>
      <c r="BK10" s="709"/>
      <c r="BL10" s="709"/>
      <c r="BM10" s="709"/>
      <c r="BN10" s="709"/>
      <c r="BO10" s="709"/>
      <c r="BP10" s="709"/>
      <c r="BQ10" s="709"/>
      <c r="BR10" s="709"/>
      <c r="BS10" s="709"/>
      <c r="BT10" s="709"/>
      <c r="BU10" s="709"/>
      <c r="BV10" s="709"/>
      <c r="BW10" s="709"/>
    </row>
    <row r="11" spans="2:75" x14ac:dyDescent="0.25">
      <c r="B11" s="546" t="s">
        <v>42</v>
      </c>
      <c r="C11" t="s">
        <v>421</v>
      </c>
      <c r="D11" s="19"/>
      <c r="E11" s="19">
        <v>1200</v>
      </c>
      <c r="F11" s="19">
        <v>1200</v>
      </c>
      <c r="G11" s="19">
        <f ca="1">SUMIF($W$3:$CJ$3,"&lt;"&amp;TODAY(),W11:CJ11)</f>
        <v>1200</v>
      </c>
      <c r="H11" s="582">
        <f ca="1">SUM(F11-G11)</f>
        <v>0</v>
      </c>
      <c r="I11" s="486" t="s">
        <v>422</v>
      </c>
      <c r="J11" s="536" t="s">
        <v>423</v>
      </c>
      <c r="K11" s="709"/>
      <c r="L11" s="709"/>
      <c r="M11" s="709"/>
      <c r="N11" s="709"/>
      <c r="O11" s="709"/>
      <c r="P11" s="709"/>
      <c r="Q11" s="709"/>
      <c r="R11" s="709"/>
      <c r="S11" s="709"/>
      <c r="T11" s="709"/>
      <c r="U11" s="709"/>
      <c r="V11" s="709"/>
      <c r="W11" s="709"/>
      <c r="X11" s="709"/>
      <c r="Y11" s="709"/>
      <c r="Z11" s="709"/>
      <c r="AA11" s="709"/>
      <c r="AB11" s="709"/>
      <c r="AC11" s="709"/>
      <c r="AD11" s="709"/>
      <c r="AE11" s="709"/>
      <c r="AF11" s="709"/>
      <c r="AG11" s="709"/>
      <c r="AH11" s="709"/>
      <c r="AI11" s="709"/>
      <c r="AJ11" s="709"/>
      <c r="AK11" s="709"/>
      <c r="AL11" s="709"/>
      <c r="AM11" s="709"/>
      <c r="AN11" s="709"/>
      <c r="AO11" s="709"/>
      <c r="AP11" s="709"/>
      <c r="AQ11" s="709"/>
      <c r="AR11" s="709"/>
      <c r="AS11" s="709"/>
      <c r="AT11" s="709"/>
      <c r="AU11" s="709"/>
      <c r="AV11" s="709"/>
      <c r="AW11" s="709"/>
      <c r="AX11" s="709"/>
      <c r="AY11" s="709"/>
      <c r="AZ11" s="709"/>
      <c r="BA11" s="716">
        <v>1200</v>
      </c>
      <c r="BB11" s="709"/>
      <c r="BC11" s="709"/>
      <c r="BD11" s="709"/>
      <c r="BE11" s="709"/>
      <c r="BF11" s="709"/>
      <c r="BG11" s="709"/>
      <c r="BH11" s="709"/>
      <c r="BI11" s="709"/>
      <c r="BJ11" s="709"/>
      <c r="BK11" s="709"/>
      <c r="BL11" s="709"/>
      <c r="BM11" s="709"/>
      <c r="BN11" s="709"/>
      <c r="BO11" s="709"/>
      <c r="BP11" s="709"/>
      <c r="BQ11" s="709"/>
      <c r="BR11" s="709"/>
      <c r="BS11" s="709"/>
      <c r="BT11" s="709"/>
      <c r="BU11" s="709"/>
      <c r="BV11" s="709"/>
      <c r="BW11" s="709"/>
    </row>
    <row r="12" spans="2:75" x14ac:dyDescent="0.25">
      <c r="B12" s="16"/>
      <c r="C12" t="s">
        <v>424</v>
      </c>
      <c r="D12" s="19"/>
      <c r="E12" s="19">
        <v>6000</v>
      </c>
      <c r="F12" s="19"/>
      <c r="G12" s="19">
        <f t="shared" ca="1" si="0"/>
        <v>0</v>
      </c>
      <c r="H12" s="582">
        <f t="shared" ca="1" si="1"/>
        <v>0</v>
      </c>
      <c r="I12" s="541"/>
      <c r="J12" s="536" t="s">
        <v>420</v>
      </c>
      <c r="K12" s="709"/>
      <c r="L12" s="709"/>
      <c r="M12" s="709"/>
      <c r="N12" s="709"/>
      <c r="O12" s="709"/>
      <c r="P12" s="709"/>
      <c r="Q12" s="709"/>
      <c r="R12" s="709"/>
      <c r="S12" s="709"/>
      <c r="T12" s="709"/>
      <c r="U12" s="709"/>
      <c r="V12" s="709"/>
      <c r="W12" s="709"/>
      <c r="X12" s="709"/>
      <c r="Y12" s="709"/>
      <c r="Z12" s="709"/>
      <c r="AA12" s="709"/>
      <c r="AB12" s="709"/>
      <c r="AC12" s="709"/>
      <c r="AD12" s="709"/>
      <c r="AE12" s="709"/>
      <c r="AF12" s="709"/>
      <c r="AG12" s="709"/>
      <c r="AH12" s="709"/>
      <c r="AI12" s="709"/>
      <c r="AJ12" s="709"/>
      <c r="AK12" s="709"/>
      <c r="AL12" s="709"/>
      <c r="AM12" s="709"/>
      <c r="AN12" s="709"/>
      <c r="AO12" s="709"/>
      <c r="AP12" s="709"/>
      <c r="AQ12" s="709"/>
      <c r="AR12" s="709"/>
      <c r="AS12" s="709"/>
      <c r="AT12" s="709"/>
      <c r="AU12" s="709"/>
      <c r="AV12" s="709"/>
      <c r="AW12" s="709"/>
      <c r="AX12" s="709"/>
      <c r="AY12" s="709"/>
      <c r="AZ12" s="709"/>
      <c r="BA12" s="716"/>
      <c r="BB12" s="709"/>
      <c r="BC12" s="709"/>
      <c r="BD12" s="709"/>
      <c r="BE12" s="709"/>
      <c r="BF12" s="709"/>
      <c r="BG12" s="709"/>
      <c r="BH12" s="709"/>
      <c r="BI12" s="709"/>
      <c r="BJ12" s="709"/>
      <c r="BK12" s="709"/>
      <c r="BL12" s="709"/>
      <c r="BM12" s="709"/>
      <c r="BN12" s="709"/>
      <c r="BO12" s="709"/>
      <c r="BP12" s="709"/>
      <c r="BQ12" s="709"/>
      <c r="BR12" s="709"/>
      <c r="BS12" s="709"/>
      <c r="BT12" s="709"/>
      <c r="BU12" s="709"/>
      <c r="BV12" s="709"/>
      <c r="BW12" s="709"/>
    </row>
    <row r="13" spans="2:75" x14ac:dyDescent="0.25">
      <c r="B13" s="546" t="s">
        <v>425</v>
      </c>
      <c r="C13" t="s">
        <v>426</v>
      </c>
      <c r="D13" s="19"/>
      <c r="E13" s="19">
        <v>36200</v>
      </c>
      <c r="F13" s="19"/>
      <c r="G13" s="19">
        <f t="shared" ca="1" si="0"/>
        <v>0</v>
      </c>
      <c r="H13" s="582">
        <f t="shared" ca="1" si="1"/>
        <v>0</v>
      </c>
      <c r="I13" s="541"/>
      <c r="J13" s="536" t="s">
        <v>420</v>
      </c>
      <c r="K13" s="709"/>
      <c r="L13" s="709"/>
      <c r="M13" s="709"/>
      <c r="N13" s="709"/>
      <c r="O13" s="709"/>
      <c r="P13" s="709"/>
      <c r="Q13" s="709"/>
      <c r="R13" s="709"/>
      <c r="S13" s="709"/>
      <c r="T13" s="709"/>
      <c r="U13" s="709"/>
      <c r="V13" s="709"/>
      <c r="W13" s="709"/>
      <c r="X13" s="709"/>
      <c r="Y13" s="709"/>
      <c r="Z13" s="709"/>
      <c r="AA13" s="709"/>
      <c r="AB13" s="709"/>
      <c r="AC13" s="709"/>
      <c r="AD13" s="709"/>
      <c r="AE13" s="709"/>
      <c r="AF13" s="709"/>
      <c r="AG13" s="709"/>
      <c r="AH13" s="709"/>
      <c r="AI13" s="709"/>
      <c r="AJ13" s="709"/>
      <c r="AK13" s="709"/>
      <c r="AL13" s="709"/>
      <c r="AM13" s="709"/>
      <c r="AN13" s="709"/>
      <c r="AO13" s="709"/>
      <c r="AP13" s="709"/>
      <c r="AQ13" s="709"/>
      <c r="AR13" s="709"/>
      <c r="AS13" s="709"/>
      <c r="AT13" s="709"/>
      <c r="AU13" s="709"/>
      <c r="AV13" s="709"/>
      <c r="AW13" s="709"/>
      <c r="AX13" s="709"/>
      <c r="AY13" s="709"/>
      <c r="AZ13" s="709"/>
      <c r="BA13" s="716"/>
      <c r="BB13" s="709"/>
      <c r="BC13" s="709"/>
      <c r="BD13" s="709"/>
      <c r="BE13" s="709"/>
      <c r="BF13" s="709"/>
      <c r="BG13" s="709"/>
      <c r="BH13" s="709"/>
      <c r="BI13" s="709"/>
      <c r="BJ13" s="709"/>
      <c r="BK13" s="709"/>
      <c r="BL13" s="709"/>
      <c r="BM13" s="709"/>
      <c r="BN13" s="709"/>
      <c r="BO13" s="709"/>
      <c r="BP13" s="709"/>
      <c r="BQ13" s="709"/>
      <c r="BR13" s="709"/>
      <c r="BS13" s="709"/>
      <c r="BT13" s="709"/>
      <c r="BU13" s="709"/>
      <c r="BV13" s="709"/>
      <c r="BW13" s="709"/>
    </row>
    <row r="14" spans="2:75" x14ac:dyDescent="0.25">
      <c r="B14" s="641"/>
      <c r="C14" s="63" t="s">
        <v>427</v>
      </c>
      <c r="D14" s="62"/>
      <c r="E14" s="62">
        <v>8000</v>
      </c>
      <c r="F14" s="62"/>
      <c r="G14" s="62">
        <f t="shared" ca="1" si="0"/>
        <v>0</v>
      </c>
      <c r="H14" s="691">
        <f t="shared" ca="1" si="1"/>
        <v>0</v>
      </c>
      <c r="I14" s="553"/>
      <c r="J14" s="554" t="s">
        <v>420</v>
      </c>
      <c r="K14" s="709"/>
      <c r="L14" s="709"/>
      <c r="M14" s="709"/>
      <c r="N14" s="709"/>
      <c r="O14" s="709"/>
      <c r="P14" s="709"/>
      <c r="Q14" s="709"/>
      <c r="R14" s="709"/>
      <c r="S14" s="709"/>
      <c r="T14" s="709"/>
      <c r="U14" s="709"/>
      <c r="V14" s="709"/>
      <c r="W14" s="709"/>
      <c r="X14" s="709"/>
      <c r="Y14" s="709"/>
      <c r="Z14" s="709"/>
      <c r="AA14" s="709"/>
      <c r="AB14" s="709"/>
      <c r="AC14" s="709"/>
      <c r="AD14" s="709"/>
      <c r="AE14" s="709"/>
      <c r="AF14" s="709"/>
      <c r="AG14" s="709"/>
      <c r="AH14" s="709"/>
      <c r="AI14" s="709"/>
      <c r="AJ14" s="709"/>
      <c r="AK14" s="709"/>
      <c r="AL14" s="709"/>
      <c r="AM14" s="709"/>
      <c r="AN14" s="709"/>
      <c r="AO14" s="709"/>
      <c r="AP14" s="709"/>
      <c r="AQ14" s="709"/>
      <c r="AR14" s="709"/>
      <c r="AS14" s="709"/>
      <c r="AT14" s="709"/>
      <c r="AU14" s="709"/>
      <c r="AV14" s="709"/>
      <c r="AW14" s="709"/>
      <c r="AX14" s="709"/>
      <c r="AY14" s="709"/>
      <c r="AZ14" s="709"/>
      <c r="BA14" s="716"/>
      <c r="BB14" s="709"/>
      <c r="BC14" s="709"/>
      <c r="BD14" s="709"/>
      <c r="BE14" s="709"/>
      <c r="BF14" s="709"/>
      <c r="BG14" s="709"/>
      <c r="BH14" s="709"/>
      <c r="BI14" s="709"/>
      <c r="BJ14" s="709"/>
      <c r="BK14" s="709"/>
      <c r="BL14" s="709"/>
      <c r="BM14" s="709"/>
      <c r="BN14" s="709"/>
      <c r="BO14" s="709"/>
      <c r="BP14" s="709"/>
      <c r="BQ14" s="709"/>
      <c r="BR14" s="709"/>
      <c r="BS14" s="709"/>
      <c r="BT14" s="709"/>
      <c r="BU14" s="709"/>
      <c r="BV14" s="709"/>
      <c r="BW14" s="709"/>
    </row>
    <row r="15" spans="2:75" x14ac:dyDescent="0.25">
      <c r="B15" s="546" t="s">
        <v>428</v>
      </c>
      <c r="C15" t="s">
        <v>429</v>
      </c>
      <c r="D15" s="19"/>
      <c r="E15" s="19">
        <v>5600</v>
      </c>
      <c r="F15" s="19">
        <v>5300</v>
      </c>
      <c r="G15" s="19">
        <f t="shared" ca="1" si="0"/>
        <v>0</v>
      </c>
      <c r="H15" s="582">
        <f t="shared" ca="1" si="1"/>
        <v>5300</v>
      </c>
      <c r="I15" s="486" t="s">
        <v>430</v>
      </c>
      <c r="J15" s="536" t="s">
        <v>431</v>
      </c>
      <c r="K15" s="709"/>
      <c r="L15" s="709"/>
      <c r="M15" s="709"/>
      <c r="N15" s="709"/>
      <c r="O15" s="709"/>
      <c r="P15" s="709"/>
      <c r="Q15" s="709"/>
      <c r="R15" s="709"/>
      <c r="S15" s="709"/>
      <c r="T15" s="709"/>
      <c r="U15" s="709"/>
      <c r="V15" s="709"/>
      <c r="W15" s="709"/>
      <c r="X15" s="709"/>
      <c r="Y15" s="709"/>
      <c r="Z15" s="709"/>
      <c r="AA15" s="709"/>
      <c r="AB15" s="709"/>
      <c r="AC15" s="709"/>
      <c r="AD15" s="709"/>
      <c r="AE15" s="709"/>
      <c r="AF15" s="709"/>
      <c r="AG15" s="709"/>
      <c r="AH15" s="709"/>
      <c r="AI15" s="709"/>
      <c r="AJ15" s="709"/>
      <c r="AK15" s="709"/>
      <c r="AL15" s="709"/>
      <c r="AM15" s="709"/>
      <c r="AN15" s="709"/>
      <c r="AO15" s="709"/>
      <c r="AP15" s="709"/>
      <c r="AQ15" s="709"/>
      <c r="AR15" s="709"/>
      <c r="AS15" s="709"/>
      <c r="AT15" s="709"/>
      <c r="AU15" s="709"/>
      <c r="AV15" s="709"/>
      <c r="AW15" s="709"/>
      <c r="AX15" s="709"/>
      <c r="AY15" s="709"/>
      <c r="AZ15" s="709"/>
      <c r="BA15" s="716"/>
      <c r="BB15" s="709"/>
      <c r="BC15" s="709"/>
      <c r="BD15" s="709"/>
      <c r="BE15" s="709"/>
      <c r="BF15" s="709"/>
      <c r="BG15" s="709"/>
      <c r="BH15" s="709"/>
      <c r="BI15" s="709"/>
      <c r="BJ15" s="709"/>
      <c r="BK15" s="709"/>
      <c r="BL15" s="709"/>
      <c r="BM15" s="709"/>
      <c r="BN15" s="709"/>
      <c r="BO15" s="709"/>
      <c r="BP15" s="709"/>
      <c r="BQ15" s="709"/>
      <c r="BR15" s="709"/>
      <c r="BS15" s="709"/>
      <c r="BT15" s="709"/>
      <c r="BU15" s="709"/>
      <c r="BV15" s="709"/>
      <c r="BW15" s="709"/>
    </row>
    <row r="16" spans="2:75" x14ac:dyDescent="0.25">
      <c r="B16" s="546"/>
      <c r="C16" t="s">
        <v>432</v>
      </c>
      <c r="D16" s="19"/>
      <c r="E16" s="19">
        <v>2500</v>
      </c>
      <c r="F16" s="19">
        <v>2500</v>
      </c>
      <c r="G16" s="19">
        <f t="shared" ca="1" si="0"/>
        <v>0</v>
      </c>
      <c r="H16" s="582">
        <f t="shared" ca="1" si="1"/>
        <v>2500</v>
      </c>
      <c r="I16" s="486" t="s">
        <v>430</v>
      </c>
      <c r="J16" s="536" t="s">
        <v>431</v>
      </c>
      <c r="K16" s="709"/>
      <c r="L16" s="709"/>
      <c r="M16" s="709"/>
      <c r="N16" s="709"/>
      <c r="O16" s="709"/>
      <c r="P16" s="709"/>
      <c r="Q16" s="709"/>
      <c r="R16" s="709"/>
      <c r="S16" s="709"/>
      <c r="T16" s="709"/>
      <c r="U16" s="709"/>
      <c r="V16" s="709"/>
      <c r="W16" s="709"/>
      <c r="X16" s="709"/>
      <c r="Y16" s="709"/>
      <c r="Z16" s="709"/>
      <c r="AA16" s="709"/>
      <c r="AB16" s="709"/>
      <c r="AC16" s="709"/>
      <c r="AD16" s="709"/>
      <c r="AE16" s="709"/>
      <c r="AF16" s="709"/>
      <c r="AG16" s="709"/>
      <c r="AH16" s="709"/>
      <c r="AI16" s="709"/>
      <c r="AJ16" s="709"/>
      <c r="AK16" s="709"/>
      <c r="AL16" s="709"/>
      <c r="AM16" s="709"/>
      <c r="AN16" s="709"/>
      <c r="AO16" s="709"/>
      <c r="AP16" s="709"/>
      <c r="AQ16" s="709"/>
      <c r="AR16" s="709"/>
      <c r="AS16" s="709"/>
      <c r="AT16" s="709"/>
      <c r="AU16" s="709"/>
      <c r="AV16" s="709"/>
      <c r="AW16" s="709"/>
      <c r="AX16" s="709"/>
      <c r="AY16" s="709"/>
      <c r="AZ16" s="709"/>
      <c r="BA16" s="716"/>
      <c r="BB16" s="709"/>
      <c r="BC16" s="709"/>
      <c r="BD16" s="709"/>
      <c r="BE16" s="709"/>
      <c r="BF16" s="709"/>
      <c r="BG16" s="709"/>
      <c r="BH16" s="709"/>
      <c r="BI16" s="709"/>
      <c r="BJ16" s="709"/>
      <c r="BK16" s="709"/>
      <c r="BL16" s="709"/>
      <c r="BM16" s="709"/>
      <c r="BN16" s="709"/>
      <c r="BO16" s="709"/>
      <c r="BP16" s="709"/>
      <c r="BQ16" s="709"/>
      <c r="BR16" s="709"/>
      <c r="BS16" s="709"/>
      <c r="BT16" s="709"/>
      <c r="BU16" s="709"/>
      <c r="BV16" s="709"/>
      <c r="BW16" s="709"/>
    </row>
    <row r="17" spans="2:75" x14ac:dyDescent="0.25">
      <c r="B17" s="16"/>
      <c r="C17" t="s">
        <v>433</v>
      </c>
      <c r="D17" s="19"/>
      <c r="E17" s="19">
        <v>8000</v>
      </c>
      <c r="F17" s="19">
        <v>2800</v>
      </c>
      <c r="G17" s="19">
        <f t="shared" ca="1" si="0"/>
        <v>0</v>
      </c>
      <c r="H17" s="582">
        <f t="shared" ca="1" si="1"/>
        <v>2800</v>
      </c>
      <c r="I17" s="486" t="s">
        <v>430</v>
      </c>
      <c r="J17" s="536" t="s">
        <v>431</v>
      </c>
      <c r="K17" s="709"/>
      <c r="L17" s="709"/>
      <c r="M17" s="709"/>
      <c r="N17" s="709"/>
      <c r="O17" s="709"/>
      <c r="P17" s="709"/>
      <c r="Q17" s="709"/>
      <c r="R17" s="709"/>
      <c r="S17" s="709"/>
      <c r="T17" s="709"/>
      <c r="U17" s="709"/>
      <c r="V17" s="709"/>
      <c r="W17" s="709"/>
      <c r="X17" s="709"/>
      <c r="Y17" s="709"/>
      <c r="Z17" s="709"/>
      <c r="AA17" s="709"/>
      <c r="AB17" s="709"/>
      <c r="AC17" s="709"/>
      <c r="AD17" s="709"/>
      <c r="AE17" s="709"/>
      <c r="AF17" s="709"/>
      <c r="AG17" s="709"/>
      <c r="AH17" s="709"/>
      <c r="AI17" s="709"/>
      <c r="AJ17" s="709"/>
      <c r="AK17" s="709"/>
      <c r="AL17" s="709"/>
      <c r="AM17" s="709"/>
      <c r="AN17" s="709"/>
      <c r="AO17" s="709"/>
      <c r="AP17" s="709"/>
      <c r="AQ17" s="709"/>
      <c r="AR17" s="709"/>
      <c r="AS17" s="709"/>
      <c r="AT17" s="709"/>
      <c r="AU17" s="709"/>
      <c r="AV17" s="709"/>
      <c r="AW17" s="709"/>
      <c r="AX17" s="709"/>
      <c r="AY17" s="709"/>
      <c r="AZ17" s="709"/>
      <c r="BA17" s="716"/>
      <c r="BB17" s="709"/>
      <c r="BC17" s="709"/>
      <c r="BD17" s="709"/>
      <c r="BE17" s="709"/>
      <c r="BF17" s="709"/>
      <c r="BG17" s="709"/>
      <c r="BH17" s="709"/>
      <c r="BI17" s="709"/>
      <c r="BJ17" s="709"/>
      <c r="BK17" s="709"/>
      <c r="BL17" s="709"/>
      <c r="BM17" s="709"/>
      <c r="BN17" s="709"/>
      <c r="BO17" s="709"/>
      <c r="BP17" s="709"/>
      <c r="BQ17" s="709"/>
      <c r="BR17" s="709"/>
      <c r="BS17" s="709"/>
      <c r="BT17" s="709"/>
      <c r="BU17" s="709"/>
      <c r="BV17" s="709"/>
      <c r="BW17" s="709"/>
    </row>
    <row r="18" spans="2:75" x14ac:dyDescent="0.25">
      <c r="B18" s="16"/>
      <c r="C18" t="s">
        <v>434</v>
      </c>
      <c r="D18" s="19"/>
      <c r="E18" s="19">
        <v>16500</v>
      </c>
      <c r="F18" s="19">
        <v>8500</v>
      </c>
      <c r="G18" s="19">
        <f t="shared" ca="1" si="0"/>
        <v>0</v>
      </c>
      <c r="H18" s="582">
        <f t="shared" ca="1" si="1"/>
        <v>8500</v>
      </c>
      <c r="I18" s="486" t="s">
        <v>430</v>
      </c>
      <c r="J18" s="536" t="s">
        <v>431</v>
      </c>
      <c r="K18" s="709"/>
      <c r="L18" s="709"/>
      <c r="M18" s="709"/>
      <c r="N18" s="709"/>
      <c r="O18" s="709"/>
      <c r="P18" s="709"/>
      <c r="Q18" s="709"/>
      <c r="R18" s="709"/>
      <c r="S18" s="709"/>
      <c r="T18" s="709"/>
      <c r="U18" s="709"/>
      <c r="V18" s="709"/>
      <c r="W18" s="709"/>
      <c r="X18" s="709"/>
      <c r="Y18" s="709"/>
      <c r="Z18" s="709"/>
      <c r="AA18" s="709"/>
      <c r="AB18" s="709"/>
      <c r="AC18" s="709"/>
      <c r="AD18" s="709"/>
      <c r="AE18" s="709"/>
      <c r="AF18" s="709"/>
      <c r="AG18" s="709"/>
      <c r="AH18" s="709"/>
      <c r="AI18" s="709"/>
      <c r="AJ18" s="709"/>
      <c r="AK18" s="709"/>
      <c r="AL18" s="709"/>
      <c r="AM18" s="709"/>
      <c r="AN18" s="709"/>
      <c r="AO18" s="709"/>
      <c r="AP18" s="709"/>
      <c r="AQ18" s="709"/>
      <c r="AR18" s="709"/>
      <c r="AS18" s="709"/>
      <c r="AT18" s="709"/>
      <c r="AU18" s="709"/>
      <c r="AV18" s="709"/>
      <c r="AW18" s="709"/>
      <c r="AX18" s="709"/>
      <c r="AY18" s="709"/>
      <c r="AZ18" s="709"/>
      <c r="BA18" s="716"/>
      <c r="BB18" s="709"/>
      <c r="BC18" s="709"/>
      <c r="BD18" s="709"/>
      <c r="BE18" s="709"/>
      <c r="BF18" s="709"/>
      <c r="BG18" s="709"/>
      <c r="BH18" s="709"/>
      <c r="BI18" s="709"/>
      <c r="BJ18" s="709"/>
      <c r="BK18" s="709"/>
      <c r="BL18" s="709"/>
      <c r="BM18" s="709"/>
      <c r="BN18" s="709"/>
      <c r="BO18" s="709"/>
      <c r="BP18" s="709"/>
      <c r="BQ18" s="709"/>
      <c r="BR18" s="709"/>
      <c r="BS18" s="709"/>
      <c r="BT18" s="709"/>
      <c r="BU18" s="709"/>
      <c r="BV18" s="709"/>
      <c r="BW18" s="709"/>
    </row>
    <row r="19" spans="2:75" x14ac:dyDescent="0.25">
      <c r="B19" s="16"/>
      <c r="C19" t="s">
        <v>435</v>
      </c>
      <c r="D19" s="19"/>
      <c r="E19" s="19">
        <v>31000</v>
      </c>
      <c r="F19" s="19">
        <v>21700</v>
      </c>
      <c r="G19" s="19">
        <f t="shared" ca="1" si="0"/>
        <v>0</v>
      </c>
      <c r="H19" s="582">
        <f t="shared" ca="1" si="1"/>
        <v>21700</v>
      </c>
      <c r="I19" s="486" t="s">
        <v>430</v>
      </c>
      <c r="J19" s="536" t="s">
        <v>431</v>
      </c>
      <c r="K19" s="709"/>
      <c r="L19" s="709"/>
      <c r="M19" s="709"/>
      <c r="N19" s="709"/>
      <c r="O19" s="709"/>
      <c r="P19" s="709"/>
      <c r="Q19" s="709"/>
      <c r="R19" s="709"/>
      <c r="S19" s="709"/>
      <c r="T19" s="709"/>
      <c r="U19" s="709"/>
      <c r="V19" s="709"/>
      <c r="W19" s="709"/>
      <c r="X19" s="709"/>
      <c r="Y19" s="709"/>
      <c r="Z19" s="709"/>
      <c r="AA19" s="709"/>
      <c r="AB19" s="709"/>
      <c r="AC19" s="709"/>
      <c r="AD19" s="709"/>
      <c r="AE19" s="709"/>
      <c r="AF19" s="709"/>
      <c r="AG19" s="709"/>
      <c r="AH19" s="709"/>
      <c r="AI19" s="709"/>
      <c r="AJ19" s="709"/>
      <c r="AK19" s="709"/>
      <c r="AL19" s="709"/>
      <c r="AM19" s="709"/>
      <c r="AN19" s="709"/>
      <c r="AO19" s="709"/>
      <c r="AP19" s="709"/>
      <c r="AQ19" s="709"/>
      <c r="AR19" s="709"/>
      <c r="AS19" s="709"/>
      <c r="AT19" s="709"/>
      <c r="AU19" s="709"/>
      <c r="AV19" s="709"/>
      <c r="AW19" s="709"/>
      <c r="AX19" s="709"/>
      <c r="AY19" s="709"/>
      <c r="AZ19" s="709"/>
      <c r="BA19" s="716"/>
      <c r="BB19" s="709"/>
      <c r="BC19" s="709"/>
      <c r="BD19" s="709"/>
      <c r="BE19" s="709"/>
      <c r="BF19" s="709"/>
      <c r="BG19" s="709"/>
      <c r="BH19" s="709"/>
      <c r="BI19" s="709"/>
      <c r="BJ19" s="709"/>
      <c r="BK19" s="709"/>
      <c r="BL19" s="709"/>
      <c r="BM19" s="709"/>
      <c r="BN19" s="709"/>
      <c r="BO19" s="709"/>
      <c r="BP19" s="709"/>
      <c r="BQ19" s="709"/>
      <c r="BR19" s="709"/>
      <c r="BS19" s="709"/>
      <c r="BT19" s="709"/>
      <c r="BU19" s="709"/>
      <c r="BV19" s="709"/>
      <c r="BW19" s="709"/>
    </row>
    <row r="20" spans="2:75" x14ac:dyDescent="0.25">
      <c r="B20" s="16"/>
      <c r="C20" t="s">
        <v>436</v>
      </c>
      <c r="D20" s="19"/>
      <c r="E20" s="19">
        <v>8450</v>
      </c>
      <c r="F20" s="19">
        <v>2000</v>
      </c>
      <c r="G20" s="19">
        <f t="shared" ca="1" si="0"/>
        <v>0</v>
      </c>
      <c r="H20" s="582">
        <f t="shared" ca="1" si="1"/>
        <v>2000</v>
      </c>
      <c r="I20" s="486" t="s">
        <v>430</v>
      </c>
      <c r="J20" s="536" t="s">
        <v>431</v>
      </c>
      <c r="K20" s="709"/>
      <c r="L20" s="709"/>
      <c r="M20" s="709"/>
      <c r="N20" s="709"/>
      <c r="O20" s="709"/>
      <c r="P20" s="709"/>
      <c r="Q20" s="709"/>
      <c r="R20" s="709"/>
      <c r="S20" s="709"/>
      <c r="T20" s="709"/>
      <c r="U20" s="709"/>
      <c r="V20" s="709"/>
      <c r="W20" s="709"/>
      <c r="X20" s="709"/>
      <c r="Y20" s="709"/>
      <c r="Z20" s="709"/>
      <c r="AA20" s="709"/>
      <c r="AB20" s="709"/>
      <c r="AC20" s="709"/>
      <c r="AD20" s="709"/>
      <c r="AE20" s="709"/>
      <c r="AF20" s="709"/>
      <c r="AG20" s="709"/>
      <c r="AH20" s="709"/>
      <c r="AI20" s="709"/>
      <c r="AJ20" s="709"/>
      <c r="AK20" s="709"/>
      <c r="AL20" s="709"/>
      <c r="AM20" s="709"/>
      <c r="AN20" s="709"/>
      <c r="AO20" s="709"/>
      <c r="AP20" s="709"/>
      <c r="AQ20" s="709"/>
      <c r="AR20" s="709"/>
      <c r="AS20" s="709"/>
      <c r="AT20" s="709"/>
      <c r="AU20" s="709"/>
      <c r="AV20" s="709"/>
      <c r="AW20" s="709"/>
      <c r="AX20" s="709"/>
      <c r="AY20" s="709"/>
      <c r="AZ20" s="709"/>
      <c r="BA20" s="716"/>
      <c r="BB20" s="709"/>
      <c r="BC20" s="709"/>
      <c r="BD20" s="709"/>
      <c r="BE20" s="709"/>
      <c r="BF20" s="709"/>
      <c r="BG20" s="709"/>
      <c r="BH20" s="709"/>
      <c r="BI20" s="709"/>
      <c r="BJ20" s="709"/>
      <c r="BK20" s="709"/>
      <c r="BL20" s="709"/>
      <c r="BM20" s="709"/>
      <c r="BN20" s="709"/>
      <c r="BO20" s="709"/>
      <c r="BP20" s="709"/>
      <c r="BQ20" s="709"/>
      <c r="BR20" s="709"/>
      <c r="BS20" s="709"/>
      <c r="BT20" s="709"/>
      <c r="BU20" s="709"/>
      <c r="BV20" s="709"/>
      <c r="BW20" s="709"/>
    </row>
    <row r="21" spans="2:75" x14ac:dyDescent="0.25">
      <c r="B21" s="16"/>
      <c r="C21" t="s">
        <v>437</v>
      </c>
      <c r="D21" s="19"/>
      <c r="E21" s="19">
        <v>5000</v>
      </c>
      <c r="F21" s="19">
        <v>2500</v>
      </c>
      <c r="G21" s="19">
        <f t="shared" ca="1" si="0"/>
        <v>0</v>
      </c>
      <c r="H21" s="582">
        <f t="shared" ca="1" si="1"/>
        <v>2500</v>
      </c>
      <c r="I21" s="486" t="s">
        <v>430</v>
      </c>
      <c r="J21" s="536" t="s">
        <v>431</v>
      </c>
      <c r="K21" s="709"/>
      <c r="L21" s="709"/>
      <c r="M21" s="709"/>
      <c r="N21" s="709"/>
      <c r="O21" s="709"/>
      <c r="P21" s="709"/>
      <c r="Q21" s="709"/>
      <c r="R21" s="709"/>
      <c r="S21" s="709"/>
      <c r="T21" s="709"/>
      <c r="U21" s="709"/>
      <c r="V21" s="709"/>
      <c r="W21" s="709"/>
      <c r="X21" s="709"/>
      <c r="Y21" s="709"/>
      <c r="Z21" s="709"/>
      <c r="AA21" s="709"/>
      <c r="AB21" s="709"/>
      <c r="AC21" s="709"/>
      <c r="AD21" s="709"/>
      <c r="AE21" s="709"/>
      <c r="AF21" s="709"/>
      <c r="AG21" s="709"/>
      <c r="AH21" s="709"/>
      <c r="AI21" s="709"/>
      <c r="AJ21" s="709"/>
      <c r="AK21" s="709"/>
      <c r="AL21" s="709"/>
      <c r="AM21" s="709"/>
      <c r="AN21" s="709"/>
      <c r="AO21" s="709"/>
      <c r="AP21" s="709"/>
      <c r="AQ21" s="709"/>
      <c r="AR21" s="709"/>
      <c r="AS21" s="709"/>
      <c r="AT21" s="709"/>
      <c r="AU21" s="709"/>
      <c r="AV21" s="709"/>
      <c r="AW21" s="709"/>
      <c r="AX21" s="709"/>
      <c r="AY21" s="709"/>
      <c r="AZ21" s="709"/>
      <c r="BA21" s="716"/>
      <c r="BB21" s="709"/>
      <c r="BC21" s="709"/>
      <c r="BD21" s="709"/>
      <c r="BE21" s="709"/>
      <c r="BF21" s="709"/>
      <c r="BG21" s="709"/>
      <c r="BH21" s="709"/>
      <c r="BI21" s="709"/>
      <c r="BJ21" s="709"/>
      <c r="BK21" s="709"/>
      <c r="BL21" s="709"/>
      <c r="BM21" s="709"/>
      <c r="BN21" s="709"/>
      <c r="BO21" s="709"/>
      <c r="BP21" s="709"/>
      <c r="BQ21" s="709"/>
      <c r="BR21" s="709"/>
      <c r="BS21" s="709"/>
      <c r="BT21" s="709"/>
      <c r="BU21" s="709"/>
      <c r="BV21" s="709"/>
      <c r="BW21" s="709"/>
    </row>
    <row r="22" spans="2:75" x14ac:dyDescent="0.25">
      <c r="B22" s="16"/>
      <c r="C22" t="s">
        <v>438</v>
      </c>
      <c r="D22" s="19"/>
      <c r="E22" s="19">
        <v>10000</v>
      </c>
      <c r="F22" s="19"/>
      <c r="G22" s="19">
        <f t="shared" ca="1" si="0"/>
        <v>0</v>
      </c>
      <c r="H22" s="582">
        <f t="shared" ca="1" si="1"/>
        <v>0</v>
      </c>
      <c r="I22" s="541"/>
      <c r="J22" s="536" t="s">
        <v>431</v>
      </c>
      <c r="K22" s="709"/>
      <c r="L22" s="709"/>
      <c r="M22" s="709"/>
      <c r="N22" s="709"/>
      <c r="O22" s="709"/>
      <c r="P22" s="709"/>
      <c r="Q22" s="709"/>
      <c r="R22" s="709"/>
      <c r="S22" s="709"/>
      <c r="T22" s="709"/>
      <c r="U22" s="709"/>
      <c r="V22" s="709"/>
      <c r="W22" s="709"/>
      <c r="X22" s="709"/>
      <c r="Y22" s="709"/>
      <c r="Z22" s="709"/>
      <c r="AA22" s="709"/>
      <c r="AB22" s="709"/>
      <c r="AC22" s="709"/>
      <c r="AD22" s="709"/>
      <c r="AE22" s="709"/>
      <c r="AF22" s="709"/>
      <c r="AG22" s="709"/>
      <c r="AH22" s="709"/>
      <c r="AI22" s="709"/>
      <c r="AJ22" s="709"/>
      <c r="AK22" s="709"/>
      <c r="AL22" s="709"/>
      <c r="AM22" s="709"/>
      <c r="AN22" s="709"/>
      <c r="AO22" s="709"/>
      <c r="AP22" s="709"/>
      <c r="AQ22" s="709"/>
      <c r="AR22" s="709"/>
      <c r="AS22" s="709"/>
      <c r="AT22" s="709"/>
      <c r="AU22" s="709"/>
      <c r="AV22" s="709"/>
      <c r="AW22" s="709"/>
      <c r="AX22" s="709"/>
      <c r="AY22" s="709"/>
      <c r="AZ22" s="709"/>
      <c r="BA22" s="716"/>
      <c r="BB22" s="709"/>
      <c r="BC22" s="709"/>
      <c r="BD22" s="709"/>
      <c r="BE22" s="709"/>
      <c r="BF22" s="709"/>
      <c r="BG22" s="709"/>
      <c r="BH22" s="709"/>
      <c r="BI22" s="709"/>
      <c r="BJ22" s="709"/>
      <c r="BK22" s="709"/>
      <c r="BL22" s="709"/>
      <c r="BM22" s="709"/>
      <c r="BN22" s="709"/>
      <c r="BO22" s="709"/>
      <c r="BP22" s="709"/>
      <c r="BQ22" s="709"/>
      <c r="BR22" s="709"/>
      <c r="BS22" s="709"/>
      <c r="BT22" s="709"/>
      <c r="BU22" s="709"/>
      <c r="BV22" s="709"/>
      <c r="BW22" s="709"/>
    </row>
    <row r="23" spans="2:75" x14ac:dyDescent="0.25">
      <c r="B23" s="16"/>
      <c r="C23" t="s">
        <v>439</v>
      </c>
      <c r="D23" s="19"/>
      <c r="E23" s="19">
        <v>2500</v>
      </c>
      <c r="F23" s="19"/>
      <c r="G23" s="19">
        <f t="shared" ca="1" si="0"/>
        <v>0</v>
      </c>
      <c r="H23" s="582">
        <f t="shared" ca="1" si="1"/>
        <v>0</v>
      </c>
      <c r="I23" s="541"/>
      <c r="J23" s="536" t="s">
        <v>431</v>
      </c>
      <c r="K23" s="709"/>
      <c r="L23" s="709"/>
      <c r="M23" s="709"/>
      <c r="N23" s="709"/>
      <c r="O23" s="709"/>
      <c r="P23" s="709"/>
      <c r="Q23" s="709"/>
      <c r="R23" s="709"/>
      <c r="S23" s="709"/>
      <c r="T23" s="709"/>
      <c r="U23" s="709"/>
      <c r="V23" s="709"/>
      <c r="W23" s="709"/>
      <c r="X23" s="709"/>
      <c r="Y23" s="709"/>
      <c r="Z23" s="709"/>
      <c r="AA23" s="709"/>
      <c r="AB23" s="709"/>
      <c r="AC23" s="709"/>
      <c r="AD23" s="709"/>
      <c r="AE23" s="709"/>
      <c r="AF23" s="709"/>
      <c r="AG23" s="709"/>
      <c r="AH23" s="709"/>
      <c r="AI23" s="709"/>
      <c r="AJ23" s="709"/>
      <c r="AK23" s="709"/>
      <c r="AL23" s="709"/>
      <c r="AM23" s="709"/>
      <c r="AN23" s="709"/>
      <c r="AO23" s="709"/>
      <c r="AP23" s="709"/>
      <c r="AQ23" s="709"/>
      <c r="AR23" s="709"/>
      <c r="AS23" s="709"/>
      <c r="AT23" s="709"/>
      <c r="AU23" s="709"/>
      <c r="AV23" s="709"/>
      <c r="AW23" s="709"/>
      <c r="AX23" s="709"/>
      <c r="AY23" s="709"/>
      <c r="AZ23" s="709"/>
      <c r="BA23" s="716"/>
      <c r="BB23" s="709"/>
      <c r="BC23" s="709"/>
      <c r="BD23" s="709"/>
      <c r="BE23" s="709"/>
      <c r="BF23" s="709"/>
      <c r="BG23" s="709"/>
      <c r="BH23" s="709"/>
      <c r="BI23" s="709"/>
      <c r="BJ23" s="709"/>
      <c r="BK23" s="709"/>
      <c r="BL23" s="709"/>
      <c r="BM23" s="709"/>
      <c r="BN23" s="709"/>
      <c r="BO23" s="709"/>
      <c r="BP23" s="709"/>
      <c r="BQ23" s="709"/>
      <c r="BR23" s="709"/>
      <c r="BS23" s="709"/>
      <c r="BT23" s="709"/>
      <c r="BU23" s="709"/>
      <c r="BV23" s="709"/>
      <c r="BW23" s="709"/>
    </row>
    <row r="24" spans="2:75" x14ac:dyDescent="0.25">
      <c r="B24" s="16"/>
      <c r="C24" t="s">
        <v>440</v>
      </c>
      <c r="D24" s="19"/>
      <c r="E24" s="19">
        <v>15000</v>
      </c>
      <c r="F24" s="19"/>
      <c r="G24" s="19">
        <f t="shared" ca="1" si="0"/>
        <v>0</v>
      </c>
      <c r="H24" s="582">
        <f t="shared" ca="1" si="1"/>
        <v>0</v>
      </c>
      <c r="I24" s="541"/>
      <c r="J24" s="536" t="s">
        <v>431</v>
      </c>
      <c r="K24" s="709"/>
      <c r="L24" s="709"/>
      <c r="M24" s="709"/>
      <c r="N24" s="709"/>
      <c r="O24" s="709"/>
      <c r="P24" s="709"/>
      <c r="Q24" s="709"/>
      <c r="R24" s="709"/>
      <c r="S24" s="709"/>
      <c r="T24" s="709"/>
      <c r="U24" s="709"/>
      <c r="V24" s="709"/>
      <c r="W24" s="709"/>
      <c r="X24" s="709"/>
      <c r="Y24" s="709"/>
      <c r="Z24" s="709"/>
      <c r="AA24" s="709"/>
      <c r="AB24" s="709"/>
      <c r="AC24" s="709"/>
      <c r="AD24" s="709"/>
      <c r="AE24" s="709"/>
      <c r="AF24" s="709"/>
      <c r="AG24" s="709"/>
      <c r="AH24" s="709"/>
      <c r="AI24" s="709"/>
      <c r="AJ24" s="709"/>
      <c r="AK24" s="709"/>
      <c r="AL24" s="709"/>
      <c r="AM24" s="709"/>
      <c r="AN24" s="709"/>
      <c r="AO24" s="709"/>
      <c r="AP24" s="709"/>
      <c r="AQ24" s="709"/>
      <c r="AR24" s="709"/>
      <c r="AS24" s="709"/>
      <c r="AT24" s="709"/>
      <c r="AU24" s="709"/>
      <c r="AV24" s="709"/>
      <c r="AW24" s="709"/>
      <c r="AX24" s="709"/>
      <c r="AY24" s="709"/>
      <c r="AZ24" s="709"/>
      <c r="BA24" s="716"/>
      <c r="BB24" s="709"/>
      <c r="BC24" s="709"/>
      <c r="BD24" s="709"/>
      <c r="BE24" s="709"/>
      <c r="BF24" s="709"/>
      <c r="BG24" s="709"/>
      <c r="BH24" s="709"/>
      <c r="BI24" s="709"/>
      <c r="BJ24" s="709"/>
      <c r="BK24" s="709"/>
      <c r="BL24" s="709"/>
      <c r="BM24" s="709"/>
      <c r="BN24" s="709"/>
      <c r="BO24" s="709"/>
      <c r="BP24" s="709"/>
      <c r="BQ24" s="709"/>
      <c r="BR24" s="709"/>
      <c r="BS24" s="709"/>
      <c r="BT24" s="709"/>
      <c r="BU24" s="709"/>
      <c r="BV24" s="709"/>
      <c r="BW24" s="709"/>
    </row>
    <row r="25" spans="2:75" x14ac:dyDescent="0.25">
      <c r="B25" s="16"/>
      <c r="C25" t="s">
        <v>441</v>
      </c>
      <c r="D25" s="19"/>
      <c r="E25" s="19">
        <v>5000</v>
      </c>
      <c r="F25" s="19"/>
      <c r="G25" s="19">
        <f t="shared" ca="1" si="0"/>
        <v>0</v>
      </c>
      <c r="H25" s="582">
        <f t="shared" ca="1" si="1"/>
        <v>0</v>
      </c>
      <c r="I25" s="541"/>
      <c r="J25" s="536" t="s">
        <v>431</v>
      </c>
      <c r="K25" s="709"/>
      <c r="L25" s="709"/>
      <c r="M25" s="709"/>
      <c r="N25" s="709"/>
      <c r="O25" s="709"/>
      <c r="P25" s="709"/>
      <c r="Q25" s="709"/>
      <c r="R25" s="709"/>
      <c r="S25" s="709"/>
      <c r="T25" s="709"/>
      <c r="U25" s="709"/>
      <c r="V25" s="709"/>
      <c r="W25" s="709"/>
      <c r="X25" s="709"/>
      <c r="Y25" s="709"/>
      <c r="Z25" s="709"/>
      <c r="AA25" s="709"/>
      <c r="AB25" s="709"/>
      <c r="AC25" s="709"/>
      <c r="AD25" s="709"/>
      <c r="AE25" s="709"/>
      <c r="AF25" s="709"/>
      <c r="AG25" s="709"/>
      <c r="AH25" s="709"/>
      <c r="AI25" s="709"/>
      <c r="AJ25" s="709"/>
      <c r="AK25" s="709"/>
      <c r="AL25" s="709"/>
      <c r="AM25" s="709"/>
      <c r="AN25" s="709"/>
      <c r="AO25" s="709"/>
      <c r="AP25" s="709"/>
      <c r="AQ25" s="709"/>
      <c r="AR25" s="709"/>
      <c r="AS25" s="709"/>
      <c r="AT25" s="709"/>
      <c r="AU25" s="709"/>
      <c r="AV25" s="709"/>
      <c r="AW25" s="709"/>
      <c r="AX25" s="709"/>
      <c r="AY25" s="709"/>
      <c r="AZ25" s="709"/>
      <c r="BA25" s="716"/>
      <c r="BB25" s="709"/>
      <c r="BC25" s="709"/>
      <c r="BD25" s="709"/>
      <c r="BE25" s="709"/>
      <c r="BF25" s="709"/>
      <c r="BG25" s="709"/>
      <c r="BH25" s="709"/>
      <c r="BI25" s="709"/>
      <c r="BJ25" s="709"/>
      <c r="BK25" s="709"/>
      <c r="BL25" s="709"/>
      <c r="BM25" s="709"/>
      <c r="BN25" s="709"/>
      <c r="BO25" s="709"/>
      <c r="BP25" s="709"/>
      <c r="BQ25" s="709"/>
      <c r="BR25" s="709"/>
      <c r="BS25" s="709"/>
      <c r="BT25" s="709"/>
      <c r="BU25" s="709"/>
      <c r="BV25" s="709"/>
      <c r="BW25" s="709"/>
    </row>
    <row r="26" spans="2:75" x14ac:dyDescent="0.25">
      <c r="B26" s="16"/>
      <c r="C26" t="s">
        <v>442</v>
      </c>
      <c r="D26" s="19"/>
      <c r="E26" s="19">
        <v>2000</v>
      </c>
      <c r="F26" s="19"/>
      <c r="G26" s="19">
        <f t="shared" ca="1" si="0"/>
        <v>0</v>
      </c>
      <c r="H26" s="582">
        <f t="shared" ca="1" si="1"/>
        <v>0</v>
      </c>
      <c r="I26" s="541"/>
      <c r="J26" s="536" t="s">
        <v>431</v>
      </c>
      <c r="K26" s="709"/>
      <c r="L26" s="709"/>
      <c r="M26" s="709"/>
      <c r="N26" s="709"/>
      <c r="O26" s="709"/>
      <c r="P26" s="709"/>
      <c r="Q26" s="709"/>
      <c r="R26" s="709"/>
      <c r="S26" s="709"/>
      <c r="T26" s="709"/>
      <c r="U26" s="709"/>
      <c r="V26" s="709"/>
      <c r="W26" s="709"/>
      <c r="X26" s="709"/>
      <c r="Y26" s="709"/>
      <c r="Z26" s="709"/>
      <c r="AA26" s="709"/>
      <c r="AB26" s="709"/>
      <c r="AC26" s="709"/>
      <c r="AD26" s="709"/>
      <c r="AE26" s="709"/>
      <c r="AF26" s="709"/>
      <c r="AG26" s="709"/>
      <c r="AH26" s="709"/>
      <c r="AI26" s="709"/>
      <c r="AJ26" s="709"/>
      <c r="AK26" s="709"/>
      <c r="AL26" s="709"/>
      <c r="AM26" s="709"/>
      <c r="AN26" s="709"/>
      <c r="AO26" s="709"/>
      <c r="AP26" s="709"/>
      <c r="AQ26" s="709"/>
      <c r="AR26" s="709"/>
      <c r="AS26" s="709"/>
      <c r="AT26" s="709"/>
      <c r="AU26" s="709"/>
      <c r="AV26" s="709"/>
      <c r="AW26" s="709"/>
      <c r="AX26" s="709"/>
      <c r="AY26" s="709"/>
      <c r="AZ26" s="709"/>
      <c r="BA26" s="716"/>
      <c r="BB26" s="709"/>
      <c r="BC26" s="709"/>
      <c r="BD26" s="709"/>
      <c r="BE26" s="709"/>
      <c r="BF26" s="709"/>
      <c r="BG26" s="709"/>
      <c r="BH26" s="709"/>
      <c r="BI26" s="709"/>
      <c r="BJ26" s="709"/>
      <c r="BK26" s="709"/>
      <c r="BL26" s="709"/>
      <c r="BM26" s="709"/>
      <c r="BN26" s="709"/>
      <c r="BO26" s="709"/>
      <c r="BP26" s="709"/>
      <c r="BQ26" s="709"/>
      <c r="BR26" s="709"/>
      <c r="BS26" s="709"/>
      <c r="BT26" s="709"/>
      <c r="BU26" s="709"/>
      <c r="BV26" s="709"/>
      <c r="BW26" s="709"/>
    </row>
    <row r="27" spans="2:75" x14ac:dyDescent="0.25">
      <c r="B27" s="16"/>
      <c r="C27" t="s">
        <v>443</v>
      </c>
      <c r="D27" s="19"/>
      <c r="E27" s="19">
        <v>3500</v>
      </c>
      <c r="F27" s="19"/>
      <c r="G27" s="19">
        <f t="shared" ca="1" si="0"/>
        <v>0</v>
      </c>
      <c r="H27" s="582">
        <f t="shared" ca="1" si="1"/>
        <v>0</v>
      </c>
      <c r="I27" s="541"/>
      <c r="J27" s="536" t="s">
        <v>431</v>
      </c>
      <c r="K27" s="709"/>
      <c r="L27" s="709"/>
      <c r="M27" s="709"/>
      <c r="N27" s="709"/>
      <c r="O27" s="709"/>
      <c r="P27" s="709"/>
      <c r="Q27" s="709"/>
      <c r="R27" s="709"/>
      <c r="S27" s="709"/>
      <c r="T27" s="709"/>
      <c r="U27" s="709"/>
      <c r="V27" s="709"/>
      <c r="W27" s="709"/>
      <c r="X27" s="709"/>
      <c r="Y27" s="709"/>
      <c r="Z27" s="709"/>
      <c r="AA27" s="709"/>
      <c r="AB27" s="709"/>
      <c r="AC27" s="709"/>
      <c r="AD27" s="709"/>
      <c r="AE27" s="709"/>
      <c r="AF27" s="709"/>
      <c r="AG27" s="709"/>
      <c r="AH27" s="709"/>
      <c r="AI27" s="709"/>
      <c r="AJ27" s="709"/>
      <c r="AK27" s="709"/>
      <c r="AL27" s="709"/>
      <c r="AM27" s="709"/>
      <c r="AN27" s="709"/>
      <c r="AO27" s="709"/>
      <c r="AP27" s="709"/>
      <c r="AQ27" s="709"/>
      <c r="AR27" s="709"/>
      <c r="AS27" s="709"/>
      <c r="AT27" s="709"/>
      <c r="AU27" s="709"/>
      <c r="AV27" s="709"/>
      <c r="AW27" s="709"/>
      <c r="AX27" s="709"/>
      <c r="AY27" s="709"/>
      <c r="AZ27" s="709"/>
      <c r="BA27" s="716"/>
      <c r="BB27" s="709"/>
      <c r="BC27" s="709"/>
      <c r="BD27" s="709"/>
      <c r="BE27" s="709"/>
      <c r="BF27" s="709"/>
      <c r="BG27" s="709"/>
      <c r="BH27" s="709"/>
      <c r="BI27" s="709"/>
      <c r="BJ27" s="709"/>
      <c r="BK27" s="709"/>
      <c r="BL27" s="709"/>
      <c r="BM27" s="709"/>
      <c r="BN27" s="709"/>
      <c r="BO27" s="709"/>
      <c r="BP27" s="709"/>
      <c r="BQ27" s="709"/>
      <c r="BR27" s="709"/>
      <c r="BS27" s="709"/>
      <c r="BT27" s="709"/>
      <c r="BU27" s="709"/>
      <c r="BV27" s="709"/>
      <c r="BW27" s="709"/>
    </row>
    <row r="28" spans="2:75" x14ac:dyDescent="0.25">
      <c r="B28" s="16"/>
      <c r="C28" t="s">
        <v>444</v>
      </c>
      <c r="D28" s="19"/>
      <c r="E28" s="19">
        <v>4500</v>
      </c>
      <c r="F28" s="19"/>
      <c r="G28" s="19">
        <f t="shared" ca="1" si="0"/>
        <v>0</v>
      </c>
      <c r="H28" s="582">
        <f t="shared" ca="1" si="1"/>
        <v>0</v>
      </c>
      <c r="I28" s="541"/>
      <c r="J28" s="536" t="s">
        <v>431</v>
      </c>
      <c r="K28" s="709"/>
      <c r="L28" s="709"/>
      <c r="M28" s="709"/>
      <c r="N28" s="709"/>
      <c r="O28" s="709"/>
      <c r="P28" s="709"/>
      <c r="Q28" s="709"/>
      <c r="R28" s="709"/>
      <c r="S28" s="709"/>
      <c r="T28" s="709"/>
      <c r="U28" s="709"/>
      <c r="V28" s="709"/>
      <c r="W28" s="709"/>
      <c r="X28" s="709"/>
      <c r="Y28" s="709"/>
      <c r="Z28" s="709"/>
      <c r="AA28" s="709"/>
      <c r="AB28" s="709"/>
      <c r="AC28" s="709"/>
      <c r="AD28" s="709"/>
      <c r="AE28" s="709"/>
      <c r="AF28" s="709"/>
      <c r="AG28" s="709"/>
      <c r="AH28" s="709"/>
      <c r="AI28" s="709"/>
      <c r="AJ28" s="709"/>
      <c r="AK28" s="709"/>
      <c r="AL28" s="709"/>
      <c r="AM28" s="709"/>
      <c r="AN28" s="709"/>
      <c r="AO28" s="709"/>
      <c r="AP28" s="709"/>
      <c r="AQ28" s="709"/>
      <c r="AR28" s="709"/>
      <c r="AS28" s="709"/>
      <c r="AT28" s="709"/>
      <c r="AU28" s="709"/>
      <c r="AV28" s="709"/>
      <c r="AW28" s="709"/>
      <c r="AX28" s="709"/>
      <c r="AY28" s="709"/>
      <c r="AZ28" s="709"/>
      <c r="BA28" s="716"/>
      <c r="BB28" s="709"/>
      <c r="BC28" s="709"/>
      <c r="BD28" s="709"/>
      <c r="BE28" s="709"/>
      <c r="BF28" s="709"/>
      <c r="BG28" s="709"/>
      <c r="BH28" s="709"/>
      <c r="BI28" s="709"/>
      <c r="BJ28" s="709"/>
      <c r="BK28" s="709"/>
      <c r="BL28" s="709"/>
      <c r="BM28" s="709"/>
      <c r="BN28" s="709"/>
      <c r="BO28" s="709"/>
      <c r="BP28" s="709"/>
      <c r="BQ28" s="709"/>
      <c r="BR28" s="709"/>
      <c r="BS28" s="709"/>
      <c r="BT28" s="709"/>
      <c r="BU28" s="709"/>
      <c r="BV28" s="709"/>
      <c r="BW28" s="709"/>
    </row>
    <row r="29" spans="2:75" x14ac:dyDescent="0.25">
      <c r="B29" s="546" t="s">
        <v>445</v>
      </c>
      <c r="C29" t="s">
        <v>446</v>
      </c>
      <c r="D29" s="19"/>
      <c r="E29" s="19">
        <v>10500</v>
      </c>
      <c r="F29" s="19"/>
      <c r="G29" s="19">
        <f t="shared" ca="1" si="0"/>
        <v>0</v>
      </c>
      <c r="H29" s="582">
        <f t="shared" ca="1" si="1"/>
        <v>0</v>
      </c>
      <c r="I29" s="541"/>
      <c r="J29" s="536" t="s">
        <v>447</v>
      </c>
      <c r="K29" s="709"/>
      <c r="L29" s="709"/>
      <c r="M29" s="709"/>
      <c r="N29" s="709"/>
      <c r="O29" s="709"/>
      <c r="P29" s="709"/>
      <c r="Q29" s="709"/>
      <c r="R29" s="709"/>
      <c r="S29" s="709"/>
      <c r="T29" s="709"/>
      <c r="U29" s="709"/>
      <c r="V29" s="709"/>
      <c r="W29" s="709"/>
      <c r="X29" s="709"/>
      <c r="Y29" s="709"/>
      <c r="Z29" s="709"/>
      <c r="AA29" s="709"/>
      <c r="AB29" s="709"/>
      <c r="AC29" s="709"/>
      <c r="AD29" s="709"/>
      <c r="AE29" s="709"/>
      <c r="AF29" s="709"/>
      <c r="AG29" s="709"/>
      <c r="AH29" s="709"/>
      <c r="AI29" s="709"/>
      <c r="AJ29" s="709"/>
      <c r="AK29" s="709"/>
      <c r="AL29" s="709"/>
      <c r="AM29" s="709"/>
      <c r="AN29" s="709"/>
      <c r="AO29" s="709"/>
      <c r="AP29" s="709"/>
      <c r="AQ29" s="709"/>
      <c r="AR29" s="709"/>
      <c r="AS29" s="709"/>
      <c r="AT29" s="709"/>
      <c r="AU29" s="709"/>
      <c r="AV29" s="709"/>
      <c r="AW29" s="709"/>
      <c r="AX29" s="709"/>
      <c r="AY29" s="709"/>
      <c r="AZ29" s="709"/>
      <c r="BA29" s="716"/>
      <c r="BB29" s="709"/>
      <c r="BC29" s="709"/>
      <c r="BD29" s="709"/>
      <c r="BE29" s="709"/>
      <c r="BF29" s="709"/>
      <c r="BG29" s="709"/>
      <c r="BH29" s="709"/>
      <c r="BI29" s="709"/>
      <c r="BJ29" s="709"/>
      <c r="BK29" s="709"/>
      <c r="BL29" s="709"/>
      <c r="BM29" s="709"/>
      <c r="BN29" s="709"/>
      <c r="BO29" s="709"/>
      <c r="BP29" s="709"/>
      <c r="BQ29" s="709"/>
      <c r="BR29" s="709"/>
      <c r="BS29" s="709"/>
      <c r="BT29" s="709"/>
      <c r="BU29" s="709"/>
      <c r="BV29" s="709"/>
      <c r="BW29" s="709"/>
    </row>
    <row r="30" spans="2:75" x14ac:dyDescent="0.25">
      <c r="B30" s="16"/>
      <c r="C30" t="s">
        <v>448</v>
      </c>
      <c r="D30" s="19"/>
      <c r="E30" s="19">
        <v>15000</v>
      </c>
      <c r="F30" s="19"/>
      <c r="G30" s="19">
        <f t="shared" ca="1" si="0"/>
        <v>0</v>
      </c>
      <c r="H30" s="582">
        <f t="shared" ca="1" si="1"/>
        <v>0</v>
      </c>
      <c r="I30" s="541"/>
      <c r="J30" s="536" t="s">
        <v>447</v>
      </c>
      <c r="K30" s="709"/>
      <c r="L30" s="709"/>
      <c r="M30" s="709"/>
      <c r="N30" s="709"/>
      <c r="O30" s="709"/>
      <c r="P30" s="709"/>
      <c r="Q30" s="709"/>
      <c r="R30" s="709"/>
      <c r="S30" s="709"/>
      <c r="T30" s="709"/>
      <c r="U30" s="709"/>
      <c r="V30" s="709"/>
      <c r="W30" s="709"/>
      <c r="X30" s="709"/>
      <c r="Y30" s="709"/>
      <c r="Z30" s="709"/>
      <c r="AA30" s="709"/>
      <c r="AB30" s="709"/>
      <c r="AC30" s="709"/>
      <c r="AD30" s="709"/>
      <c r="AE30" s="709"/>
      <c r="AF30" s="709"/>
      <c r="AG30" s="709"/>
      <c r="AH30" s="709"/>
      <c r="AI30" s="709"/>
      <c r="AJ30" s="709"/>
      <c r="AK30" s="709"/>
      <c r="AL30" s="709"/>
      <c r="AM30" s="709"/>
      <c r="AN30" s="709"/>
      <c r="AO30" s="709"/>
      <c r="AP30" s="709"/>
      <c r="AQ30" s="709"/>
      <c r="AR30" s="709"/>
      <c r="AS30" s="709"/>
      <c r="AT30" s="709"/>
      <c r="AU30" s="709"/>
      <c r="AV30" s="709"/>
      <c r="AW30" s="709"/>
      <c r="AX30" s="709"/>
      <c r="AY30" s="709"/>
      <c r="AZ30" s="709"/>
      <c r="BA30" s="716"/>
      <c r="BB30" s="709"/>
      <c r="BC30" s="709"/>
      <c r="BD30" s="709"/>
      <c r="BE30" s="709"/>
      <c r="BF30" s="709"/>
      <c r="BG30" s="709"/>
      <c r="BH30" s="709"/>
      <c r="BI30" s="709"/>
      <c r="BJ30" s="709"/>
      <c r="BK30" s="709"/>
      <c r="BL30" s="709"/>
      <c r="BM30" s="709"/>
      <c r="BN30" s="709"/>
      <c r="BO30" s="709"/>
      <c r="BP30" s="709"/>
      <c r="BQ30" s="709"/>
      <c r="BR30" s="709"/>
      <c r="BS30" s="709"/>
      <c r="BT30" s="709"/>
      <c r="BU30" s="709"/>
      <c r="BV30" s="709"/>
      <c r="BW30" s="709"/>
    </row>
    <row r="31" spans="2:75" x14ac:dyDescent="0.25">
      <c r="B31" s="16"/>
      <c r="C31" t="s">
        <v>439</v>
      </c>
      <c r="D31" s="19"/>
      <c r="E31" s="19">
        <v>1500</v>
      </c>
      <c r="F31" s="19"/>
      <c r="G31" s="19">
        <f t="shared" ca="1" si="0"/>
        <v>0</v>
      </c>
      <c r="H31" s="582">
        <f t="shared" ca="1" si="1"/>
        <v>0</v>
      </c>
      <c r="I31" s="541"/>
      <c r="J31" s="536" t="s">
        <v>447</v>
      </c>
      <c r="K31" s="709"/>
      <c r="L31" s="709"/>
      <c r="M31" s="709"/>
      <c r="N31" s="709"/>
      <c r="O31" s="709"/>
      <c r="P31" s="709"/>
      <c r="Q31" s="709"/>
      <c r="R31" s="709"/>
      <c r="S31" s="709"/>
      <c r="T31" s="709"/>
      <c r="U31" s="709"/>
      <c r="V31" s="709"/>
      <c r="W31" s="709"/>
      <c r="X31" s="709"/>
      <c r="Y31" s="709"/>
      <c r="Z31" s="709"/>
      <c r="AA31" s="709"/>
      <c r="AB31" s="709"/>
      <c r="AC31" s="709"/>
      <c r="AD31" s="709"/>
      <c r="AE31" s="709"/>
      <c r="AF31" s="709"/>
      <c r="AG31" s="709"/>
      <c r="AH31" s="709"/>
      <c r="AI31" s="709"/>
      <c r="AJ31" s="709"/>
      <c r="AK31" s="709"/>
      <c r="AL31" s="709"/>
      <c r="AM31" s="709"/>
      <c r="AN31" s="709"/>
      <c r="AO31" s="709"/>
      <c r="AP31" s="709"/>
      <c r="AQ31" s="709"/>
      <c r="AR31" s="709"/>
      <c r="AS31" s="709"/>
      <c r="AT31" s="709"/>
      <c r="AU31" s="709"/>
      <c r="AV31" s="709"/>
      <c r="AW31" s="709"/>
      <c r="AX31" s="709"/>
      <c r="AY31" s="709"/>
      <c r="AZ31" s="709"/>
      <c r="BA31" s="716"/>
      <c r="BB31" s="709"/>
      <c r="BC31" s="709"/>
      <c r="BD31" s="709"/>
      <c r="BE31" s="709"/>
      <c r="BF31" s="709"/>
      <c r="BG31" s="709"/>
      <c r="BH31" s="709"/>
      <c r="BI31" s="709"/>
      <c r="BJ31" s="709"/>
      <c r="BK31" s="709"/>
      <c r="BL31" s="709"/>
      <c r="BM31" s="709"/>
      <c r="BN31" s="709"/>
      <c r="BO31" s="709"/>
      <c r="BP31" s="709"/>
      <c r="BQ31" s="709"/>
      <c r="BR31" s="709"/>
      <c r="BS31" s="709"/>
      <c r="BT31" s="709"/>
      <c r="BU31" s="709"/>
      <c r="BV31" s="709"/>
      <c r="BW31" s="709"/>
    </row>
    <row r="32" spans="2:75" x14ac:dyDescent="0.25">
      <c r="B32" s="16"/>
      <c r="C32" t="s">
        <v>449</v>
      </c>
      <c r="D32" s="19"/>
      <c r="E32" s="19">
        <v>5000</v>
      </c>
      <c r="F32" s="19"/>
      <c r="G32" s="19">
        <f t="shared" ca="1" si="0"/>
        <v>0</v>
      </c>
      <c r="H32" s="582">
        <f t="shared" ca="1" si="1"/>
        <v>0</v>
      </c>
      <c r="I32" s="541"/>
      <c r="J32" s="536" t="s">
        <v>447</v>
      </c>
      <c r="K32" s="709"/>
      <c r="L32" s="709"/>
      <c r="M32" s="709"/>
      <c r="N32" s="709"/>
      <c r="O32" s="709"/>
      <c r="P32" s="709"/>
      <c r="Q32" s="709"/>
      <c r="R32" s="709"/>
      <c r="S32" s="709"/>
      <c r="T32" s="709"/>
      <c r="U32" s="709"/>
      <c r="V32" s="709"/>
      <c r="W32" s="709"/>
      <c r="X32" s="709"/>
      <c r="Y32" s="709"/>
      <c r="Z32" s="709"/>
      <c r="AA32" s="709"/>
      <c r="AB32" s="709"/>
      <c r="AC32" s="709"/>
      <c r="AD32" s="709"/>
      <c r="AE32" s="709"/>
      <c r="AF32" s="709"/>
      <c r="AG32" s="709"/>
      <c r="AH32" s="709"/>
      <c r="AI32" s="709"/>
      <c r="AJ32" s="709"/>
      <c r="AK32" s="709"/>
      <c r="AL32" s="709"/>
      <c r="AM32" s="709"/>
      <c r="AN32" s="709"/>
      <c r="AO32" s="709"/>
      <c r="AP32" s="709"/>
      <c r="AQ32" s="709"/>
      <c r="AR32" s="709"/>
      <c r="AS32" s="709"/>
      <c r="AT32" s="709"/>
      <c r="AU32" s="709"/>
      <c r="AV32" s="709"/>
      <c r="AW32" s="709"/>
      <c r="AX32" s="709"/>
      <c r="AY32" s="709"/>
      <c r="AZ32" s="709"/>
      <c r="BA32" s="716"/>
      <c r="BB32" s="709"/>
      <c r="BC32" s="709"/>
      <c r="BD32" s="709"/>
      <c r="BE32" s="709"/>
      <c r="BF32" s="709"/>
      <c r="BG32" s="709"/>
      <c r="BH32" s="709"/>
      <c r="BI32" s="709"/>
      <c r="BJ32" s="709"/>
      <c r="BK32" s="709"/>
      <c r="BL32" s="709"/>
      <c r="BM32" s="709"/>
      <c r="BN32" s="709"/>
      <c r="BO32" s="709"/>
      <c r="BP32" s="709"/>
      <c r="BQ32" s="709"/>
      <c r="BR32" s="709"/>
      <c r="BS32" s="709"/>
      <c r="BT32" s="709"/>
      <c r="BU32" s="709"/>
      <c r="BV32" s="709"/>
      <c r="BW32" s="709"/>
    </row>
    <row r="33" spans="2:75" x14ac:dyDescent="0.25">
      <c r="B33" s="16"/>
      <c r="C33" t="s">
        <v>450</v>
      </c>
      <c r="D33" s="19"/>
      <c r="E33" s="19">
        <v>5000</v>
      </c>
      <c r="F33" s="19"/>
      <c r="G33" s="19">
        <f t="shared" ca="1" si="0"/>
        <v>0</v>
      </c>
      <c r="H33" s="582">
        <f t="shared" ca="1" si="1"/>
        <v>0</v>
      </c>
      <c r="I33" s="541"/>
      <c r="J33" s="536" t="s">
        <v>447</v>
      </c>
      <c r="K33" s="709"/>
      <c r="L33" s="709"/>
      <c r="M33" s="709"/>
      <c r="N33" s="709"/>
      <c r="O33" s="709"/>
      <c r="P33" s="709"/>
      <c r="Q33" s="709"/>
      <c r="R33" s="709"/>
      <c r="S33" s="709"/>
      <c r="T33" s="709"/>
      <c r="U33" s="709"/>
      <c r="V33" s="709"/>
      <c r="W33" s="709"/>
      <c r="X33" s="709"/>
      <c r="Y33" s="709"/>
      <c r="Z33" s="709"/>
      <c r="AA33" s="709"/>
      <c r="AB33" s="709"/>
      <c r="AC33" s="709"/>
      <c r="AD33" s="709"/>
      <c r="AE33" s="709"/>
      <c r="AF33" s="709"/>
      <c r="AG33" s="709"/>
      <c r="AH33" s="709"/>
      <c r="AI33" s="709"/>
      <c r="AJ33" s="709"/>
      <c r="AK33" s="709"/>
      <c r="AL33" s="709"/>
      <c r="AM33" s="709"/>
      <c r="AN33" s="709"/>
      <c r="AO33" s="709"/>
      <c r="AP33" s="709"/>
      <c r="AQ33" s="709"/>
      <c r="AR33" s="709"/>
      <c r="AS33" s="709"/>
      <c r="AT33" s="709"/>
      <c r="AU33" s="709"/>
      <c r="AV33" s="709"/>
      <c r="AW33" s="709"/>
      <c r="AX33" s="709"/>
      <c r="AY33" s="709"/>
      <c r="AZ33" s="709"/>
      <c r="BA33" s="716"/>
      <c r="BB33" s="709"/>
      <c r="BC33" s="709"/>
      <c r="BD33" s="709"/>
      <c r="BE33" s="709"/>
      <c r="BF33" s="709"/>
      <c r="BG33" s="709"/>
      <c r="BH33" s="709"/>
      <c r="BI33" s="709"/>
      <c r="BJ33" s="709"/>
      <c r="BK33" s="709"/>
      <c r="BL33" s="709"/>
      <c r="BM33" s="709"/>
      <c r="BN33" s="709"/>
      <c r="BO33" s="709"/>
      <c r="BP33" s="709"/>
      <c r="BQ33" s="709"/>
      <c r="BR33" s="709"/>
      <c r="BS33" s="709"/>
      <c r="BT33" s="709"/>
      <c r="BU33" s="709"/>
      <c r="BV33" s="709"/>
      <c r="BW33" s="709"/>
    </row>
    <row r="34" spans="2:75" x14ac:dyDescent="0.25">
      <c r="B34" s="16"/>
      <c r="C34" t="s">
        <v>451</v>
      </c>
      <c r="D34" s="19"/>
      <c r="E34" s="19">
        <v>15000</v>
      </c>
      <c r="F34" s="19"/>
      <c r="G34" s="19">
        <f t="shared" ca="1" si="0"/>
        <v>0</v>
      </c>
      <c r="H34" s="582">
        <f t="shared" ca="1" si="1"/>
        <v>0</v>
      </c>
      <c r="I34" s="541"/>
      <c r="J34" s="536" t="s">
        <v>447</v>
      </c>
      <c r="K34" s="709"/>
      <c r="L34" s="709"/>
      <c r="M34" s="709"/>
      <c r="N34" s="709"/>
      <c r="O34" s="709"/>
      <c r="P34" s="709"/>
      <c r="Q34" s="709"/>
      <c r="R34" s="709"/>
      <c r="S34" s="709"/>
      <c r="T34" s="709"/>
      <c r="U34" s="709"/>
      <c r="V34" s="709"/>
      <c r="W34" s="709"/>
      <c r="X34" s="709"/>
      <c r="Y34" s="709"/>
      <c r="Z34" s="709"/>
      <c r="AA34" s="709"/>
      <c r="AB34" s="709"/>
      <c r="AC34" s="709"/>
      <c r="AD34" s="709"/>
      <c r="AE34" s="709"/>
      <c r="AF34" s="709"/>
      <c r="AG34" s="709"/>
      <c r="AH34" s="709"/>
      <c r="AI34" s="709"/>
      <c r="AJ34" s="709"/>
      <c r="AK34" s="709"/>
      <c r="AL34" s="709"/>
      <c r="AM34" s="709"/>
      <c r="AN34" s="709"/>
      <c r="AO34" s="709"/>
      <c r="AP34" s="709"/>
      <c r="AQ34" s="709"/>
      <c r="AR34" s="709"/>
      <c r="AS34" s="709"/>
      <c r="AT34" s="709"/>
      <c r="AU34" s="709"/>
      <c r="AV34" s="709"/>
      <c r="AW34" s="709"/>
      <c r="AX34" s="709"/>
      <c r="AY34" s="709"/>
      <c r="AZ34" s="709"/>
      <c r="BA34" s="716"/>
      <c r="BB34" s="709"/>
      <c r="BC34" s="709"/>
      <c r="BD34" s="709"/>
      <c r="BE34" s="709"/>
      <c r="BF34" s="709"/>
      <c r="BG34" s="709"/>
      <c r="BH34" s="709"/>
      <c r="BI34" s="709"/>
      <c r="BJ34" s="709"/>
      <c r="BK34" s="709"/>
      <c r="BL34" s="709"/>
      <c r="BM34" s="709"/>
      <c r="BN34" s="709"/>
      <c r="BO34" s="709"/>
      <c r="BP34" s="709"/>
      <c r="BQ34" s="709"/>
      <c r="BR34" s="709"/>
      <c r="BS34" s="709"/>
      <c r="BT34" s="709"/>
      <c r="BU34" s="709"/>
      <c r="BV34" s="709"/>
      <c r="BW34" s="709"/>
    </row>
    <row r="35" spans="2:75" x14ac:dyDescent="0.25">
      <c r="B35" s="16"/>
      <c r="C35" t="s">
        <v>452</v>
      </c>
      <c r="D35" s="19"/>
      <c r="E35" s="19">
        <v>6000</v>
      </c>
      <c r="F35" s="19"/>
      <c r="G35" s="19">
        <f t="shared" ca="1" si="0"/>
        <v>0</v>
      </c>
      <c r="H35" s="582">
        <f t="shared" ca="1" si="1"/>
        <v>0</v>
      </c>
      <c r="I35" s="541"/>
      <c r="J35" s="536" t="s">
        <v>447</v>
      </c>
      <c r="K35" s="709"/>
      <c r="L35" s="709"/>
      <c r="M35" s="709"/>
      <c r="N35" s="709"/>
      <c r="O35" s="709"/>
      <c r="P35" s="709"/>
      <c r="Q35" s="709"/>
      <c r="R35" s="709"/>
      <c r="S35" s="709"/>
      <c r="T35" s="709"/>
      <c r="U35" s="709"/>
      <c r="V35" s="709"/>
      <c r="W35" s="709"/>
      <c r="X35" s="709"/>
      <c r="Y35" s="709"/>
      <c r="Z35" s="709"/>
      <c r="AA35" s="709"/>
      <c r="AB35" s="709"/>
      <c r="AC35" s="709"/>
      <c r="AD35" s="709"/>
      <c r="AE35" s="709"/>
      <c r="AF35" s="709"/>
      <c r="AG35" s="709"/>
      <c r="AH35" s="709"/>
      <c r="AI35" s="709"/>
      <c r="AJ35" s="709"/>
      <c r="AK35" s="709"/>
      <c r="AL35" s="709"/>
      <c r="AM35" s="709"/>
      <c r="AN35" s="709"/>
      <c r="AO35" s="709"/>
      <c r="AP35" s="709"/>
      <c r="AQ35" s="709"/>
      <c r="AR35" s="709"/>
      <c r="AS35" s="709"/>
      <c r="AT35" s="709"/>
      <c r="AU35" s="709"/>
      <c r="AV35" s="709"/>
      <c r="AW35" s="709"/>
      <c r="AX35" s="709"/>
      <c r="AY35" s="709"/>
      <c r="AZ35" s="709"/>
      <c r="BA35" s="716"/>
      <c r="BB35" s="709"/>
      <c r="BC35" s="709"/>
      <c r="BD35" s="709"/>
      <c r="BE35" s="709"/>
      <c r="BF35" s="709"/>
      <c r="BG35" s="709"/>
      <c r="BH35" s="709"/>
      <c r="BI35" s="709"/>
      <c r="BJ35" s="709"/>
      <c r="BK35" s="709"/>
      <c r="BL35" s="709"/>
      <c r="BM35" s="709"/>
      <c r="BN35" s="709"/>
      <c r="BO35" s="709"/>
      <c r="BP35" s="709"/>
      <c r="BQ35" s="709"/>
      <c r="BR35" s="709"/>
      <c r="BS35" s="709"/>
      <c r="BT35" s="709"/>
      <c r="BU35" s="709"/>
      <c r="BV35" s="709"/>
      <c r="BW35" s="709"/>
    </row>
    <row r="36" spans="2:75" x14ac:dyDescent="0.25">
      <c r="B36" s="16"/>
      <c r="C36" t="s">
        <v>453</v>
      </c>
      <c r="D36" s="19"/>
      <c r="E36" s="19">
        <v>10000</v>
      </c>
      <c r="F36" s="19"/>
      <c r="G36" s="19">
        <f t="shared" ca="1" si="0"/>
        <v>0</v>
      </c>
      <c r="H36" s="582">
        <f t="shared" ca="1" si="1"/>
        <v>0</v>
      </c>
      <c r="I36" s="541"/>
      <c r="J36" s="536" t="s">
        <v>447</v>
      </c>
      <c r="K36" s="709"/>
      <c r="L36" s="709"/>
      <c r="M36" s="709"/>
      <c r="N36" s="709"/>
      <c r="O36" s="709"/>
      <c r="P36" s="709"/>
      <c r="Q36" s="709"/>
      <c r="R36" s="709"/>
      <c r="S36" s="709"/>
      <c r="T36" s="709"/>
      <c r="U36" s="709"/>
      <c r="V36" s="709"/>
      <c r="W36" s="709"/>
      <c r="X36" s="709"/>
      <c r="Y36" s="709"/>
      <c r="Z36" s="709"/>
      <c r="AA36" s="709"/>
      <c r="AB36" s="709"/>
      <c r="AC36" s="709"/>
      <c r="AD36" s="709"/>
      <c r="AE36" s="709"/>
      <c r="AF36" s="709"/>
      <c r="AG36" s="709"/>
      <c r="AH36" s="709"/>
      <c r="AI36" s="709"/>
      <c r="AJ36" s="709"/>
      <c r="AK36" s="709"/>
      <c r="AL36" s="709"/>
      <c r="AM36" s="709"/>
      <c r="AN36" s="709"/>
      <c r="AO36" s="709"/>
      <c r="AP36" s="709"/>
      <c r="AQ36" s="709"/>
      <c r="AR36" s="709"/>
      <c r="AS36" s="709"/>
      <c r="AT36" s="709"/>
      <c r="AU36" s="709"/>
      <c r="AV36" s="709"/>
      <c r="AW36" s="709"/>
      <c r="AX36" s="709"/>
      <c r="AY36" s="709"/>
      <c r="AZ36" s="709"/>
      <c r="BA36" s="716"/>
      <c r="BB36" s="709"/>
      <c r="BC36" s="709"/>
      <c r="BD36" s="709"/>
      <c r="BE36" s="709"/>
      <c r="BF36" s="709"/>
      <c r="BG36" s="709"/>
      <c r="BH36" s="709"/>
      <c r="BI36" s="709"/>
      <c r="BJ36" s="709"/>
      <c r="BK36" s="709"/>
      <c r="BL36" s="709"/>
      <c r="BM36" s="709"/>
      <c r="BN36" s="709"/>
      <c r="BO36" s="709"/>
      <c r="BP36" s="709"/>
      <c r="BQ36" s="709"/>
      <c r="BR36" s="709"/>
      <c r="BS36" s="709"/>
      <c r="BT36" s="709"/>
      <c r="BU36" s="709"/>
      <c r="BV36" s="709"/>
      <c r="BW36" s="709"/>
    </row>
    <row r="37" spans="2:75" x14ac:dyDescent="0.25">
      <c r="B37" s="16"/>
      <c r="C37" t="s">
        <v>454</v>
      </c>
      <c r="D37" s="19"/>
      <c r="E37" s="19">
        <v>5000</v>
      </c>
      <c r="F37" s="19"/>
      <c r="G37" s="19">
        <f t="shared" ca="1" si="0"/>
        <v>0</v>
      </c>
      <c r="H37" s="582">
        <f t="shared" ca="1" si="1"/>
        <v>0</v>
      </c>
      <c r="I37" s="541"/>
      <c r="J37" s="536" t="s">
        <v>447</v>
      </c>
      <c r="K37" s="709"/>
      <c r="L37" s="709"/>
      <c r="M37" s="709"/>
      <c r="N37" s="709"/>
      <c r="O37" s="709"/>
      <c r="P37" s="709"/>
      <c r="Q37" s="709"/>
      <c r="R37" s="709"/>
      <c r="S37" s="709"/>
      <c r="T37" s="709"/>
      <c r="U37" s="709"/>
      <c r="V37" s="709"/>
      <c r="W37" s="709"/>
      <c r="X37" s="709"/>
      <c r="Y37" s="709"/>
      <c r="Z37" s="709"/>
      <c r="AA37" s="709"/>
      <c r="AB37" s="709"/>
      <c r="AC37" s="709"/>
      <c r="AD37" s="709"/>
      <c r="AE37" s="709"/>
      <c r="AF37" s="709"/>
      <c r="AG37" s="709"/>
      <c r="AH37" s="709"/>
      <c r="AI37" s="709"/>
      <c r="AJ37" s="709"/>
      <c r="AK37" s="709"/>
      <c r="AL37" s="709"/>
      <c r="AM37" s="709"/>
      <c r="AN37" s="709"/>
      <c r="AO37" s="709"/>
      <c r="AP37" s="709"/>
      <c r="AQ37" s="709"/>
      <c r="AR37" s="709"/>
      <c r="AS37" s="709"/>
      <c r="AT37" s="709"/>
      <c r="AU37" s="709"/>
      <c r="AV37" s="709"/>
      <c r="AW37" s="709"/>
      <c r="AX37" s="709"/>
      <c r="AY37" s="709"/>
      <c r="AZ37" s="709"/>
      <c r="BA37" s="716"/>
      <c r="BB37" s="709"/>
      <c r="BC37" s="709"/>
      <c r="BD37" s="709"/>
      <c r="BE37" s="709"/>
      <c r="BF37" s="709"/>
      <c r="BG37" s="709"/>
      <c r="BH37" s="709"/>
      <c r="BI37" s="709"/>
      <c r="BJ37" s="709"/>
      <c r="BK37" s="709"/>
      <c r="BL37" s="709"/>
      <c r="BM37" s="709"/>
      <c r="BN37" s="709"/>
      <c r="BO37" s="709"/>
      <c r="BP37" s="709"/>
      <c r="BQ37" s="709"/>
      <c r="BR37" s="709"/>
      <c r="BS37" s="709"/>
      <c r="BT37" s="709"/>
      <c r="BU37" s="709"/>
      <c r="BV37" s="709"/>
      <c r="BW37" s="709"/>
    </row>
    <row r="38" spans="2:75" x14ac:dyDescent="0.25">
      <c r="B38" s="546" t="s">
        <v>455</v>
      </c>
      <c r="C38" t="s">
        <v>456</v>
      </c>
      <c r="D38" s="19"/>
      <c r="E38" s="19">
        <v>8400</v>
      </c>
      <c r="F38" s="19"/>
      <c r="G38" s="19">
        <f t="shared" ca="1" si="0"/>
        <v>0</v>
      </c>
      <c r="H38" s="582">
        <f t="shared" ca="1" si="1"/>
        <v>0</v>
      </c>
      <c r="I38" s="541"/>
      <c r="J38" s="536" t="s">
        <v>457</v>
      </c>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709"/>
      <c r="AK38" s="709"/>
      <c r="AL38" s="709"/>
      <c r="AM38" s="709"/>
      <c r="AN38" s="709"/>
      <c r="AO38" s="709"/>
      <c r="AP38" s="709"/>
      <c r="AQ38" s="709"/>
      <c r="AR38" s="709"/>
      <c r="AS38" s="709"/>
      <c r="AT38" s="709"/>
      <c r="AU38" s="709"/>
      <c r="AV38" s="709"/>
      <c r="AW38" s="709"/>
      <c r="AX38" s="709"/>
      <c r="AY38" s="709"/>
      <c r="AZ38" s="709"/>
      <c r="BA38" s="716"/>
      <c r="BB38" s="709"/>
      <c r="BC38" s="709"/>
      <c r="BD38" s="709"/>
      <c r="BE38" s="709"/>
      <c r="BF38" s="709"/>
      <c r="BG38" s="709"/>
      <c r="BH38" s="709"/>
      <c r="BI38" s="709"/>
      <c r="BJ38" s="709"/>
      <c r="BK38" s="709"/>
      <c r="BL38" s="709"/>
      <c r="BM38" s="709"/>
      <c r="BN38" s="709"/>
      <c r="BO38" s="709"/>
      <c r="BP38" s="709"/>
      <c r="BQ38" s="709"/>
      <c r="BR38" s="709"/>
      <c r="BS38" s="709"/>
      <c r="BT38" s="709"/>
      <c r="BU38" s="709"/>
      <c r="BV38" s="709"/>
      <c r="BW38" s="709"/>
    </row>
    <row r="39" spans="2:75" x14ac:dyDescent="0.25">
      <c r="B39" s="546"/>
      <c r="C39" t="s">
        <v>48</v>
      </c>
      <c r="D39" s="19"/>
      <c r="E39" s="19">
        <v>39690</v>
      </c>
      <c r="F39" s="42">
        <v>39690</v>
      </c>
      <c r="G39" s="19">
        <f t="shared" ca="1" si="0"/>
        <v>0</v>
      </c>
      <c r="H39" s="582">
        <f t="shared" ca="1" si="1"/>
        <v>39690</v>
      </c>
      <c r="I39" s="742" t="s">
        <v>373</v>
      </c>
      <c r="J39" s="536" t="s">
        <v>458</v>
      </c>
      <c r="K39" s="709"/>
      <c r="L39" s="709"/>
      <c r="M39" s="709"/>
      <c r="N39" s="709"/>
      <c r="O39" s="709"/>
      <c r="P39" s="709"/>
      <c r="Q39" s="709"/>
      <c r="R39" s="709"/>
      <c r="S39" s="709"/>
      <c r="T39" s="709"/>
      <c r="U39" s="709"/>
      <c r="V39" s="709"/>
      <c r="W39" s="709"/>
      <c r="X39" s="709"/>
      <c r="Y39" s="709"/>
      <c r="Z39" s="709"/>
      <c r="AA39" s="709"/>
      <c r="AB39" s="709"/>
      <c r="AC39" s="709"/>
      <c r="AD39" s="709"/>
      <c r="AE39" s="709"/>
      <c r="AF39" s="709"/>
      <c r="AG39" s="709"/>
      <c r="AH39" s="709"/>
      <c r="AI39" s="709"/>
      <c r="AJ39" s="709"/>
      <c r="AK39" s="709"/>
      <c r="AL39" s="709"/>
      <c r="AM39" s="709"/>
      <c r="AN39" s="709"/>
      <c r="AO39" s="709"/>
      <c r="AP39" s="709"/>
      <c r="AQ39" s="709"/>
      <c r="AR39" s="709"/>
      <c r="AS39" s="709"/>
      <c r="AT39" s="709"/>
      <c r="AU39" s="709"/>
      <c r="AV39" s="709"/>
      <c r="AW39" s="709"/>
      <c r="AX39" s="709"/>
      <c r="AY39" s="709"/>
      <c r="AZ39" s="709"/>
      <c r="BA39" s="716"/>
      <c r="BB39" s="709"/>
      <c r="BC39" s="709"/>
      <c r="BD39" s="709"/>
      <c r="BE39" s="709"/>
      <c r="BF39" s="709"/>
      <c r="BG39" s="709"/>
      <c r="BH39" s="709"/>
      <c r="BI39" s="709"/>
      <c r="BJ39" s="709"/>
      <c r="BK39" s="709"/>
      <c r="BL39" s="709"/>
      <c r="BM39" s="709"/>
      <c r="BN39" s="709"/>
      <c r="BO39" s="709"/>
      <c r="BP39" s="709"/>
      <c r="BQ39" s="709"/>
      <c r="BR39" s="709"/>
      <c r="BS39" s="709"/>
      <c r="BT39" s="709"/>
      <c r="BU39" s="709"/>
      <c r="BV39" s="709"/>
      <c r="BW39" s="709"/>
    </row>
    <row r="40" spans="2:75" x14ac:dyDescent="0.25">
      <c r="B40" s="546"/>
      <c r="C40" t="s">
        <v>459</v>
      </c>
      <c r="D40" s="19"/>
      <c r="E40" s="19">
        <v>950</v>
      </c>
      <c r="F40" s="19"/>
      <c r="G40" s="19">
        <f t="shared" ca="1" si="0"/>
        <v>0</v>
      </c>
      <c r="H40" s="582">
        <f t="shared" ca="1" si="1"/>
        <v>0</v>
      </c>
      <c r="I40" s="541"/>
      <c r="J40" s="536" t="s">
        <v>457</v>
      </c>
      <c r="K40" s="709"/>
      <c r="L40" s="709"/>
      <c r="M40" s="709"/>
      <c r="N40" s="709"/>
      <c r="O40" s="709"/>
      <c r="P40" s="709"/>
      <c r="Q40" s="709"/>
      <c r="R40" s="709"/>
      <c r="S40" s="709"/>
      <c r="T40" s="709"/>
      <c r="U40" s="709"/>
      <c r="V40" s="709"/>
      <c r="W40" s="709"/>
      <c r="X40" s="709"/>
      <c r="Y40" s="709"/>
      <c r="Z40" s="709"/>
      <c r="AA40" s="709"/>
      <c r="AB40" s="709"/>
      <c r="AC40" s="709"/>
      <c r="AD40" s="709"/>
      <c r="AE40" s="709"/>
      <c r="AF40" s="709"/>
      <c r="AG40" s="709"/>
      <c r="AH40" s="709"/>
      <c r="AI40" s="709"/>
      <c r="AJ40" s="709"/>
      <c r="AK40" s="709"/>
      <c r="AL40" s="709"/>
      <c r="AM40" s="709"/>
      <c r="AN40" s="709"/>
      <c r="AO40" s="709"/>
      <c r="AP40" s="709"/>
      <c r="AQ40" s="709"/>
      <c r="AR40" s="709"/>
      <c r="AS40" s="709"/>
      <c r="AT40" s="709"/>
      <c r="AU40" s="709"/>
      <c r="AV40" s="709"/>
      <c r="AW40" s="709"/>
      <c r="AX40" s="709"/>
      <c r="AY40" s="709"/>
      <c r="AZ40" s="709"/>
      <c r="BA40" s="716"/>
      <c r="BB40" s="709"/>
      <c r="BC40" s="709"/>
      <c r="BD40" s="709"/>
      <c r="BE40" s="709"/>
      <c r="BF40" s="709"/>
      <c r="BG40" s="709"/>
      <c r="BH40" s="709"/>
      <c r="BI40" s="709"/>
      <c r="BJ40" s="709"/>
      <c r="BK40" s="709"/>
      <c r="BL40" s="709"/>
      <c r="BM40" s="709"/>
      <c r="BN40" s="709"/>
      <c r="BO40" s="709"/>
      <c r="BP40" s="709"/>
      <c r="BQ40" s="709"/>
      <c r="BR40" s="709"/>
      <c r="BS40" s="709"/>
      <c r="BT40" s="709"/>
      <c r="BU40" s="709"/>
      <c r="BV40" s="709"/>
      <c r="BW40" s="709"/>
    </row>
    <row r="41" spans="2:75" x14ac:dyDescent="0.25">
      <c r="B41" s="546"/>
      <c r="C41" t="s">
        <v>460</v>
      </c>
      <c r="D41" s="19"/>
      <c r="E41" s="19">
        <v>2450</v>
      </c>
      <c r="F41" s="19"/>
      <c r="G41" s="19">
        <f t="shared" ca="1" si="0"/>
        <v>0</v>
      </c>
      <c r="H41" s="582">
        <f t="shared" ca="1" si="1"/>
        <v>0</v>
      </c>
      <c r="I41" s="541"/>
      <c r="J41" s="536" t="s">
        <v>457</v>
      </c>
      <c r="K41" s="709"/>
      <c r="L41" s="709"/>
      <c r="M41" s="709"/>
      <c r="N41" s="709"/>
      <c r="O41" s="709"/>
      <c r="P41" s="709"/>
      <c r="Q41" s="709"/>
      <c r="R41" s="709"/>
      <c r="S41" s="709"/>
      <c r="T41" s="709"/>
      <c r="U41" s="709"/>
      <c r="V41" s="709"/>
      <c r="W41" s="709"/>
      <c r="X41" s="709"/>
      <c r="Y41" s="709"/>
      <c r="Z41" s="709"/>
      <c r="AA41" s="709"/>
      <c r="AB41" s="709"/>
      <c r="AC41" s="709"/>
      <c r="AD41" s="709"/>
      <c r="AE41" s="709"/>
      <c r="AF41" s="709"/>
      <c r="AG41" s="709"/>
      <c r="AH41" s="709"/>
      <c r="AI41" s="709"/>
      <c r="AJ41" s="709"/>
      <c r="AK41" s="709"/>
      <c r="AL41" s="709"/>
      <c r="AM41" s="709"/>
      <c r="AN41" s="709"/>
      <c r="AO41" s="709"/>
      <c r="AP41" s="709"/>
      <c r="AQ41" s="709"/>
      <c r="AR41" s="709"/>
      <c r="AS41" s="709"/>
      <c r="AT41" s="709"/>
      <c r="AU41" s="709"/>
      <c r="AV41" s="709"/>
      <c r="AW41" s="709"/>
      <c r="AX41" s="709"/>
      <c r="AY41" s="709"/>
      <c r="AZ41" s="709"/>
      <c r="BA41" s="716"/>
      <c r="BB41" s="709"/>
      <c r="BC41" s="709"/>
      <c r="BD41" s="709"/>
      <c r="BE41" s="709"/>
      <c r="BF41" s="709"/>
      <c r="BG41" s="709"/>
      <c r="BH41" s="709"/>
      <c r="BI41" s="709"/>
      <c r="BJ41" s="709"/>
      <c r="BK41" s="709"/>
      <c r="BL41" s="709"/>
      <c r="BM41" s="709"/>
      <c r="BN41" s="709"/>
      <c r="BO41" s="709"/>
      <c r="BP41" s="709"/>
      <c r="BQ41" s="709"/>
      <c r="BR41" s="709"/>
      <c r="BS41" s="709"/>
      <c r="BT41" s="709"/>
      <c r="BU41" s="709"/>
      <c r="BV41" s="709"/>
      <c r="BW41" s="709"/>
    </row>
    <row r="42" spans="2:75" x14ac:dyDescent="0.25">
      <c r="B42" s="16"/>
      <c r="C42" t="s">
        <v>461</v>
      </c>
      <c r="D42" s="19"/>
      <c r="E42" s="19">
        <v>9000</v>
      </c>
      <c r="F42" s="19"/>
      <c r="G42" s="19">
        <f t="shared" ca="1" si="0"/>
        <v>0</v>
      </c>
      <c r="H42" s="582">
        <f t="shared" ca="1" si="1"/>
        <v>0</v>
      </c>
      <c r="I42" s="541"/>
      <c r="J42" s="536" t="s">
        <v>457</v>
      </c>
      <c r="K42" s="709"/>
      <c r="L42" s="709"/>
      <c r="M42" s="709"/>
      <c r="N42" s="709"/>
      <c r="O42" s="709"/>
      <c r="P42" s="709"/>
      <c r="Q42" s="709"/>
      <c r="R42" s="709"/>
      <c r="S42" s="709"/>
      <c r="T42" s="709"/>
      <c r="U42" s="709"/>
      <c r="V42" s="709"/>
      <c r="W42" s="709"/>
      <c r="X42" s="709"/>
      <c r="Y42" s="709"/>
      <c r="Z42" s="709"/>
      <c r="AA42" s="709"/>
      <c r="AB42" s="709"/>
      <c r="AC42" s="709"/>
      <c r="AD42" s="709"/>
      <c r="AE42" s="709"/>
      <c r="AF42" s="709"/>
      <c r="AG42" s="709"/>
      <c r="AH42" s="709"/>
      <c r="AI42" s="709"/>
      <c r="AJ42" s="709"/>
      <c r="AK42" s="709"/>
      <c r="AL42" s="709"/>
      <c r="AM42" s="709"/>
      <c r="AN42" s="709"/>
      <c r="AO42" s="709"/>
      <c r="AP42" s="709"/>
      <c r="AQ42" s="709"/>
      <c r="AR42" s="709"/>
      <c r="AS42" s="709"/>
      <c r="AT42" s="709"/>
      <c r="AU42" s="709"/>
      <c r="AV42" s="709"/>
      <c r="AW42" s="709"/>
      <c r="AX42" s="709"/>
      <c r="AY42" s="709"/>
      <c r="AZ42" s="709"/>
      <c r="BA42" s="716"/>
      <c r="BB42" s="709"/>
      <c r="BC42" s="709"/>
      <c r="BD42" s="709"/>
      <c r="BE42" s="709"/>
      <c r="BF42" s="709"/>
      <c r="BG42" s="709"/>
      <c r="BH42" s="709"/>
      <c r="BI42" s="709"/>
      <c r="BJ42" s="709"/>
      <c r="BK42" s="709"/>
      <c r="BL42" s="709"/>
      <c r="BM42" s="709"/>
      <c r="BN42" s="709"/>
      <c r="BO42" s="709"/>
      <c r="BP42" s="709"/>
      <c r="BQ42" s="709"/>
      <c r="BR42" s="709"/>
      <c r="BS42" s="709"/>
      <c r="BT42" s="709"/>
      <c r="BU42" s="709"/>
      <c r="BV42" s="709"/>
      <c r="BW42" s="709"/>
    </row>
    <row r="43" spans="2:75" x14ac:dyDescent="0.25">
      <c r="B43" s="16"/>
      <c r="C43" t="s">
        <v>364</v>
      </c>
      <c r="D43" s="19"/>
      <c r="E43" s="19">
        <v>425000</v>
      </c>
      <c r="F43" s="19"/>
      <c r="G43" s="19">
        <f t="shared" ca="1" si="0"/>
        <v>0</v>
      </c>
      <c r="H43" s="582">
        <f t="shared" ca="1" si="1"/>
        <v>0</v>
      </c>
      <c r="I43" s="541"/>
      <c r="J43" s="536" t="s">
        <v>462</v>
      </c>
      <c r="K43" s="709"/>
      <c r="L43" s="709"/>
      <c r="M43" s="709"/>
      <c r="N43" s="709"/>
      <c r="O43" s="709"/>
      <c r="P43" s="709"/>
      <c r="Q43" s="709"/>
      <c r="R43" s="709"/>
      <c r="S43" s="709"/>
      <c r="T43" s="709"/>
      <c r="U43" s="709"/>
      <c r="V43" s="709"/>
      <c r="W43" s="709"/>
      <c r="X43" s="709"/>
      <c r="Y43" s="709"/>
      <c r="Z43" s="709"/>
      <c r="AA43" s="709"/>
      <c r="AB43" s="709"/>
      <c r="AC43" s="709"/>
      <c r="AD43" s="709"/>
      <c r="AE43" s="709"/>
      <c r="AF43" s="709"/>
      <c r="AG43" s="709"/>
      <c r="AH43" s="709"/>
      <c r="AI43" s="709"/>
      <c r="AJ43" s="709"/>
      <c r="AK43" s="709"/>
      <c r="AL43" s="709"/>
      <c r="AM43" s="709"/>
      <c r="AN43" s="709"/>
      <c r="AO43" s="709"/>
      <c r="AP43" s="709"/>
      <c r="AQ43" s="709"/>
      <c r="AR43" s="709"/>
      <c r="AS43" s="709"/>
      <c r="AT43" s="709"/>
      <c r="AU43" s="709"/>
      <c r="AV43" s="709"/>
      <c r="AW43" s="709"/>
      <c r="AX43" s="709"/>
      <c r="AY43" s="709"/>
      <c r="AZ43" s="709"/>
      <c r="BA43" s="716"/>
      <c r="BB43" s="709"/>
      <c r="BC43" s="709"/>
      <c r="BD43" s="709"/>
      <c r="BE43" s="709"/>
      <c r="BF43" s="709"/>
      <c r="BG43" s="709"/>
      <c r="BH43" s="709"/>
      <c r="BI43" s="709"/>
      <c r="BJ43" s="709"/>
      <c r="BK43" s="709"/>
      <c r="BL43" s="709"/>
      <c r="BM43" s="709"/>
      <c r="BN43" s="709"/>
      <c r="BO43" s="709"/>
      <c r="BP43" s="709"/>
      <c r="BQ43" s="709"/>
      <c r="BR43" s="709"/>
      <c r="BS43" s="709"/>
      <c r="BT43" s="709"/>
      <c r="BU43" s="709"/>
      <c r="BV43" s="709"/>
      <c r="BW43" s="709"/>
    </row>
    <row r="44" spans="2:75" x14ac:dyDescent="0.25">
      <c r="B44" s="16"/>
      <c r="C44" t="s">
        <v>463</v>
      </c>
      <c r="D44" s="19"/>
      <c r="E44" s="19">
        <v>3675</v>
      </c>
      <c r="F44" s="19"/>
      <c r="G44" s="19">
        <f t="shared" ca="1" si="0"/>
        <v>0</v>
      </c>
      <c r="H44" s="582">
        <f t="shared" ca="1" si="1"/>
        <v>0</v>
      </c>
      <c r="I44" s="541"/>
      <c r="J44" s="536" t="s">
        <v>458</v>
      </c>
      <c r="K44" s="709"/>
      <c r="L44" s="709"/>
      <c r="M44" s="709"/>
      <c r="N44" s="709"/>
      <c r="O44" s="709"/>
      <c r="P44" s="709"/>
      <c r="Q44" s="709"/>
      <c r="R44" s="709"/>
      <c r="S44" s="709"/>
      <c r="T44" s="709"/>
      <c r="U44" s="709"/>
      <c r="V44" s="709"/>
      <c r="W44" s="709"/>
      <c r="X44" s="709"/>
      <c r="Y44" s="709"/>
      <c r="Z44" s="709"/>
      <c r="AA44" s="709"/>
      <c r="AB44" s="709"/>
      <c r="AC44" s="709"/>
      <c r="AD44" s="709"/>
      <c r="AE44" s="709"/>
      <c r="AF44" s="709"/>
      <c r="AG44" s="709"/>
      <c r="AH44" s="709"/>
      <c r="AI44" s="709"/>
      <c r="AJ44" s="709"/>
      <c r="AK44" s="709"/>
      <c r="AL44" s="709"/>
      <c r="AM44" s="709"/>
      <c r="AN44" s="709"/>
      <c r="AO44" s="709"/>
      <c r="AP44" s="709"/>
      <c r="AQ44" s="709"/>
      <c r="AR44" s="709"/>
      <c r="AS44" s="709"/>
      <c r="AT44" s="709"/>
      <c r="AU44" s="709"/>
      <c r="AV44" s="709"/>
      <c r="AW44" s="709"/>
      <c r="AX44" s="709"/>
      <c r="AY44" s="709"/>
      <c r="AZ44" s="709"/>
      <c r="BA44" s="716"/>
      <c r="BB44" s="709"/>
      <c r="BC44" s="709"/>
      <c r="BD44" s="709"/>
      <c r="BE44" s="709"/>
      <c r="BF44" s="709"/>
      <c r="BG44" s="709"/>
      <c r="BH44" s="709"/>
      <c r="BI44" s="709"/>
      <c r="BJ44" s="709"/>
      <c r="BK44" s="709"/>
      <c r="BL44" s="709"/>
      <c r="BM44" s="709"/>
      <c r="BN44" s="709"/>
      <c r="BO44" s="709"/>
      <c r="BP44" s="709"/>
      <c r="BQ44" s="709"/>
      <c r="BR44" s="709"/>
      <c r="BS44" s="709"/>
      <c r="BT44" s="709"/>
      <c r="BU44" s="709"/>
      <c r="BV44" s="709"/>
      <c r="BW44" s="709"/>
    </row>
    <row r="45" spans="2:75" x14ac:dyDescent="0.25">
      <c r="B45" s="546" t="s">
        <v>464</v>
      </c>
      <c r="C45" t="s">
        <v>465</v>
      </c>
      <c r="D45" s="19"/>
      <c r="E45" s="19">
        <v>4200</v>
      </c>
      <c r="F45" s="19"/>
      <c r="G45" s="19">
        <f t="shared" ca="1" si="0"/>
        <v>0</v>
      </c>
      <c r="H45" s="582">
        <f t="shared" ca="1" si="1"/>
        <v>0</v>
      </c>
      <c r="I45" s="541"/>
      <c r="J45" s="536" t="s">
        <v>466</v>
      </c>
      <c r="K45" s="709"/>
      <c r="L45" s="709"/>
      <c r="M45" s="709"/>
      <c r="N45" s="709"/>
      <c r="O45" s="709"/>
      <c r="P45" s="709"/>
      <c r="Q45" s="709"/>
      <c r="R45" s="709"/>
      <c r="S45" s="709"/>
      <c r="T45" s="709"/>
      <c r="U45" s="709"/>
      <c r="V45" s="709"/>
      <c r="W45" s="709"/>
      <c r="X45" s="709"/>
      <c r="Y45" s="709"/>
      <c r="Z45" s="709"/>
      <c r="AA45" s="709"/>
      <c r="AB45" s="709"/>
      <c r="AC45" s="709"/>
      <c r="AD45" s="709"/>
      <c r="AE45" s="709"/>
      <c r="AF45" s="709"/>
      <c r="AG45" s="709"/>
      <c r="AH45" s="709"/>
      <c r="AI45" s="709"/>
      <c r="AJ45" s="709"/>
      <c r="AK45" s="709"/>
      <c r="AL45" s="709"/>
      <c r="AM45" s="709"/>
      <c r="AN45" s="709"/>
      <c r="AO45" s="709"/>
      <c r="AP45" s="709"/>
      <c r="AQ45" s="709"/>
      <c r="AR45" s="709"/>
      <c r="AS45" s="709"/>
      <c r="AT45" s="709"/>
      <c r="AU45" s="709"/>
      <c r="AV45" s="709"/>
      <c r="AW45" s="709"/>
      <c r="AX45" s="709"/>
      <c r="AY45" s="709"/>
      <c r="AZ45" s="709"/>
      <c r="BA45" s="716"/>
      <c r="BB45" s="709"/>
      <c r="BC45" s="709"/>
      <c r="BD45" s="709"/>
      <c r="BE45" s="709"/>
      <c r="BF45" s="709"/>
      <c r="BG45" s="709"/>
      <c r="BH45" s="709"/>
      <c r="BI45" s="709"/>
      <c r="BJ45" s="709"/>
      <c r="BK45" s="709"/>
      <c r="BL45" s="709"/>
      <c r="BM45" s="709"/>
      <c r="BN45" s="709"/>
      <c r="BO45" s="709"/>
      <c r="BP45" s="709"/>
      <c r="BQ45" s="709"/>
      <c r="BR45" s="709"/>
      <c r="BS45" s="709"/>
      <c r="BT45" s="709"/>
      <c r="BU45" s="709"/>
      <c r="BV45" s="709"/>
      <c r="BW45" s="709"/>
    </row>
    <row r="46" spans="2:75" x14ac:dyDescent="0.25">
      <c r="B46" s="16"/>
      <c r="C46" t="s">
        <v>467</v>
      </c>
      <c r="D46" s="19"/>
      <c r="E46" s="19">
        <v>5850</v>
      </c>
      <c r="F46" s="19"/>
      <c r="G46" s="19">
        <f t="shared" ca="1" si="0"/>
        <v>0</v>
      </c>
      <c r="H46" s="582">
        <f t="shared" ca="1" si="1"/>
        <v>0</v>
      </c>
      <c r="I46" s="541"/>
      <c r="J46" s="536" t="s">
        <v>466</v>
      </c>
      <c r="K46" s="709"/>
      <c r="L46" s="709"/>
      <c r="M46" s="709"/>
      <c r="N46" s="709"/>
      <c r="O46" s="709"/>
      <c r="P46" s="709"/>
      <c r="Q46" s="709"/>
      <c r="R46" s="709"/>
      <c r="S46" s="709"/>
      <c r="T46" s="709"/>
      <c r="U46" s="709"/>
      <c r="V46" s="709"/>
      <c r="W46" s="709"/>
      <c r="X46" s="709"/>
      <c r="Y46" s="709"/>
      <c r="Z46" s="709"/>
      <c r="AA46" s="709"/>
      <c r="AB46" s="709"/>
      <c r="AC46" s="709"/>
      <c r="AD46" s="709"/>
      <c r="AE46" s="709"/>
      <c r="AF46" s="709"/>
      <c r="AG46" s="709"/>
      <c r="AH46" s="709"/>
      <c r="AI46" s="709"/>
      <c r="AJ46" s="709"/>
      <c r="AK46" s="709"/>
      <c r="AL46" s="709"/>
      <c r="AM46" s="709"/>
      <c r="AN46" s="709"/>
      <c r="AO46" s="709"/>
      <c r="AP46" s="709"/>
      <c r="AQ46" s="709"/>
      <c r="AR46" s="709"/>
      <c r="AS46" s="709"/>
      <c r="AT46" s="709"/>
      <c r="AU46" s="709"/>
      <c r="AV46" s="709"/>
      <c r="AW46" s="709"/>
      <c r="AX46" s="709"/>
      <c r="AY46" s="709"/>
      <c r="AZ46" s="709"/>
      <c r="BA46" s="716"/>
      <c r="BB46" s="709"/>
      <c r="BC46" s="709"/>
      <c r="BD46" s="709"/>
      <c r="BE46" s="709"/>
      <c r="BF46" s="709"/>
      <c r="BG46" s="709"/>
      <c r="BH46" s="709"/>
      <c r="BI46" s="709"/>
      <c r="BJ46" s="709"/>
      <c r="BK46" s="709"/>
      <c r="BL46" s="709"/>
      <c r="BM46" s="709"/>
      <c r="BN46" s="709"/>
      <c r="BO46" s="709"/>
      <c r="BP46" s="709"/>
      <c r="BQ46" s="709"/>
      <c r="BR46" s="709"/>
      <c r="BS46" s="709"/>
      <c r="BT46" s="709"/>
      <c r="BU46" s="709"/>
      <c r="BV46" s="709"/>
      <c r="BW46" s="709"/>
    </row>
    <row r="47" spans="2:75" x14ac:dyDescent="0.25">
      <c r="B47" s="16"/>
      <c r="C47" t="s">
        <v>468</v>
      </c>
      <c r="D47" s="19"/>
      <c r="E47" s="19">
        <v>3000</v>
      </c>
      <c r="F47" s="19"/>
      <c r="G47" s="19">
        <f t="shared" ca="1" si="0"/>
        <v>0</v>
      </c>
      <c r="H47" s="582">
        <f t="shared" ca="1" si="1"/>
        <v>0</v>
      </c>
      <c r="I47" s="541"/>
      <c r="J47" s="536" t="s">
        <v>466</v>
      </c>
      <c r="K47" s="709"/>
      <c r="L47" s="709"/>
      <c r="M47" s="709"/>
      <c r="N47" s="709"/>
      <c r="O47" s="709"/>
      <c r="P47" s="709"/>
      <c r="Q47" s="709"/>
      <c r="R47" s="709"/>
      <c r="S47" s="709"/>
      <c r="T47" s="709"/>
      <c r="U47" s="709"/>
      <c r="V47" s="709"/>
      <c r="W47" s="709"/>
      <c r="X47" s="709"/>
      <c r="Y47" s="709"/>
      <c r="Z47" s="709"/>
      <c r="AA47" s="709"/>
      <c r="AB47" s="709"/>
      <c r="AC47" s="709"/>
      <c r="AD47" s="709"/>
      <c r="AE47" s="709"/>
      <c r="AF47" s="709"/>
      <c r="AG47" s="709"/>
      <c r="AH47" s="709"/>
      <c r="AI47" s="709"/>
      <c r="AJ47" s="709"/>
      <c r="AK47" s="709"/>
      <c r="AL47" s="709"/>
      <c r="AM47" s="709"/>
      <c r="AN47" s="709"/>
      <c r="AO47" s="709"/>
      <c r="AP47" s="709"/>
      <c r="AQ47" s="709"/>
      <c r="AR47" s="709"/>
      <c r="AS47" s="709"/>
      <c r="AT47" s="709"/>
      <c r="AU47" s="709"/>
      <c r="AV47" s="709"/>
      <c r="AW47" s="709"/>
      <c r="AX47" s="709"/>
      <c r="AY47" s="709"/>
      <c r="AZ47" s="709"/>
      <c r="BA47" s="716"/>
      <c r="BB47" s="709"/>
      <c r="BC47" s="709"/>
      <c r="BD47" s="709"/>
      <c r="BE47" s="709"/>
      <c r="BF47" s="709"/>
      <c r="BG47" s="709"/>
      <c r="BH47" s="709"/>
      <c r="BI47" s="709"/>
      <c r="BJ47" s="709"/>
      <c r="BK47" s="709"/>
      <c r="BL47" s="709"/>
      <c r="BM47" s="709"/>
      <c r="BN47" s="709"/>
      <c r="BO47" s="709"/>
      <c r="BP47" s="709"/>
      <c r="BQ47" s="709"/>
      <c r="BR47" s="709"/>
      <c r="BS47" s="709"/>
      <c r="BT47" s="709"/>
      <c r="BU47" s="709"/>
      <c r="BV47" s="709"/>
      <c r="BW47" s="709"/>
    </row>
    <row r="48" spans="2:75" x14ac:dyDescent="0.25">
      <c r="B48" s="16"/>
      <c r="C48" t="s">
        <v>469</v>
      </c>
      <c r="D48" s="19"/>
      <c r="E48" s="19">
        <v>18000</v>
      </c>
      <c r="F48" s="19"/>
      <c r="G48" s="19">
        <f t="shared" ca="1" si="0"/>
        <v>0</v>
      </c>
      <c r="H48" s="582">
        <f t="shared" ca="1" si="1"/>
        <v>0</v>
      </c>
      <c r="I48" s="541"/>
      <c r="J48" s="536" t="s">
        <v>466</v>
      </c>
      <c r="K48" s="709"/>
      <c r="L48" s="709"/>
      <c r="M48" s="709"/>
      <c r="N48" s="709"/>
      <c r="O48" s="709"/>
      <c r="P48" s="709"/>
      <c r="Q48" s="709"/>
      <c r="R48" s="709"/>
      <c r="S48" s="709"/>
      <c r="T48" s="709"/>
      <c r="U48" s="709"/>
      <c r="V48" s="709"/>
      <c r="W48" s="709"/>
      <c r="X48" s="709"/>
      <c r="Y48" s="709"/>
      <c r="Z48" s="709"/>
      <c r="AA48" s="709"/>
      <c r="AB48" s="709"/>
      <c r="AC48" s="709"/>
      <c r="AD48" s="709"/>
      <c r="AE48" s="709"/>
      <c r="AF48" s="709"/>
      <c r="AG48" s="709"/>
      <c r="AH48" s="709"/>
      <c r="AI48" s="709"/>
      <c r="AJ48" s="709"/>
      <c r="AK48" s="709"/>
      <c r="AL48" s="709"/>
      <c r="AM48" s="709"/>
      <c r="AN48" s="709"/>
      <c r="AO48" s="709"/>
      <c r="AP48" s="709"/>
      <c r="AQ48" s="709"/>
      <c r="AR48" s="709"/>
      <c r="AS48" s="709"/>
      <c r="AT48" s="709"/>
      <c r="AU48" s="709"/>
      <c r="AV48" s="709"/>
      <c r="AW48" s="709"/>
      <c r="AX48" s="709"/>
      <c r="AY48" s="709"/>
      <c r="AZ48" s="709"/>
      <c r="BA48" s="716"/>
      <c r="BB48" s="709"/>
      <c r="BC48" s="709"/>
      <c r="BD48" s="709"/>
      <c r="BE48" s="709"/>
      <c r="BF48" s="709"/>
      <c r="BG48" s="709"/>
      <c r="BH48" s="709"/>
      <c r="BI48" s="709"/>
      <c r="BJ48" s="709"/>
      <c r="BK48" s="709"/>
      <c r="BL48" s="709"/>
      <c r="BM48" s="709"/>
      <c r="BN48" s="709"/>
      <c r="BO48" s="709"/>
      <c r="BP48" s="709"/>
      <c r="BQ48" s="709"/>
      <c r="BR48" s="709"/>
      <c r="BS48" s="709"/>
      <c r="BT48" s="709"/>
      <c r="BU48" s="709"/>
      <c r="BV48" s="709"/>
      <c r="BW48" s="709"/>
    </row>
    <row r="49" spans="2:75" x14ac:dyDescent="0.25">
      <c r="B49" s="16"/>
      <c r="C49" t="s">
        <v>470</v>
      </c>
      <c r="D49" s="19"/>
      <c r="E49" s="19">
        <v>2500</v>
      </c>
      <c r="F49" s="19"/>
      <c r="G49" s="19">
        <f t="shared" ca="1" si="0"/>
        <v>0</v>
      </c>
      <c r="H49" s="582">
        <f t="shared" ca="1" si="1"/>
        <v>0</v>
      </c>
      <c r="I49" s="541"/>
      <c r="J49" s="536" t="s">
        <v>466</v>
      </c>
      <c r="K49" s="709"/>
      <c r="L49" s="709"/>
      <c r="M49" s="709"/>
      <c r="N49" s="709"/>
      <c r="O49" s="709"/>
      <c r="P49" s="709"/>
      <c r="Q49" s="709"/>
      <c r="R49" s="709"/>
      <c r="S49" s="709"/>
      <c r="T49" s="709"/>
      <c r="U49" s="709"/>
      <c r="V49" s="709"/>
      <c r="W49" s="709"/>
      <c r="X49" s="709"/>
      <c r="Y49" s="709"/>
      <c r="Z49" s="709"/>
      <c r="AA49" s="709"/>
      <c r="AB49" s="709"/>
      <c r="AC49" s="709"/>
      <c r="AD49" s="709"/>
      <c r="AE49" s="709"/>
      <c r="AF49" s="709"/>
      <c r="AG49" s="709"/>
      <c r="AH49" s="709"/>
      <c r="AI49" s="709"/>
      <c r="AJ49" s="709"/>
      <c r="AK49" s="709"/>
      <c r="AL49" s="709"/>
      <c r="AM49" s="709"/>
      <c r="AN49" s="709"/>
      <c r="AO49" s="709"/>
      <c r="AP49" s="709"/>
      <c r="AQ49" s="709"/>
      <c r="AR49" s="709"/>
      <c r="AS49" s="709"/>
      <c r="AT49" s="709"/>
      <c r="AU49" s="709"/>
      <c r="AV49" s="709"/>
      <c r="AW49" s="709"/>
      <c r="AX49" s="709"/>
      <c r="AY49" s="709"/>
      <c r="AZ49" s="709"/>
      <c r="BA49" s="716"/>
      <c r="BB49" s="709"/>
      <c r="BC49" s="709"/>
      <c r="BD49" s="709"/>
      <c r="BE49" s="709"/>
      <c r="BF49" s="709"/>
      <c r="BG49" s="709"/>
      <c r="BH49" s="709"/>
      <c r="BI49" s="709"/>
      <c r="BJ49" s="709"/>
      <c r="BK49" s="709"/>
      <c r="BL49" s="709"/>
      <c r="BM49" s="709"/>
      <c r="BN49" s="709"/>
      <c r="BO49" s="709"/>
      <c r="BP49" s="709"/>
      <c r="BQ49" s="709"/>
      <c r="BR49" s="709"/>
      <c r="BS49" s="709"/>
      <c r="BT49" s="709"/>
      <c r="BU49" s="709"/>
      <c r="BV49" s="709"/>
      <c r="BW49" s="709"/>
    </row>
    <row r="50" spans="2:75" x14ac:dyDescent="0.25">
      <c r="B50" s="16"/>
      <c r="C50" t="s">
        <v>439</v>
      </c>
      <c r="D50" s="19"/>
      <c r="E50" s="19">
        <v>1000</v>
      </c>
      <c r="F50" s="19"/>
      <c r="G50" s="19">
        <f t="shared" ca="1" si="0"/>
        <v>0</v>
      </c>
      <c r="H50" s="582">
        <f t="shared" ca="1" si="1"/>
        <v>0</v>
      </c>
      <c r="I50" s="541"/>
      <c r="J50" s="536" t="s">
        <v>466</v>
      </c>
      <c r="K50" s="709"/>
      <c r="L50" s="709"/>
      <c r="M50" s="709"/>
      <c r="N50" s="709"/>
      <c r="O50" s="709"/>
      <c r="P50" s="709"/>
      <c r="Q50" s="709"/>
      <c r="R50" s="709"/>
      <c r="S50" s="709"/>
      <c r="T50" s="709"/>
      <c r="U50" s="709"/>
      <c r="V50" s="709"/>
      <c r="W50" s="709"/>
      <c r="X50" s="709"/>
      <c r="Y50" s="709"/>
      <c r="Z50" s="709"/>
      <c r="AA50" s="709"/>
      <c r="AB50" s="709"/>
      <c r="AC50" s="709"/>
      <c r="AD50" s="709"/>
      <c r="AE50" s="709"/>
      <c r="AF50" s="709"/>
      <c r="AG50" s="709"/>
      <c r="AH50" s="709"/>
      <c r="AI50" s="709"/>
      <c r="AJ50" s="709"/>
      <c r="AK50" s="709"/>
      <c r="AL50" s="709"/>
      <c r="AM50" s="709"/>
      <c r="AN50" s="709"/>
      <c r="AO50" s="709"/>
      <c r="AP50" s="709"/>
      <c r="AQ50" s="709"/>
      <c r="AR50" s="709"/>
      <c r="AS50" s="709"/>
      <c r="AT50" s="709"/>
      <c r="AU50" s="709"/>
      <c r="AV50" s="709"/>
      <c r="AW50" s="709"/>
      <c r="AX50" s="709"/>
      <c r="AY50" s="709"/>
      <c r="AZ50" s="709"/>
      <c r="BA50" s="716"/>
      <c r="BB50" s="709"/>
      <c r="BC50" s="709"/>
      <c r="BD50" s="709"/>
      <c r="BE50" s="709"/>
      <c r="BF50" s="709"/>
      <c r="BG50" s="709"/>
      <c r="BH50" s="709"/>
      <c r="BI50" s="709"/>
      <c r="BJ50" s="709"/>
      <c r="BK50" s="709"/>
      <c r="BL50" s="709"/>
      <c r="BM50" s="709"/>
      <c r="BN50" s="709"/>
      <c r="BO50" s="709"/>
      <c r="BP50" s="709"/>
      <c r="BQ50" s="709"/>
      <c r="BR50" s="709"/>
      <c r="BS50" s="709"/>
      <c r="BT50" s="709"/>
      <c r="BU50" s="709"/>
      <c r="BV50" s="709"/>
      <c r="BW50" s="709"/>
    </row>
    <row r="51" spans="2:75" x14ac:dyDescent="0.25">
      <c r="B51" s="16"/>
      <c r="C51" t="s">
        <v>471</v>
      </c>
      <c r="D51" s="19"/>
      <c r="E51" s="19">
        <v>2500</v>
      </c>
      <c r="F51" s="19"/>
      <c r="G51" s="19">
        <f t="shared" ca="1" si="0"/>
        <v>0</v>
      </c>
      <c r="H51" s="582">
        <f t="shared" ca="1" si="1"/>
        <v>0</v>
      </c>
      <c r="I51" s="541"/>
      <c r="J51" s="536" t="s">
        <v>466</v>
      </c>
      <c r="K51" s="709"/>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09"/>
      <c r="AM51" s="709"/>
      <c r="AN51" s="709"/>
      <c r="AO51" s="709"/>
      <c r="AP51" s="709"/>
      <c r="AQ51" s="709"/>
      <c r="AR51" s="709"/>
      <c r="AS51" s="709"/>
      <c r="AT51" s="709"/>
      <c r="AU51" s="709"/>
      <c r="AV51" s="709"/>
      <c r="AW51" s="709"/>
      <c r="AX51" s="709"/>
      <c r="AY51" s="709"/>
      <c r="AZ51" s="709"/>
      <c r="BA51" s="716"/>
      <c r="BB51" s="709"/>
      <c r="BC51" s="709"/>
      <c r="BD51" s="709"/>
      <c r="BE51" s="709"/>
      <c r="BF51" s="709"/>
      <c r="BG51" s="709"/>
      <c r="BH51" s="709"/>
      <c r="BI51" s="709"/>
      <c r="BJ51" s="709"/>
      <c r="BK51" s="709"/>
      <c r="BL51" s="709"/>
      <c r="BM51" s="709"/>
      <c r="BN51" s="709"/>
      <c r="BO51" s="709"/>
      <c r="BP51" s="709"/>
      <c r="BQ51" s="709"/>
      <c r="BR51" s="709"/>
      <c r="BS51" s="709"/>
      <c r="BT51" s="709"/>
      <c r="BU51" s="709"/>
      <c r="BV51" s="709"/>
      <c r="BW51" s="709"/>
    </row>
    <row r="52" spans="2:75" x14ac:dyDescent="0.25">
      <c r="B52" s="546" t="s">
        <v>472</v>
      </c>
      <c r="C52" s="552" t="s">
        <v>473</v>
      </c>
      <c r="D52" s="19"/>
      <c r="E52" s="19">
        <v>6700</v>
      </c>
      <c r="F52" s="42">
        <v>6700</v>
      </c>
      <c r="G52" s="19">
        <f t="shared" ca="1" si="0"/>
        <v>0</v>
      </c>
      <c r="H52" s="582">
        <f t="shared" ca="1" si="1"/>
        <v>6700</v>
      </c>
      <c r="I52" s="486" t="s">
        <v>474</v>
      </c>
      <c r="J52" s="536" t="s">
        <v>475</v>
      </c>
      <c r="K52" s="709"/>
      <c r="L52" s="709"/>
      <c r="M52" s="709"/>
      <c r="N52" s="709"/>
      <c r="O52" s="709"/>
      <c r="P52" s="709"/>
      <c r="Q52" s="709"/>
      <c r="R52" s="709"/>
      <c r="S52" s="709"/>
      <c r="T52" s="709"/>
      <c r="U52" s="709"/>
      <c r="V52" s="709"/>
      <c r="W52" s="709"/>
      <c r="X52" s="709"/>
      <c r="Y52" s="709"/>
      <c r="Z52" s="709"/>
      <c r="AA52" s="709"/>
      <c r="AB52" s="709"/>
      <c r="AC52" s="709"/>
      <c r="AD52" s="709"/>
      <c r="AE52" s="709"/>
      <c r="AF52" s="709"/>
      <c r="AG52" s="709"/>
      <c r="AH52" s="709"/>
      <c r="AI52" s="709"/>
      <c r="AJ52" s="709"/>
      <c r="AK52" s="709"/>
      <c r="AL52" s="709"/>
      <c r="AM52" s="709"/>
      <c r="AN52" s="709"/>
      <c r="AO52" s="709"/>
      <c r="AP52" s="709"/>
      <c r="AQ52" s="709"/>
      <c r="AR52" s="709"/>
      <c r="AS52" s="709"/>
      <c r="AT52" s="709"/>
      <c r="AU52" s="709"/>
      <c r="AV52" s="709"/>
      <c r="AW52" s="709"/>
      <c r="AX52" s="709"/>
      <c r="AY52" s="709"/>
      <c r="AZ52" s="709"/>
      <c r="BA52" s="716"/>
      <c r="BB52" s="709"/>
      <c r="BC52" s="709"/>
      <c r="BD52" s="709"/>
      <c r="BE52" s="709"/>
      <c r="BF52" s="709"/>
      <c r="BG52" s="709"/>
      <c r="BH52" s="709"/>
      <c r="BI52" s="709"/>
      <c r="BJ52" s="709"/>
      <c r="BK52" s="709"/>
      <c r="BL52" s="709"/>
      <c r="BM52" s="709"/>
      <c r="BN52" s="709"/>
      <c r="BO52" s="709"/>
      <c r="BP52" s="709"/>
      <c r="BQ52" s="709"/>
      <c r="BR52" s="709"/>
      <c r="BS52" s="709"/>
      <c r="BT52" s="709"/>
      <c r="BU52" s="709"/>
      <c r="BV52" s="709"/>
      <c r="BW52" s="709"/>
    </row>
    <row r="53" spans="2:75" x14ac:dyDescent="0.25">
      <c r="B53" s="16"/>
      <c r="C53" t="s">
        <v>225</v>
      </c>
      <c r="D53" s="19"/>
      <c r="E53" s="19">
        <v>1500</v>
      </c>
      <c r="F53" s="19"/>
      <c r="G53" s="19">
        <f t="shared" ca="1" si="0"/>
        <v>0</v>
      </c>
      <c r="H53" s="582">
        <f t="shared" ca="1" si="1"/>
        <v>0</v>
      </c>
      <c r="I53" s="541"/>
      <c r="J53" s="536" t="s">
        <v>476</v>
      </c>
      <c r="K53" s="709"/>
      <c r="L53" s="709"/>
      <c r="M53" s="709"/>
      <c r="N53" s="709"/>
      <c r="O53" s="709"/>
      <c r="P53" s="709"/>
      <c r="Q53" s="709"/>
      <c r="R53" s="709"/>
      <c r="S53" s="709"/>
      <c r="T53" s="709"/>
      <c r="U53" s="709"/>
      <c r="V53" s="709"/>
      <c r="W53" s="709"/>
      <c r="X53" s="709"/>
      <c r="Y53" s="709"/>
      <c r="Z53" s="709"/>
      <c r="AA53" s="709"/>
      <c r="AB53" s="709"/>
      <c r="AC53" s="709"/>
      <c r="AD53" s="709"/>
      <c r="AE53" s="709"/>
      <c r="AF53" s="709"/>
      <c r="AG53" s="709"/>
      <c r="AH53" s="709"/>
      <c r="AI53" s="709"/>
      <c r="AJ53" s="709"/>
      <c r="AK53" s="709"/>
      <c r="AL53" s="709"/>
      <c r="AM53" s="709"/>
      <c r="AN53" s="709"/>
      <c r="AO53" s="709"/>
      <c r="AP53" s="709"/>
      <c r="AQ53" s="709"/>
      <c r="AR53" s="709"/>
      <c r="AS53" s="709"/>
      <c r="AT53" s="709"/>
      <c r="AU53" s="709"/>
      <c r="AV53" s="709"/>
      <c r="AW53" s="709"/>
      <c r="AX53" s="709"/>
      <c r="AY53" s="709"/>
      <c r="AZ53" s="709"/>
      <c r="BA53" s="716"/>
      <c r="BB53" s="709"/>
      <c r="BC53" s="709"/>
      <c r="BD53" s="709"/>
      <c r="BE53" s="709"/>
      <c r="BF53" s="709"/>
      <c r="BG53" s="709"/>
      <c r="BH53" s="709"/>
      <c r="BI53" s="709"/>
      <c r="BJ53" s="709"/>
      <c r="BK53" s="709"/>
      <c r="BL53" s="709"/>
      <c r="BM53" s="709"/>
      <c r="BN53" s="709"/>
      <c r="BO53" s="709"/>
      <c r="BP53" s="709"/>
      <c r="BQ53" s="709"/>
      <c r="BR53" s="709"/>
      <c r="BS53" s="709"/>
      <c r="BT53" s="709"/>
      <c r="BU53" s="709"/>
      <c r="BV53" s="709"/>
      <c r="BW53" s="709"/>
    </row>
    <row r="54" spans="2:75" x14ac:dyDescent="0.25">
      <c r="B54" s="16"/>
      <c r="C54" t="s">
        <v>477</v>
      </c>
      <c r="D54" s="19"/>
      <c r="E54" s="19">
        <v>3750</v>
      </c>
      <c r="F54" s="19"/>
      <c r="G54" s="19">
        <f t="shared" ca="1" si="0"/>
        <v>0</v>
      </c>
      <c r="H54" s="582">
        <f t="shared" ca="1" si="1"/>
        <v>0</v>
      </c>
      <c r="I54" s="541"/>
      <c r="J54" s="536" t="s">
        <v>476</v>
      </c>
      <c r="K54" s="709"/>
      <c r="L54" s="709"/>
      <c r="M54" s="709"/>
      <c r="N54" s="709"/>
      <c r="O54" s="709"/>
      <c r="P54" s="709"/>
      <c r="Q54" s="709"/>
      <c r="R54" s="709"/>
      <c r="S54" s="709"/>
      <c r="T54" s="709"/>
      <c r="U54" s="709"/>
      <c r="V54" s="709"/>
      <c r="W54" s="709"/>
      <c r="X54" s="709"/>
      <c r="Y54" s="709"/>
      <c r="Z54" s="709"/>
      <c r="AA54" s="709"/>
      <c r="AB54" s="709"/>
      <c r="AC54" s="709"/>
      <c r="AD54" s="709"/>
      <c r="AE54" s="709"/>
      <c r="AF54" s="709"/>
      <c r="AG54" s="709"/>
      <c r="AH54" s="709"/>
      <c r="AI54" s="709"/>
      <c r="AJ54" s="709"/>
      <c r="AK54" s="709"/>
      <c r="AL54" s="709"/>
      <c r="AM54" s="709"/>
      <c r="AN54" s="709"/>
      <c r="AO54" s="709"/>
      <c r="AP54" s="709"/>
      <c r="AQ54" s="709"/>
      <c r="AR54" s="709"/>
      <c r="AS54" s="709"/>
      <c r="AT54" s="709"/>
      <c r="AU54" s="709"/>
      <c r="AV54" s="709"/>
      <c r="AW54" s="709"/>
      <c r="AX54" s="709"/>
      <c r="AY54" s="709"/>
      <c r="AZ54" s="709"/>
      <c r="BA54" s="716"/>
      <c r="BB54" s="709"/>
      <c r="BC54" s="709"/>
      <c r="BD54" s="709"/>
      <c r="BE54" s="709"/>
      <c r="BF54" s="709"/>
      <c r="BG54" s="709"/>
      <c r="BH54" s="709"/>
      <c r="BI54" s="709"/>
      <c r="BJ54" s="709"/>
      <c r="BK54" s="709"/>
      <c r="BL54" s="709"/>
      <c r="BM54" s="709"/>
      <c r="BN54" s="709"/>
      <c r="BO54" s="709"/>
      <c r="BP54" s="709"/>
      <c r="BQ54" s="709"/>
      <c r="BR54" s="709"/>
      <c r="BS54" s="709"/>
      <c r="BT54" s="709"/>
      <c r="BU54" s="709"/>
      <c r="BV54" s="709"/>
      <c r="BW54" s="709"/>
    </row>
    <row r="55" spans="2:75" x14ac:dyDescent="0.25">
      <c r="B55" s="546" t="s">
        <v>478</v>
      </c>
      <c r="C55" t="s">
        <v>479</v>
      </c>
      <c r="D55" s="19"/>
      <c r="E55" s="19">
        <v>4750</v>
      </c>
      <c r="F55" s="19"/>
      <c r="G55" s="19">
        <f t="shared" ca="1" si="0"/>
        <v>0</v>
      </c>
      <c r="H55" s="582">
        <f t="shared" ca="1" si="1"/>
        <v>0</v>
      </c>
      <c r="I55" s="541"/>
      <c r="J55" s="683" t="s">
        <v>480</v>
      </c>
      <c r="K55" s="709"/>
      <c r="L55" s="709"/>
      <c r="M55" s="709"/>
      <c r="N55" s="709"/>
      <c r="O55" s="709"/>
      <c r="P55" s="709"/>
      <c r="Q55" s="709"/>
      <c r="R55" s="709"/>
      <c r="S55" s="709"/>
      <c r="T55" s="709"/>
      <c r="U55" s="709"/>
      <c r="V55" s="709"/>
      <c r="W55" s="709"/>
      <c r="X55" s="709"/>
      <c r="Y55" s="709"/>
      <c r="Z55" s="709"/>
      <c r="AA55" s="709"/>
      <c r="AB55" s="709"/>
      <c r="AC55" s="709"/>
      <c r="AD55" s="709"/>
      <c r="AE55" s="709"/>
      <c r="AF55" s="709"/>
      <c r="AG55" s="709"/>
      <c r="AH55" s="709"/>
      <c r="AI55" s="709"/>
      <c r="AJ55" s="709"/>
      <c r="AK55" s="709"/>
      <c r="AL55" s="709"/>
      <c r="AM55" s="709"/>
      <c r="AN55" s="709"/>
      <c r="AO55" s="709"/>
      <c r="AP55" s="709"/>
      <c r="AQ55" s="709"/>
      <c r="AR55" s="709"/>
      <c r="AS55" s="709"/>
      <c r="AT55" s="709"/>
      <c r="AU55" s="709"/>
      <c r="AV55" s="709"/>
      <c r="AW55" s="709"/>
      <c r="AX55" s="709"/>
      <c r="AY55" s="709"/>
      <c r="AZ55" s="709"/>
      <c r="BA55" s="716"/>
      <c r="BB55" s="709"/>
      <c r="BC55" s="709"/>
      <c r="BD55" s="709"/>
      <c r="BE55" s="709"/>
      <c r="BF55" s="709"/>
      <c r="BG55" s="709"/>
      <c r="BH55" s="709"/>
      <c r="BI55" s="709"/>
      <c r="BJ55" s="709"/>
      <c r="BK55" s="709"/>
      <c r="BL55" s="709"/>
      <c r="BM55" s="709"/>
      <c r="BN55" s="709"/>
      <c r="BO55" s="709"/>
      <c r="BP55" s="709"/>
      <c r="BQ55" s="709"/>
      <c r="BR55" s="709"/>
      <c r="BS55" s="709"/>
      <c r="BT55" s="709"/>
      <c r="BU55" s="709"/>
      <c r="BV55" s="709"/>
      <c r="BW55" s="709"/>
    </row>
    <row r="56" spans="2:75" x14ac:dyDescent="0.25">
      <c r="B56" s="546"/>
      <c r="C56" t="s">
        <v>481</v>
      </c>
      <c r="D56" s="19"/>
      <c r="E56" s="19">
        <v>1975</v>
      </c>
      <c r="F56" s="19"/>
      <c r="G56" s="19">
        <f t="shared" ca="1" si="0"/>
        <v>0</v>
      </c>
      <c r="H56" s="582">
        <f t="shared" ca="1" si="1"/>
        <v>0</v>
      </c>
      <c r="I56" s="541"/>
      <c r="J56" s="683" t="s">
        <v>480</v>
      </c>
      <c r="K56" s="709"/>
      <c r="L56" s="709"/>
      <c r="M56" s="709"/>
      <c r="N56" s="709"/>
      <c r="O56" s="709"/>
      <c r="P56" s="709"/>
      <c r="Q56" s="709"/>
      <c r="R56" s="709"/>
      <c r="S56" s="709"/>
      <c r="T56" s="709"/>
      <c r="U56" s="709"/>
      <c r="V56" s="709"/>
      <c r="W56" s="709"/>
      <c r="X56" s="709"/>
      <c r="Y56" s="709"/>
      <c r="Z56" s="709"/>
      <c r="AA56" s="709"/>
      <c r="AB56" s="709"/>
      <c r="AC56" s="709"/>
      <c r="AD56" s="709"/>
      <c r="AE56" s="709"/>
      <c r="AF56" s="709"/>
      <c r="AG56" s="709"/>
      <c r="AH56" s="709"/>
      <c r="AI56" s="709"/>
      <c r="AJ56" s="709"/>
      <c r="AK56" s="709"/>
      <c r="AL56" s="709"/>
      <c r="AM56" s="709"/>
      <c r="AN56" s="709"/>
      <c r="AO56" s="709"/>
      <c r="AP56" s="709"/>
      <c r="AQ56" s="709"/>
      <c r="AR56" s="709"/>
      <c r="AS56" s="709"/>
      <c r="AT56" s="709"/>
      <c r="AU56" s="709"/>
      <c r="AV56" s="709"/>
      <c r="AW56" s="709"/>
      <c r="AX56" s="709"/>
      <c r="AY56" s="709"/>
      <c r="AZ56" s="709"/>
      <c r="BA56" s="716"/>
      <c r="BB56" s="709"/>
      <c r="BC56" s="709"/>
      <c r="BD56" s="709"/>
      <c r="BE56" s="709"/>
      <c r="BF56" s="709"/>
      <c r="BG56" s="709"/>
      <c r="BH56" s="709"/>
      <c r="BI56" s="709"/>
      <c r="BJ56" s="709"/>
      <c r="BK56" s="709"/>
      <c r="BL56" s="709"/>
      <c r="BM56" s="709"/>
      <c r="BN56" s="709"/>
      <c r="BO56" s="709"/>
      <c r="BP56" s="709"/>
      <c r="BQ56" s="709"/>
      <c r="BR56" s="709"/>
      <c r="BS56" s="709"/>
      <c r="BT56" s="709"/>
      <c r="BU56" s="709"/>
      <c r="BV56" s="709"/>
      <c r="BW56" s="709"/>
    </row>
    <row r="57" spans="2:75" x14ac:dyDescent="0.25">
      <c r="B57" s="546"/>
      <c r="C57" t="s">
        <v>482</v>
      </c>
      <c r="D57" s="19"/>
      <c r="E57" s="19">
        <v>6700</v>
      </c>
      <c r="F57" s="19"/>
      <c r="G57" s="19">
        <f t="shared" ca="1" si="0"/>
        <v>0</v>
      </c>
      <c r="H57" s="582">
        <f t="shared" ca="1" si="1"/>
        <v>0</v>
      </c>
      <c r="I57" s="541"/>
      <c r="J57" s="683" t="s">
        <v>480</v>
      </c>
      <c r="K57" s="709"/>
      <c r="L57" s="709"/>
      <c r="M57" s="709"/>
      <c r="N57" s="709"/>
      <c r="O57" s="709"/>
      <c r="P57" s="709"/>
      <c r="Q57" s="709"/>
      <c r="R57" s="709"/>
      <c r="S57" s="709"/>
      <c r="T57" s="709"/>
      <c r="U57" s="709"/>
      <c r="V57" s="709"/>
      <c r="W57" s="709"/>
      <c r="X57" s="709"/>
      <c r="Y57" s="709"/>
      <c r="Z57" s="709"/>
      <c r="AA57" s="709"/>
      <c r="AB57" s="709"/>
      <c r="AC57" s="709"/>
      <c r="AD57" s="709"/>
      <c r="AE57" s="709"/>
      <c r="AF57" s="709"/>
      <c r="AG57" s="709"/>
      <c r="AH57" s="709"/>
      <c r="AI57" s="709"/>
      <c r="AJ57" s="709"/>
      <c r="AK57" s="709"/>
      <c r="AL57" s="709"/>
      <c r="AM57" s="709"/>
      <c r="AN57" s="709"/>
      <c r="AO57" s="709"/>
      <c r="AP57" s="709"/>
      <c r="AQ57" s="709"/>
      <c r="AR57" s="709"/>
      <c r="AS57" s="709"/>
      <c r="AT57" s="709"/>
      <c r="AU57" s="709"/>
      <c r="AV57" s="709"/>
      <c r="AW57" s="709"/>
      <c r="AX57" s="709"/>
      <c r="AY57" s="709"/>
      <c r="AZ57" s="709"/>
      <c r="BA57" s="716"/>
      <c r="BB57" s="709"/>
      <c r="BC57" s="709"/>
      <c r="BD57" s="709"/>
      <c r="BE57" s="709"/>
      <c r="BF57" s="709"/>
      <c r="BG57" s="709"/>
      <c r="BH57" s="709"/>
      <c r="BI57" s="709"/>
      <c r="BJ57" s="709"/>
      <c r="BK57" s="709"/>
      <c r="BL57" s="709"/>
      <c r="BM57" s="709"/>
      <c r="BN57" s="709"/>
      <c r="BO57" s="709"/>
      <c r="BP57" s="709"/>
      <c r="BQ57" s="709"/>
      <c r="BR57" s="709"/>
      <c r="BS57" s="709"/>
      <c r="BT57" s="709"/>
      <c r="BU57" s="709"/>
      <c r="BV57" s="709"/>
      <c r="BW57" s="709"/>
    </row>
    <row r="58" spans="2:75" x14ac:dyDescent="0.25">
      <c r="B58" s="546"/>
      <c r="C58" t="s">
        <v>483</v>
      </c>
      <c r="D58" s="19"/>
      <c r="E58" s="19">
        <v>3945</v>
      </c>
      <c r="F58" s="19"/>
      <c r="G58" s="19">
        <f t="shared" ca="1" si="0"/>
        <v>0</v>
      </c>
      <c r="H58" s="582">
        <f t="shared" ca="1" si="1"/>
        <v>0</v>
      </c>
      <c r="I58" s="541"/>
      <c r="J58" s="683" t="s">
        <v>480</v>
      </c>
      <c r="K58" s="709"/>
      <c r="L58" s="709"/>
      <c r="M58" s="709"/>
      <c r="N58" s="709"/>
      <c r="O58" s="709"/>
      <c r="P58" s="709"/>
      <c r="Q58" s="709"/>
      <c r="R58" s="709"/>
      <c r="S58" s="709"/>
      <c r="T58" s="709"/>
      <c r="U58" s="709"/>
      <c r="V58" s="709"/>
      <c r="W58" s="709"/>
      <c r="X58" s="709"/>
      <c r="Y58" s="709"/>
      <c r="Z58" s="709"/>
      <c r="AA58" s="709"/>
      <c r="AB58" s="709"/>
      <c r="AC58" s="709"/>
      <c r="AD58" s="709"/>
      <c r="AE58" s="709"/>
      <c r="AF58" s="709"/>
      <c r="AG58" s="709"/>
      <c r="AH58" s="709"/>
      <c r="AI58" s="709"/>
      <c r="AJ58" s="709"/>
      <c r="AK58" s="709"/>
      <c r="AL58" s="709"/>
      <c r="AM58" s="709"/>
      <c r="AN58" s="709"/>
      <c r="AO58" s="709"/>
      <c r="AP58" s="709"/>
      <c r="AQ58" s="709"/>
      <c r="AR58" s="709"/>
      <c r="AS58" s="709"/>
      <c r="AT58" s="709"/>
      <c r="AU58" s="709"/>
      <c r="AV58" s="709"/>
      <c r="AW58" s="709"/>
      <c r="AX58" s="709"/>
      <c r="AY58" s="709"/>
      <c r="AZ58" s="709"/>
      <c r="BA58" s="716"/>
      <c r="BB58" s="709"/>
      <c r="BC58" s="709"/>
      <c r="BD58" s="709"/>
      <c r="BE58" s="709"/>
      <c r="BF58" s="709"/>
      <c r="BG58" s="709"/>
      <c r="BH58" s="709"/>
      <c r="BI58" s="709"/>
      <c r="BJ58" s="709"/>
      <c r="BK58" s="709"/>
      <c r="BL58" s="709"/>
      <c r="BM58" s="709"/>
      <c r="BN58" s="709"/>
      <c r="BO58" s="709"/>
      <c r="BP58" s="709"/>
      <c r="BQ58" s="709"/>
      <c r="BR58" s="709"/>
      <c r="BS58" s="709"/>
      <c r="BT58" s="709"/>
      <c r="BU58" s="709"/>
      <c r="BV58" s="709"/>
      <c r="BW58" s="709"/>
    </row>
    <row r="59" spans="2:75" x14ac:dyDescent="0.25">
      <c r="B59" s="546"/>
      <c r="C59" t="s">
        <v>484</v>
      </c>
      <c r="D59" s="19"/>
      <c r="E59" s="19">
        <v>2450</v>
      </c>
      <c r="F59" s="19"/>
      <c r="G59" s="19">
        <f t="shared" ca="1" si="0"/>
        <v>0</v>
      </c>
      <c r="H59" s="582">
        <f t="shared" ca="1" si="1"/>
        <v>0</v>
      </c>
      <c r="I59" s="541"/>
      <c r="J59" s="683" t="s">
        <v>480</v>
      </c>
      <c r="K59" s="709"/>
      <c r="L59" s="709"/>
      <c r="M59" s="709"/>
      <c r="N59" s="709"/>
      <c r="O59" s="709"/>
      <c r="P59" s="709"/>
      <c r="Q59" s="709"/>
      <c r="R59" s="709"/>
      <c r="S59" s="709"/>
      <c r="T59" s="709"/>
      <c r="U59" s="709"/>
      <c r="V59" s="709"/>
      <c r="W59" s="709"/>
      <c r="X59" s="709"/>
      <c r="Y59" s="709"/>
      <c r="Z59" s="709"/>
      <c r="AA59" s="709"/>
      <c r="AB59" s="709"/>
      <c r="AC59" s="709"/>
      <c r="AD59" s="709"/>
      <c r="AE59" s="709"/>
      <c r="AF59" s="709"/>
      <c r="AG59" s="709"/>
      <c r="AH59" s="709"/>
      <c r="AI59" s="709"/>
      <c r="AJ59" s="709"/>
      <c r="AK59" s="709"/>
      <c r="AL59" s="709"/>
      <c r="AM59" s="709"/>
      <c r="AN59" s="709"/>
      <c r="AO59" s="709"/>
      <c r="AP59" s="709"/>
      <c r="AQ59" s="709"/>
      <c r="AR59" s="709"/>
      <c r="AS59" s="709"/>
      <c r="AT59" s="709"/>
      <c r="AU59" s="709"/>
      <c r="AV59" s="709"/>
      <c r="AW59" s="709"/>
      <c r="AX59" s="709"/>
      <c r="AY59" s="709"/>
      <c r="AZ59" s="709"/>
      <c r="BA59" s="716"/>
      <c r="BB59" s="709"/>
      <c r="BC59" s="709"/>
      <c r="BD59" s="709"/>
      <c r="BE59" s="709"/>
      <c r="BF59" s="709"/>
      <c r="BG59" s="709"/>
      <c r="BH59" s="709"/>
      <c r="BI59" s="709"/>
      <c r="BJ59" s="709"/>
      <c r="BK59" s="709"/>
      <c r="BL59" s="709"/>
      <c r="BM59" s="709"/>
      <c r="BN59" s="709"/>
      <c r="BO59" s="709"/>
      <c r="BP59" s="709"/>
      <c r="BQ59" s="709"/>
      <c r="BR59" s="709"/>
      <c r="BS59" s="709"/>
      <c r="BT59" s="709"/>
      <c r="BU59" s="709"/>
      <c r="BV59" s="709"/>
      <c r="BW59" s="709"/>
    </row>
    <row r="60" spans="2:75" x14ac:dyDescent="0.25">
      <c r="B60" s="546" t="s">
        <v>485</v>
      </c>
      <c r="C60" t="s">
        <v>486</v>
      </c>
      <c r="D60" s="19"/>
      <c r="E60" s="19">
        <v>8600</v>
      </c>
      <c r="F60" s="19"/>
      <c r="G60" s="19">
        <f t="shared" ca="1" si="0"/>
        <v>0</v>
      </c>
      <c r="H60" s="582">
        <f t="shared" ca="1" si="1"/>
        <v>0</v>
      </c>
      <c r="I60" s="541"/>
      <c r="J60" s="683" t="s">
        <v>190</v>
      </c>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09"/>
      <c r="AJ60" s="709"/>
      <c r="AK60" s="709"/>
      <c r="AL60" s="709"/>
      <c r="AM60" s="709"/>
      <c r="AN60" s="709"/>
      <c r="AO60" s="709"/>
      <c r="AP60" s="709"/>
      <c r="AQ60" s="709"/>
      <c r="AR60" s="709"/>
      <c r="AS60" s="709"/>
      <c r="AT60" s="709"/>
      <c r="AU60" s="709"/>
      <c r="AV60" s="709"/>
      <c r="AW60" s="709"/>
      <c r="AX60" s="709"/>
      <c r="AY60" s="709"/>
      <c r="AZ60" s="709"/>
      <c r="BA60" s="716"/>
      <c r="BB60" s="709"/>
      <c r="BC60" s="709"/>
      <c r="BD60" s="709"/>
      <c r="BE60" s="709"/>
      <c r="BF60" s="709"/>
      <c r="BG60" s="709"/>
      <c r="BH60" s="709"/>
      <c r="BI60" s="709"/>
      <c r="BJ60" s="709"/>
      <c r="BK60" s="709"/>
      <c r="BL60" s="709"/>
      <c r="BM60" s="709"/>
      <c r="BN60" s="709"/>
      <c r="BO60" s="709"/>
      <c r="BP60" s="709"/>
      <c r="BQ60" s="709"/>
      <c r="BR60" s="709"/>
      <c r="BS60" s="709"/>
      <c r="BT60" s="709"/>
      <c r="BU60" s="709"/>
      <c r="BV60" s="709"/>
      <c r="BW60" s="709"/>
    </row>
    <row r="61" spans="2:75" x14ac:dyDescent="0.25">
      <c r="B61" s="546"/>
      <c r="C61" t="s">
        <v>483</v>
      </c>
      <c r="D61" s="19"/>
      <c r="E61" s="19">
        <v>2800</v>
      </c>
      <c r="F61" s="19"/>
      <c r="G61" s="19">
        <f t="shared" ca="1" si="0"/>
        <v>0</v>
      </c>
      <c r="H61" s="582">
        <f t="shared" ca="1" si="1"/>
        <v>0</v>
      </c>
      <c r="I61" s="541"/>
      <c r="J61" s="683" t="s">
        <v>190</v>
      </c>
      <c r="K61" s="709"/>
      <c r="L61" s="709"/>
      <c r="M61" s="709"/>
      <c r="N61" s="709"/>
      <c r="O61" s="709"/>
      <c r="P61" s="709"/>
      <c r="Q61" s="709"/>
      <c r="R61" s="709"/>
      <c r="S61" s="709"/>
      <c r="T61" s="709"/>
      <c r="U61" s="709"/>
      <c r="V61" s="709"/>
      <c r="W61" s="709"/>
      <c r="X61" s="709"/>
      <c r="Y61" s="709"/>
      <c r="Z61" s="709"/>
      <c r="AA61" s="709"/>
      <c r="AB61" s="709"/>
      <c r="AC61" s="709"/>
      <c r="AD61" s="709"/>
      <c r="AE61" s="709"/>
      <c r="AF61" s="709"/>
      <c r="AG61" s="709"/>
      <c r="AH61" s="709"/>
      <c r="AI61" s="709"/>
      <c r="AJ61" s="709"/>
      <c r="AK61" s="709"/>
      <c r="AL61" s="709"/>
      <c r="AM61" s="709"/>
      <c r="AN61" s="709"/>
      <c r="AO61" s="709"/>
      <c r="AP61" s="709"/>
      <c r="AQ61" s="709"/>
      <c r="AR61" s="709"/>
      <c r="AS61" s="709"/>
      <c r="AT61" s="709"/>
      <c r="AU61" s="709"/>
      <c r="AV61" s="709"/>
      <c r="AW61" s="709"/>
      <c r="AX61" s="709"/>
      <c r="AY61" s="709"/>
      <c r="AZ61" s="709"/>
      <c r="BA61" s="716"/>
      <c r="BB61" s="709"/>
      <c r="BC61" s="709"/>
      <c r="BD61" s="709"/>
      <c r="BE61" s="709"/>
      <c r="BF61" s="709"/>
      <c r="BG61" s="709"/>
      <c r="BH61" s="709"/>
      <c r="BI61" s="709"/>
      <c r="BJ61" s="709"/>
      <c r="BK61" s="709"/>
      <c r="BL61" s="709"/>
      <c r="BM61" s="709"/>
      <c r="BN61" s="709"/>
      <c r="BO61" s="709"/>
      <c r="BP61" s="709"/>
      <c r="BQ61" s="709"/>
      <c r="BR61" s="709"/>
      <c r="BS61" s="709"/>
      <c r="BT61" s="709"/>
      <c r="BU61" s="709"/>
      <c r="BV61" s="709"/>
      <c r="BW61" s="709"/>
    </row>
    <row r="62" spans="2:75" x14ac:dyDescent="0.25">
      <c r="B62" s="546" t="s">
        <v>487</v>
      </c>
      <c r="C62" t="s">
        <v>488</v>
      </c>
      <c r="D62" s="19"/>
      <c r="E62" s="19">
        <v>8500</v>
      </c>
      <c r="F62" s="19"/>
      <c r="G62" s="19">
        <f t="shared" ca="1" si="0"/>
        <v>0</v>
      </c>
      <c r="H62" s="582">
        <f t="shared" ca="1" si="1"/>
        <v>0</v>
      </c>
      <c r="I62" s="541"/>
      <c r="J62" s="536" t="s">
        <v>431</v>
      </c>
      <c r="K62" s="709"/>
      <c r="L62" s="709"/>
      <c r="M62" s="709"/>
      <c r="N62" s="709"/>
      <c r="O62" s="709"/>
      <c r="P62" s="709"/>
      <c r="Q62" s="709"/>
      <c r="R62" s="709"/>
      <c r="S62" s="709"/>
      <c r="T62" s="709"/>
      <c r="U62" s="709"/>
      <c r="V62" s="709"/>
      <c r="W62" s="709"/>
      <c r="X62" s="709"/>
      <c r="Y62" s="709"/>
      <c r="Z62" s="709"/>
      <c r="AA62" s="709"/>
      <c r="AB62" s="709"/>
      <c r="AC62" s="709"/>
      <c r="AD62" s="709"/>
      <c r="AE62" s="709"/>
      <c r="AF62" s="709"/>
      <c r="AG62" s="709"/>
      <c r="AH62" s="709"/>
      <c r="AI62" s="709"/>
      <c r="AJ62" s="709"/>
      <c r="AK62" s="709"/>
      <c r="AL62" s="709"/>
      <c r="AM62" s="709"/>
      <c r="AN62" s="709"/>
      <c r="AO62" s="709"/>
      <c r="AP62" s="709"/>
      <c r="AQ62" s="709"/>
      <c r="AR62" s="709"/>
      <c r="AS62" s="709"/>
      <c r="AT62" s="709"/>
      <c r="AU62" s="709"/>
      <c r="AV62" s="709"/>
      <c r="AW62" s="709"/>
      <c r="AX62" s="709"/>
      <c r="AY62" s="709"/>
      <c r="AZ62" s="709"/>
      <c r="BA62" s="716"/>
      <c r="BB62" s="709"/>
      <c r="BC62" s="709"/>
      <c r="BD62" s="709"/>
      <c r="BE62" s="709"/>
      <c r="BF62" s="709"/>
      <c r="BG62" s="709"/>
      <c r="BH62" s="709"/>
      <c r="BI62" s="709"/>
      <c r="BJ62" s="709"/>
      <c r="BK62" s="709"/>
      <c r="BL62" s="709"/>
      <c r="BM62" s="709"/>
      <c r="BN62" s="709"/>
      <c r="BO62" s="709"/>
      <c r="BP62" s="709"/>
      <c r="BQ62" s="709"/>
      <c r="BR62" s="709"/>
      <c r="BS62" s="709"/>
      <c r="BT62" s="709"/>
      <c r="BU62" s="709"/>
      <c r="BV62" s="709"/>
      <c r="BW62" s="709"/>
    </row>
    <row r="63" spans="2:75" x14ac:dyDescent="0.25">
      <c r="B63" s="546" t="s">
        <v>489</v>
      </c>
      <c r="C63" t="s">
        <v>490</v>
      </c>
      <c r="D63" s="19"/>
      <c r="E63" s="19">
        <v>4560</v>
      </c>
      <c r="F63" s="19"/>
      <c r="G63" s="19">
        <f t="shared" ca="1" si="0"/>
        <v>0</v>
      </c>
      <c r="H63" s="582">
        <f t="shared" ca="1" si="1"/>
        <v>0</v>
      </c>
      <c r="I63" s="541"/>
      <c r="J63" s="642" t="s">
        <v>491</v>
      </c>
      <c r="K63" s="709"/>
      <c r="L63" s="709"/>
      <c r="M63" s="709"/>
      <c r="N63" s="709"/>
      <c r="O63" s="709"/>
      <c r="P63" s="709"/>
      <c r="Q63" s="709"/>
      <c r="R63" s="709"/>
      <c r="S63" s="709"/>
      <c r="T63" s="709"/>
      <c r="U63" s="709"/>
      <c r="V63" s="709"/>
      <c r="W63" s="709"/>
      <c r="X63" s="709"/>
      <c r="Y63" s="709"/>
      <c r="Z63" s="709"/>
      <c r="AA63" s="709"/>
      <c r="AB63" s="709"/>
      <c r="AC63" s="709"/>
      <c r="AD63" s="709"/>
      <c r="AE63" s="709"/>
      <c r="AF63" s="709"/>
      <c r="AG63" s="709"/>
      <c r="AH63" s="709"/>
      <c r="AI63" s="709"/>
      <c r="AJ63" s="709"/>
      <c r="AK63" s="709"/>
      <c r="AL63" s="709"/>
      <c r="AM63" s="709"/>
      <c r="AN63" s="709"/>
      <c r="AO63" s="709"/>
      <c r="AP63" s="709"/>
      <c r="AQ63" s="709"/>
      <c r="AR63" s="709"/>
      <c r="AS63" s="709"/>
      <c r="AT63" s="709"/>
      <c r="AU63" s="709"/>
      <c r="AV63" s="709"/>
      <c r="AW63" s="709"/>
      <c r="AX63" s="709"/>
      <c r="AY63" s="709"/>
      <c r="AZ63" s="709"/>
      <c r="BA63" s="716"/>
      <c r="BB63" s="709"/>
      <c r="BC63" s="709"/>
      <c r="BD63" s="709"/>
      <c r="BE63" s="709"/>
      <c r="BF63" s="709"/>
      <c r="BG63" s="709"/>
      <c r="BH63" s="709"/>
      <c r="BI63" s="709"/>
      <c r="BJ63" s="709"/>
      <c r="BK63" s="709"/>
      <c r="BL63" s="709"/>
      <c r="BM63" s="709"/>
      <c r="BN63" s="709"/>
      <c r="BO63" s="709"/>
      <c r="BP63" s="709"/>
      <c r="BQ63" s="709"/>
      <c r="BR63" s="709"/>
      <c r="BS63" s="709"/>
      <c r="BT63" s="709"/>
      <c r="BU63" s="709"/>
      <c r="BV63" s="709"/>
      <c r="BW63" s="709"/>
    </row>
    <row r="64" spans="2:75" x14ac:dyDescent="0.25">
      <c r="B64" s="546" t="s">
        <v>492</v>
      </c>
      <c r="C64" t="s">
        <v>310</v>
      </c>
      <c r="D64" s="19"/>
      <c r="E64" s="19">
        <v>8000</v>
      </c>
      <c r="F64" s="19"/>
      <c r="G64" s="19">
        <f t="shared" ca="1" si="0"/>
        <v>0</v>
      </c>
      <c r="H64" s="582">
        <f t="shared" ca="1" si="1"/>
        <v>0</v>
      </c>
      <c r="I64" s="541"/>
      <c r="J64" s="642" t="s">
        <v>420</v>
      </c>
      <c r="K64" s="709"/>
      <c r="L64" s="709"/>
      <c r="M64" s="709"/>
      <c r="N64" s="709"/>
      <c r="O64" s="709"/>
      <c r="P64" s="709"/>
      <c r="Q64" s="709"/>
      <c r="R64" s="709"/>
      <c r="S64" s="709"/>
      <c r="T64" s="709"/>
      <c r="U64" s="709"/>
      <c r="V64" s="709"/>
      <c r="W64" s="709"/>
      <c r="X64" s="709"/>
      <c r="Y64" s="709"/>
      <c r="Z64" s="709"/>
      <c r="AA64" s="709"/>
      <c r="AB64" s="709"/>
      <c r="AC64" s="709"/>
      <c r="AD64" s="709"/>
      <c r="AE64" s="709"/>
      <c r="AF64" s="709"/>
      <c r="AG64" s="709"/>
      <c r="AH64" s="709"/>
      <c r="AI64" s="709"/>
      <c r="AJ64" s="709"/>
      <c r="AK64" s="709"/>
      <c r="AL64" s="709"/>
      <c r="AM64" s="709"/>
      <c r="AN64" s="709"/>
      <c r="AO64" s="709"/>
      <c r="AP64" s="709"/>
      <c r="AQ64" s="709"/>
      <c r="AR64" s="709"/>
      <c r="AS64" s="709"/>
      <c r="AT64" s="709"/>
      <c r="AU64" s="709"/>
      <c r="AV64" s="709"/>
      <c r="AW64" s="709"/>
      <c r="AX64" s="709"/>
      <c r="AY64" s="709"/>
      <c r="AZ64" s="709"/>
      <c r="BA64" s="716"/>
      <c r="BB64" s="709"/>
      <c r="BC64" s="709"/>
      <c r="BD64" s="709"/>
      <c r="BE64" s="709"/>
      <c r="BF64" s="709"/>
      <c r="BG64" s="709"/>
      <c r="BH64" s="709"/>
      <c r="BI64" s="709"/>
      <c r="BJ64" s="709"/>
      <c r="BK64" s="709"/>
      <c r="BL64" s="709"/>
      <c r="BM64" s="709"/>
      <c r="BN64" s="709"/>
      <c r="BO64" s="709"/>
      <c r="BP64" s="709"/>
      <c r="BQ64" s="709"/>
      <c r="BR64" s="709"/>
      <c r="BS64" s="709"/>
      <c r="BT64" s="709"/>
      <c r="BU64" s="709"/>
      <c r="BV64" s="709"/>
      <c r="BW64" s="709"/>
    </row>
    <row r="65" spans="2:75" x14ac:dyDescent="0.25">
      <c r="B65" s="546" t="s">
        <v>493</v>
      </c>
      <c r="C65" t="s">
        <v>494</v>
      </c>
      <c r="D65" s="19"/>
      <c r="E65" s="19">
        <v>10900</v>
      </c>
      <c r="F65" s="19"/>
      <c r="G65" s="19">
        <f t="shared" ca="1" si="0"/>
        <v>0</v>
      </c>
      <c r="H65" s="582">
        <f t="shared" ca="1" si="1"/>
        <v>0</v>
      </c>
      <c r="I65" s="541"/>
      <c r="J65" s="642" t="s">
        <v>495</v>
      </c>
      <c r="K65" s="709"/>
      <c r="L65" s="709"/>
      <c r="M65" s="709"/>
      <c r="N65" s="709"/>
      <c r="O65" s="709"/>
      <c r="P65" s="709"/>
      <c r="Q65" s="709"/>
      <c r="R65" s="709"/>
      <c r="S65" s="709"/>
      <c r="T65" s="709"/>
      <c r="U65" s="709"/>
      <c r="V65" s="709"/>
      <c r="W65" s="709"/>
      <c r="X65" s="709"/>
      <c r="Y65" s="709"/>
      <c r="Z65" s="709"/>
      <c r="AA65" s="709"/>
      <c r="AB65" s="709"/>
      <c r="AC65" s="709"/>
      <c r="AD65" s="709"/>
      <c r="AE65" s="709"/>
      <c r="AF65" s="709"/>
      <c r="AG65" s="709"/>
      <c r="AH65" s="709"/>
      <c r="AI65" s="709"/>
      <c r="AJ65" s="709"/>
      <c r="AK65" s="709"/>
      <c r="AL65" s="709"/>
      <c r="AM65" s="709"/>
      <c r="AN65" s="709"/>
      <c r="AO65" s="709"/>
      <c r="AP65" s="709"/>
      <c r="AQ65" s="709"/>
      <c r="AR65" s="709"/>
      <c r="AS65" s="709"/>
      <c r="AT65" s="709"/>
      <c r="AU65" s="709"/>
      <c r="AV65" s="709"/>
      <c r="AW65" s="709"/>
      <c r="AX65" s="709"/>
      <c r="AY65" s="709"/>
      <c r="AZ65" s="709"/>
      <c r="BA65" s="716"/>
      <c r="BB65" s="709"/>
      <c r="BC65" s="709"/>
      <c r="BD65" s="709"/>
      <c r="BE65" s="709"/>
      <c r="BF65" s="709"/>
      <c r="BG65" s="709"/>
      <c r="BH65" s="709"/>
      <c r="BI65" s="709"/>
      <c r="BJ65" s="709"/>
      <c r="BK65" s="709"/>
      <c r="BL65" s="709"/>
      <c r="BM65" s="709"/>
      <c r="BN65" s="709"/>
      <c r="BO65" s="709"/>
      <c r="BP65" s="709"/>
      <c r="BQ65" s="709"/>
      <c r="BR65" s="709"/>
      <c r="BS65" s="709"/>
      <c r="BT65" s="709"/>
      <c r="BU65" s="709"/>
      <c r="BV65" s="709"/>
      <c r="BW65" s="709"/>
    </row>
    <row r="66" spans="2:75" x14ac:dyDescent="0.25">
      <c r="B66" s="546" t="s">
        <v>360</v>
      </c>
      <c r="C66" t="s">
        <v>496</v>
      </c>
      <c r="D66" s="19"/>
      <c r="E66" s="19">
        <v>25915</v>
      </c>
      <c r="F66" s="19"/>
      <c r="G66" s="19">
        <f t="shared" ca="1" si="0"/>
        <v>0</v>
      </c>
      <c r="H66" s="582">
        <f t="shared" ca="1" si="1"/>
        <v>0</v>
      </c>
      <c r="I66" s="541"/>
      <c r="J66" s="642" t="s">
        <v>497</v>
      </c>
      <c r="K66" s="709"/>
      <c r="L66" s="709"/>
      <c r="M66" s="709"/>
      <c r="N66" s="709"/>
      <c r="O66" s="709"/>
      <c r="P66" s="709"/>
      <c r="Q66" s="709"/>
      <c r="R66" s="709"/>
      <c r="S66" s="709"/>
      <c r="T66" s="709"/>
      <c r="U66" s="709"/>
      <c r="V66" s="709"/>
      <c r="W66" s="709"/>
      <c r="X66" s="709"/>
      <c r="Y66" s="709"/>
      <c r="Z66" s="709"/>
      <c r="AA66" s="709"/>
      <c r="AB66" s="709"/>
      <c r="AC66" s="709"/>
      <c r="AD66" s="709"/>
      <c r="AE66" s="709"/>
      <c r="AF66" s="709"/>
      <c r="AG66" s="709"/>
      <c r="AH66" s="709"/>
      <c r="AI66" s="709"/>
      <c r="AJ66" s="709"/>
      <c r="AK66" s="709"/>
      <c r="AL66" s="709"/>
      <c r="AM66" s="709"/>
      <c r="AN66" s="709"/>
      <c r="AO66" s="709"/>
      <c r="AP66" s="709"/>
      <c r="AQ66" s="709"/>
      <c r="AR66" s="709"/>
      <c r="AS66" s="709"/>
      <c r="AT66" s="709"/>
      <c r="AU66" s="709"/>
      <c r="AV66" s="709"/>
      <c r="AW66" s="709"/>
      <c r="AX66" s="709"/>
      <c r="AY66" s="709"/>
      <c r="AZ66" s="709"/>
      <c r="BA66" s="716"/>
      <c r="BB66" s="709"/>
      <c r="BC66" s="709"/>
      <c r="BD66" s="709"/>
      <c r="BE66" s="709"/>
      <c r="BF66" s="709"/>
      <c r="BG66" s="709"/>
      <c r="BH66" s="709"/>
      <c r="BI66" s="709"/>
      <c r="BJ66" s="709"/>
      <c r="BK66" s="709"/>
      <c r="BL66" s="709"/>
      <c r="BM66" s="709"/>
      <c r="BN66" s="709"/>
      <c r="BO66" s="709"/>
      <c r="BP66" s="709"/>
      <c r="BQ66" s="709"/>
      <c r="BR66" s="709"/>
      <c r="BS66" s="709"/>
      <c r="BT66" s="709"/>
      <c r="BU66" s="709"/>
      <c r="BV66" s="709"/>
      <c r="BW66" s="709"/>
    </row>
    <row r="67" spans="2:75" x14ac:dyDescent="0.25">
      <c r="B67" s="546"/>
      <c r="C67" t="s">
        <v>439</v>
      </c>
      <c r="D67" s="19"/>
      <c r="E67" s="19">
        <v>1495</v>
      </c>
      <c r="F67" s="19"/>
      <c r="G67" s="19">
        <f t="shared" ca="1" si="0"/>
        <v>0</v>
      </c>
      <c r="H67" s="582">
        <f t="shared" ca="1" si="1"/>
        <v>0</v>
      </c>
      <c r="I67" s="541"/>
      <c r="J67" s="642" t="s">
        <v>497</v>
      </c>
      <c r="K67" s="709"/>
      <c r="L67" s="709"/>
      <c r="M67" s="709"/>
      <c r="N67" s="709"/>
      <c r="O67" s="709"/>
      <c r="P67" s="709"/>
      <c r="Q67" s="709"/>
      <c r="R67" s="709"/>
      <c r="S67" s="709"/>
      <c r="T67" s="709"/>
      <c r="U67" s="709"/>
      <c r="V67" s="709"/>
      <c r="W67" s="709"/>
      <c r="X67" s="709"/>
      <c r="Y67" s="709"/>
      <c r="Z67" s="709"/>
      <c r="AA67" s="709"/>
      <c r="AB67" s="709"/>
      <c r="AC67" s="709"/>
      <c r="AD67" s="709"/>
      <c r="AE67" s="709"/>
      <c r="AF67" s="709"/>
      <c r="AG67" s="709"/>
      <c r="AH67" s="709"/>
      <c r="AI67" s="709"/>
      <c r="AJ67" s="709"/>
      <c r="AK67" s="709"/>
      <c r="AL67" s="709"/>
      <c r="AM67" s="709"/>
      <c r="AN67" s="709"/>
      <c r="AO67" s="709"/>
      <c r="AP67" s="709"/>
      <c r="AQ67" s="709"/>
      <c r="AR67" s="709"/>
      <c r="AS67" s="709"/>
      <c r="AT67" s="709"/>
      <c r="AU67" s="709"/>
      <c r="AV67" s="709"/>
      <c r="AW67" s="709"/>
      <c r="AX67" s="709"/>
      <c r="AY67" s="709"/>
      <c r="AZ67" s="709"/>
      <c r="BA67" s="716"/>
      <c r="BB67" s="709"/>
      <c r="BC67" s="709"/>
      <c r="BD67" s="709"/>
      <c r="BE67" s="709"/>
      <c r="BF67" s="709"/>
      <c r="BG67" s="709"/>
      <c r="BH67" s="709"/>
      <c r="BI67" s="709"/>
      <c r="BJ67" s="709"/>
      <c r="BK67" s="709"/>
      <c r="BL67" s="709"/>
      <c r="BM67" s="709"/>
      <c r="BN67" s="709"/>
      <c r="BO67" s="709"/>
      <c r="BP67" s="709"/>
      <c r="BQ67" s="709"/>
      <c r="BR67" s="709"/>
      <c r="BS67" s="709"/>
      <c r="BT67" s="709"/>
      <c r="BU67" s="709"/>
      <c r="BV67" s="709"/>
      <c r="BW67" s="709"/>
    </row>
    <row r="68" spans="2:75" x14ac:dyDescent="0.25">
      <c r="B68" s="546"/>
      <c r="C68" t="s">
        <v>498</v>
      </c>
      <c r="D68" s="19"/>
      <c r="E68" s="19">
        <v>4995</v>
      </c>
      <c r="F68" s="19"/>
      <c r="G68" s="19">
        <f t="shared" ca="1" si="0"/>
        <v>0</v>
      </c>
      <c r="H68" s="582">
        <f t="shared" ca="1" si="1"/>
        <v>0</v>
      </c>
      <c r="I68" s="541"/>
      <c r="J68" s="536" t="s">
        <v>497</v>
      </c>
      <c r="K68" s="709"/>
      <c r="L68" s="709"/>
      <c r="M68" s="709"/>
      <c r="N68" s="709"/>
      <c r="O68" s="709"/>
      <c r="P68" s="709"/>
      <c r="Q68" s="709"/>
      <c r="R68" s="709"/>
      <c r="S68" s="709"/>
      <c r="T68" s="709"/>
      <c r="U68" s="709"/>
      <c r="V68" s="709"/>
      <c r="W68" s="709"/>
      <c r="X68" s="709"/>
      <c r="Y68" s="709"/>
      <c r="Z68" s="709"/>
      <c r="AA68" s="709"/>
      <c r="AB68" s="709"/>
      <c r="AC68" s="709"/>
      <c r="AD68" s="709"/>
      <c r="AE68" s="709"/>
      <c r="AF68" s="709"/>
      <c r="AG68" s="709"/>
      <c r="AH68" s="709"/>
      <c r="AI68" s="709"/>
      <c r="AJ68" s="709"/>
      <c r="AK68" s="709"/>
      <c r="AL68" s="709"/>
      <c r="AM68" s="709"/>
      <c r="AN68" s="709"/>
      <c r="AO68" s="709"/>
      <c r="AP68" s="709"/>
      <c r="AQ68" s="709"/>
      <c r="AR68" s="709"/>
      <c r="AS68" s="709"/>
      <c r="AT68" s="709"/>
      <c r="AU68" s="709"/>
      <c r="AV68" s="709"/>
      <c r="AW68" s="709"/>
      <c r="AX68" s="709"/>
      <c r="AY68" s="709"/>
      <c r="AZ68" s="709"/>
      <c r="BA68" s="716"/>
      <c r="BB68" s="709"/>
      <c r="BC68" s="709"/>
      <c r="BD68" s="709"/>
      <c r="BE68" s="709"/>
      <c r="BF68" s="709"/>
      <c r="BG68" s="709"/>
      <c r="BH68" s="709"/>
      <c r="BI68" s="709"/>
      <c r="BJ68" s="709"/>
      <c r="BK68" s="709"/>
      <c r="BL68" s="709"/>
      <c r="BM68" s="709"/>
      <c r="BN68" s="709"/>
      <c r="BO68" s="709"/>
      <c r="BP68" s="709"/>
      <c r="BQ68" s="709"/>
      <c r="BR68" s="709"/>
      <c r="BS68" s="709"/>
      <c r="BT68" s="709"/>
      <c r="BU68" s="709"/>
      <c r="BV68" s="709"/>
      <c r="BW68" s="709"/>
    </row>
    <row r="69" spans="2:75" x14ac:dyDescent="0.25">
      <c r="B69" s="546" t="s">
        <v>499</v>
      </c>
      <c r="C69" s="552" t="s">
        <v>500</v>
      </c>
      <c r="D69" s="19"/>
      <c r="E69" s="19">
        <v>2000</v>
      </c>
      <c r="F69" s="19"/>
      <c r="G69" s="19">
        <f t="shared" ca="1" si="0"/>
        <v>0</v>
      </c>
      <c r="H69" s="582">
        <f t="shared" ca="1" si="1"/>
        <v>0</v>
      </c>
      <c r="I69" s="541"/>
      <c r="J69" s="642" t="s">
        <v>420</v>
      </c>
      <c r="K69" s="709"/>
      <c r="L69" s="709"/>
      <c r="M69" s="709"/>
      <c r="N69" s="709"/>
      <c r="O69" s="709"/>
      <c r="P69" s="709"/>
      <c r="Q69" s="709"/>
      <c r="R69" s="709"/>
      <c r="S69" s="709"/>
      <c r="T69" s="709"/>
      <c r="U69" s="709"/>
      <c r="V69" s="709"/>
      <c r="W69" s="709"/>
      <c r="X69" s="709"/>
      <c r="Y69" s="709"/>
      <c r="Z69" s="709"/>
      <c r="AA69" s="709"/>
      <c r="AB69" s="709"/>
      <c r="AC69" s="709"/>
      <c r="AD69" s="709"/>
      <c r="AE69" s="709"/>
      <c r="AF69" s="709"/>
      <c r="AG69" s="709"/>
      <c r="AH69" s="709"/>
      <c r="AI69" s="709"/>
      <c r="AJ69" s="709"/>
      <c r="AK69" s="709"/>
      <c r="AL69" s="709"/>
      <c r="AM69" s="709"/>
      <c r="AN69" s="709"/>
      <c r="AO69" s="709"/>
      <c r="AP69" s="709"/>
      <c r="AQ69" s="709"/>
      <c r="AR69" s="709"/>
      <c r="AS69" s="709"/>
      <c r="AT69" s="709"/>
      <c r="AU69" s="709"/>
      <c r="AV69" s="709"/>
      <c r="AW69" s="709"/>
      <c r="AX69" s="709"/>
      <c r="AY69" s="709"/>
      <c r="AZ69" s="709"/>
      <c r="BA69" s="716"/>
      <c r="BB69" s="709"/>
      <c r="BC69" s="709"/>
      <c r="BD69" s="709"/>
      <c r="BE69" s="709"/>
      <c r="BF69" s="709"/>
      <c r="BG69" s="709"/>
      <c r="BH69" s="709"/>
      <c r="BI69" s="709"/>
      <c r="BJ69" s="709"/>
      <c r="BK69" s="709"/>
      <c r="BL69" s="709"/>
      <c r="BM69" s="709"/>
      <c r="BN69" s="709"/>
      <c r="BO69" s="709"/>
      <c r="BP69" s="709"/>
      <c r="BQ69" s="709"/>
      <c r="BR69" s="709"/>
      <c r="BS69" s="709"/>
      <c r="BT69" s="709"/>
      <c r="BU69" s="709"/>
      <c r="BV69" s="709"/>
      <c r="BW69" s="709"/>
    </row>
    <row r="70" spans="2:75" x14ac:dyDescent="0.25">
      <c r="B70" s="546"/>
      <c r="C70" t="s">
        <v>501</v>
      </c>
      <c r="D70" s="19"/>
      <c r="E70" s="19">
        <v>4000</v>
      </c>
      <c r="F70" s="19"/>
      <c r="G70" s="19">
        <f t="shared" ca="1" si="0"/>
        <v>0</v>
      </c>
      <c r="H70" s="582">
        <f t="shared" ca="1" si="1"/>
        <v>0</v>
      </c>
      <c r="I70" s="541"/>
      <c r="J70" s="536" t="s">
        <v>431</v>
      </c>
      <c r="K70" s="709"/>
      <c r="L70" s="709"/>
      <c r="M70" s="709"/>
      <c r="N70" s="709"/>
      <c r="O70" s="709"/>
      <c r="P70" s="709"/>
      <c r="Q70" s="709"/>
      <c r="R70" s="709"/>
      <c r="S70" s="709"/>
      <c r="T70" s="709"/>
      <c r="U70" s="709"/>
      <c r="V70" s="709"/>
      <c r="W70" s="709"/>
      <c r="X70" s="709"/>
      <c r="Y70" s="709"/>
      <c r="Z70" s="709"/>
      <c r="AA70" s="709"/>
      <c r="AB70" s="709"/>
      <c r="AC70" s="709"/>
      <c r="AD70" s="709"/>
      <c r="AE70" s="709"/>
      <c r="AF70" s="709"/>
      <c r="AG70" s="709"/>
      <c r="AH70" s="709"/>
      <c r="AI70" s="709"/>
      <c r="AJ70" s="709"/>
      <c r="AK70" s="709"/>
      <c r="AL70" s="709"/>
      <c r="AM70" s="709"/>
      <c r="AN70" s="709"/>
      <c r="AO70" s="709"/>
      <c r="AP70" s="709"/>
      <c r="AQ70" s="709"/>
      <c r="AR70" s="709"/>
      <c r="AS70" s="709"/>
      <c r="AT70" s="709"/>
      <c r="AU70" s="709"/>
      <c r="AV70" s="709"/>
      <c r="AW70" s="709"/>
      <c r="AX70" s="709"/>
      <c r="AY70" s="709"/>
      <c r="AZ70" s="709"/>
      <c r="BA70" s="716"/>
      <c r="BB70" s="709"/>
      <c r="BC70" s="709"/>
      <c r="BD70" s="709"/>
      <c r="BE70" s="709"/>
      <c r="BF70" s="709"/>
      <c r="BG70" s="709"/>
      <c r="BH70" s="709"/>
      <c r="BI70" s="709"/>
      <c r="BJ70" s="709"/>
      <c r="BK70" s="709"/>
      <c r="BL70" s="709"/>
      <c r="BM70" s="709"/>
      <c r="BN70" s="709"/>
      <c r="BO70" s="709"/>
      <c r="BP70" s="709"/>
      <c r="BQ70" s="709"/>
      <c r="BR70" s="709"/>
      <c r="BS70" s="709"/>
      <c r="BT70" s="709"/>
      <c r="BU70" s="709"/>
      <c r="BV70" s="709"/>
      <c r="BW70" s="709"/>
    </row>
    <row r="71" spans="2:75" x14ac:dyDescent="0.25">
      <c r="B71" s="546"/>
      <c r="C71" t="s">
        <v>502</v>
      </c>
      <c r="D71" s="19"/>
      <c r="E71" s="19">
        <v>1000</v>
      </c>
      <c r="F71" s="19"/>
      <c r="G71" s="19">
        <f t="shared" ca="1" si="0"/>
        <v>0</v>
      </c>
      <c r="H71" s="582">
        <f t="shared" ca="1" si="1"/>
        <v>0</v>
      </c>
      <c r="I71" s="541"/>
      <c r="J71" s="536" t="s">
        <v>431</v>
      </c>
      <c r="K71" s="709"/>
      <c r="L71" s="709"/>
      <c r="M71" s="709"/>
      <c r="N71" s="709"/>
      <c r="O71" s="709"/>
      <c r="P71" s="709"/>
      <c r="Q71" s="709"/>
      <c r="R71" s="709"/>
      <c r="S71" s="709"/>
      <c r="T71" s="709"/>
      <c r="U71" s="709"/>
      <c r="V71" s="709"/>
      <c r="W71" s="709"/>
      <c r="X71" s="709"/>
      <c r="Y71" s="709"/>
      <c r="Z71" s="709"/>
      <c r="AA71" s="709"/>
      <c r="AB71" s="709"/>
      <c r="AC71" s="709"/>
      <c r="AD71" s="709"/>
      <c r="AE71" s="709"/>
      <c r="AF71" s="709"/>
      <c r="AG71" s="709"/>
      <c r="AH71" s="709"/>
      <c r="AI71" s="709"/>
      <c r="AJ71" s="709"/>
      <c r="AK71" s="709"/>
      <c r="AL71" s="709"/>
      <c r="AM71" s="709"/>
      <c r="AN71" s="709"/>
      <c r="AO71" s="709"/>
      <c r="AP71" s="709"/>
      <c r="AQ71" s="709"/>
      <c r="AR71" s="709"/>
      <c r="AS71" s="709"/>
      <c r="AT71" s="709"/>
      <c r="AU71" s="709"/>
      <c r="AV71" s="709"/>
      <c r="AW71" s="709"/>
      <c r="AX71" s="709"/>
      <c r="AY71" s="709"/>
      <c r="AZ71" s="709"/>
      <c r="BA71" s="716"/>
      <c r="BB71" s="709"/>
      <c r="BC71" s="709"/>
      <c r="BD71" s="709"/>
      <c r="BE71" s="709"/>
      <c r="BF71" s="709"/>
      <c r="BG71" s="709"/>
      <c r="BH71" s="709"/>
      <c r="BI71" s="709"/>
      <c r="BJ71" s="709"/>
      <c r="BK71" s="709"/>
      <c r="BL71" s="709"/>
      <c r="BM71" s="709"/>
      <c r="BN71" s="709"/>
      <c r="BO71" s="709"/>
      <c r="BP71" s="709"/>
      <c r="BQ71" s="709"/>
      <c r="BR71" s="709"/>
      <c r="BS71" s="709"/>
      <c r="BT71" s="709"/>
      <c r="BU71" s="709"/>
      <c r="BV71" s="709"/>
      <c r="BW71" s="709"/>
    </row>
    <row r="72" spans="2:75" x14ac:dyDescent="0.25">
      <c r="B72" s="641" t="s">
        <v>503</v>
      </c>
      <c r="C72" s="63" t="s">
        <v>503</v>
      </c>
      <c r="D72" s="62"/>
      <c r="E72" s="62">
        <v>5500</v>
      </c>
      <c r="F72" s="62"/>
      <c r="G72" s="62">
        <f t="shared" ca="1" si="0"/>
        <v>0</v>
      </c>
      <c r="H72" s="691">
        <f t="shared" ca="1" si="1"/>
        <v>0</v>
      </c>
      <c r="I72" s="553"/>
      <c r="J72" s="686" t="s">
        <v>420</v>
      </c>
      <c r="K72" s="709"/>
      <c r="L72" s="709"/>
      <c r="M72" s="709"/>
      <c r="N72" s="709"/>
      <c r="O72" s="709"/>
      <c r="P72" s="709"/>
      <c r="Q72" s="709"/>
      <c r="R72" s="709"/>
      <c r="S72" s="709"/>
      <c r="T72" s="709"/>
      <c r="U72" s="709"/>
      <c r="V72" s="709"/>
      <c r="W72" s="709"/>
      <c r="X72" s="709"/>
      <c r="Y72" s="709"/>
      <c r="Z72" s="709"/>
      <c r="AA72" s="709"/>
      <c r="AB72" s="709"/>
      <c r="AC72" s="709"/>
      <c r="AD72" s="709"/>
      <c r="AE72" s="709"/>
      <c r="AF72" s="709"/>
      <c r="AG72" s="709"/>
      <c r="AH72" s="709"/>
      <c r="AI72" s="709"/>
      <c r="AJ72" s="709"/>
      <c r="AK72" s="709"/>
      <c r="AL72" s="709"/>
      <c r="AM72" s="709"/>
      <c r="AN72" s="709"/>
      <c r="AO72" s="709"/>
      <c r="AP72" s="709"/>
      <c r="AQ72" s="709"/>
      <c r="AR72" s="709"/>
      <c r="AS72" s="709"/>
      <c r="AT72" s="709"/>
      <c r="AU72" s="709"/>
      <c r="AV72" s="709"/>
      <c r="AW72" s="709"/>
      <c r="AX72" s="709"/>
      <c r="AY72" s="709"/>
      <c r="AZ72" s="709"/>
      <c r="BA72" s="716"/>
      <c r="BB72" s="709"/>
      <c r="BC72" s="709"/>
      <c r="BD72" s="709"/>
      <c r="BE72" s="709"/>
      <c r="BF72" s="709"/>
      <c r="BG72" s="709"/>
      <c r="BH72" s="709"/>
      <c r="BI72" s="709"/>
      <c r="BJ72" s="709"/>
      <c r="BK72" s="709"/>
      <c r="BL72" s="709"/>
      <c r="BM72" s="709"/>
      <c r="BN72" s="709"/>
      <c r="BO72" s="709"/>
      <c r="BP72" s="709"/>
      <c r="BQ72" s="709"/>
      <c r="BR72" s="709"/>
      <c r="BS72" s="709"/>
      <c r="BT72" s="709"/>
      <c r="BU72" s="709"/>
      <c r="BV72" s="709"/>
      <c r="BW72" s="709"/>
    </row>
    <row r="73" spans="2:75" x14ac:dyDescent="0.25">
      <c r="B73" s="546" t="s">
        <v>504</v>
      </c>
      <c r="C73" t="s">
        <v>505</v>
      </c>
      <c r="D73" s="19"/>
      <c r="E73" s="19">
        <v>8445</v>
      </c>
      <c r="F73" s="19"/>
      <c r="G73" s="19">
        <f t="shared" ca="1" si="0"/>
        <v>0</v>
      </c>
      <c r="H73" s="582">
        <f t="shared" ca="1" si="1"/>
        <v>0</v>
      </c>
      <c r="I73" s="541"/>
      <c r="J73" s="536" t="s">
        <v>506</v>
      </c>
      <c r="K73" s="709"/>
      <c r="L73" s="709"/>
      <c r="M73" s="709"/>
      <c r="N73" s="709"/>
      <c r="O73" s="709"/>
      <c r="P73" s="709"/>
      <c r="Q73" s="709"/>
      <c r="R73" s="709"/>
      <c r="S73" s="709"/>
      <c r="T73" s="709"/>
      <c r="U73" s="709"/>
      <c r="V73" s="709"/>
      <c r="W73" s="709"/>
      <c r="X73" s="709"/>
      <c r="Y73" s="709"/>
      <c r="Z73" s="709"/>
      <c r="AA73" s="709"/>
      <c r="AB73" s="709"/>
      <c r="AC73" s="709"/>
      <c r="AD73" s="709"/>
      <c r="AE73" s="709"/>
      <c r="AF73" s="709"/>
      <c r="AG73" s="709"/>
      <c r="AH73" s="709"/>
      <c r="AI73" s="709"/>
      <c r="AJ73" s="709"/>
      <c r="AK73" s="709"/>
      <c r="AL73" s="709"/>
      <c r="AM73" s="709"/>
      <c r="AN73" s="709"/>
      <c r="AO73" s="709"/>
      <c r="AP73" s="709"/>
      <c r="AQ73" s="709"/>
      <c r="AR73" s="709"/>
      <c r="AS73" s="709"/>
      <c r="AT73" s="709"/>
      <c r="AU73" s="709"/>
      <c r="AV73" s="709"/>
      <c r="AW73" s="709"/>
      <c r="AX73" s="709"/>
      <c r="AY73" s="709"/>
      <c r="AZ73" s="709"/>
      <c r="BA73" s="716"/>
      <c r="BB73" s="709"/>
      <c r="BC73" s="709"/>
      <c r="BD73" s="709"/>
      <c r="BE73" s="709"/>
      <c r="BF73" s="709"/>
      <c r="BG73" s="709"/>
      <c r="BH73" s="709"/>
      <c r="BI73" s="709"/>
      <c r="BJ73" s="709"/>
      <c r="BK73" s="709"/>
      <c r="BL73" s="709"/>
      <c r="BM73" s="709"/>
      <c r="BN73" s="709"/>
      <c r="BO73" s="709"/>
      <c r="BP73" s="709"/>
      <c r="BQ73" s="709"/>
      <c r="BR73" s="709"/>
      <c r="BS73" s="709"/>
      <c r="BT73" s="709"/>
      <c r="BU73" s="709"/>
      <c r="BV73" s="709"/>
      <c r="BW73" s="709"/>
    </row>
    <row r="74" spans="2:75" x14ac:dyDescent="0.25">
      <c r="B74" s="546" t="s">
        <v>507</v>
      </c>
      <c r="C74" t="s">
        <v>508</v>
      </c>
      <c r="D74" s="19"/>
      <c r="E74" s="19">
        <v>3500</v>
      </c>
      <c r="F74" s="19"/>
      <c r="G74" s="19">
        <f t="shared" ca="1" si="0"/>
        <v>0</v>
      </c>
      <c r="H74" s="582">
        <f t="shared" ca="1" si="1"/>
        <v>0</v>
      </c>
      <c r="I74" s="541"/>
      <c r="J74" s="683" t="s">
        <v>420</v>
      </c>
      <c r="K74" s="709"/>
      <c r="L74" s="709"/>
      <c r="M74" s="709"/>
      <c r="N74" s="709"/>
      <c r="O74" s="709"/>
      <c r="P74" s="709"/>
      <c r="Q74" s="709"/>
      <c r="R74" s="709"/>
      <c r="S74" s="709"/>
      <c r="T74" s="709"/>
      <c r="U74" s="709"/>
      <c r="V74" s="709"/>
      <c r="W74" s="709"/>
      <c r="X74" s="709"/>
      <c r="Y74" s="709"/>
      <c r="Z74" s="709"/>
      <c r="AA74" s="709"/>
      <c r="AB74" s="709"/>
      <c r="AC74" s="709"/>
      <c r="AD74" s="709"/>
      <c r="AE74" s="709"/>
      <c r="AF74" s="709"/>
      <c r="AG74" s="709"/>
      <c r="AH74" s="709"/>
      <c r="AI74" s="709"/>
      <c r="AJ74" s="709"/>
      <c r="AK74" s="709"/>
      <c r="AL74" s="709"/>
      <c r="AM74" s="709"/>
      <c r="AN74" s="709"/>
      <c r="AO74" s="709"/>
      <c r="AP74" s="709"/>
      <c r="AQ74" s="709"/>
      <c r="AR74" s="709"/>
      <c r="AS74" s="709"/>
      <c r="AT74" s="709"/>
      <c r="AU74" s="709"/>
      <c r="AV74" s="709"/>
      <c r="AW74" s="709"/>
      <c r="AX74" s="709"/>
      <c r="AY74" s="709"/>
      <c r="AZ74" s="709"/>
      <c r="BA74" s="716"/>
      <c r="BB74" s="709"/>
      <c r="BC74" s="709"/>
      <c r="BD74" s="709"/>
      <c r="BE74" s="709"/>
      <c r="BF74" s="709"/>
      <c r="BG74" s="709"/>
      <c r="BH74" s="709"/>
      <c r="BI74" s="709"/>
      <c r="BJ74" s="709"/>
      <c r="BK74" s="709"/>
      <c r="BL74" s="709"/>
      <c r="BM74" s="709"/>
      <c r="BN74" s="709"/>
      <c r="BO74" s="709"/>
      <c r="BP74" s="709"/>
      <c r="BQ74" s="709"/>
      <c r="BR74" s="709"/>
      <c r="BS74" s="709"/>
      <c r="BT74" s="709"/>
      <c r="BU74" s="709"/>
      <c r="BV74" s="709"/>
      <c r="BW74" s="709"/>
    </row>
    <row r="75" spans="2:75" x14ac:dyDescent="0.25">
      <c r="B75" s="641" t="s">
        <v>509</v>
      </c>
      <c r="C75" s="63" t="s">
        <v>510</v>
      </c>
      <c r="D75" s="62"/>
      <c r="E75" s="62">
        <v>3500</v>
      </c>
      <c r="F75" s="62"/>
      <c r="G75" s="19">
        <f t="shared" ca="1" si="0"/>
        <v>0</v>
      </c>
      <c r="H75" s="582">
        <f t="shared" ref="H75:H81" ca="1" si="2">SUM(F75-G75)</f>
        <v>0</v>
      </c>
      <c r="I75" s="553"/>
      <c r="J75" s="554" t="s">
        <v>511</v>
      </c>
      <c r="K75" s="709"/>
      <c r="L75" s="709"/>
      <c r="M75" s="709"/>
      <c r="N75" s="709"/>
      <c r="O75" s="709"/>
      <c r="P75" s="709"/>
      <c r="Q75" s="709"/>
      <c r="R75" s="709"/>
      <c r="S75" s="709"/>
      <c r="T75" s="709"/>
      <c r="U75" s="709"/>
      <c r="V75" s="709"/>
      <c r="W75" s="709"/>
      <c r="X75" s="709"/>
      <c r="Y75" s="709"/>
      <c r="Z75" s="709"/>
      <c r="AA75" s="709"/>
      <c r="AB75" s="709"/>
      <c r="AC75" s="709"/>
      <c r="AD75" s="709"/>
      <c r="AE75" s="709"/>
      <c r="AF75" s="709"/>
      <c r="AG75" s="709"/>
      <c r="AH75" s="709"/>
      <c r="AI75" s="709"/>
      <c r="AJ75" s="709"/>
      <c r="AK75" s="709"/>
      <c r="AL75" s="709"/>
      <c r="AM75" s="709"/>
      <c r="AN75" s="709"/>
      <c r="AO75" s="709"/>
      <c r="AP75" s="709"/>
      <c r="AQ75" s="709"/>
      <c r="AR75" s="709"/>
      <c r="AS75" s="709"/>
      <c r="AT75" s="709"/>
      <c r="AU75" s="709"/>
      <c r="AV75" s="709"/>
      <c r="AW75" s="709"/>
      <c r="AX75" s="709"/>
      <c r="AY75" s="709"/>
      <c r="AZ75" s="709"/>
      <c r="BA75" s="716"/>
      <c r="BB75" s="709"/>
      <c r="BC75" s="709"/>
      <c r="BD75" s="709"/>
      <c r="BE75" s="709"/>
      <c r="BF75" s="709"/>
      <c r="BG75" s="709"/>
      <c r="BH75" s="709"/>
      <c r="BI75" s="709"/>
      <c r="BJ75" s="709"/>
      <c r="BK75" s="709"/>
      <c r="BL75" s="709"/>
      <c r="BM75" s="709"/>
      <c r="BN75" s="709"/>
      <c r="BO75" s="709"/>
      <c r="BP75" s="709"/>
      <c r="BQ75" s="709"/>
      <c r="BR75" s="709"/>
      <c r="BS75" s="709"/>
      <c r="BT75" s="709"/>
      <c r="BU75" s="709"/>
      <c r="BV75" s="709"/>
      <c r="BW75" s="709"/>
    </row>
    <row r="76" spans="2:75" x14ac:dyDescent="0.25">
      <c r="B76" s="546" t="s">
        <v>512</v>
      </c>
      <c r="C76" t="s">
        <v>513</v>
      </c>
      <c r="D76" s="19"/>
      <c r="E76" s="19">
        <v>90900</v>
      </c>
      <c r="F76" s="19"/>
      <c r="G76" s="19">
        <f t="shared" ca="1" si="0"/>
        <v>0</v>
      </c>
      <c r="H76" s="582">
        <f t="shared" ca="1" si="2"/>
        <v>0</v>
      </c>
      <c r="I76" s="541"/>
      <c r="J76" s="536" t="s">
        <v>514</v>
      </c>
      <c r="K76" s="709"/>
      <c r="L76" s="709"/>
      <c r="M76" s="709"/>
      <c r="N76" s="709"/>
      <c r="O76" s="709"/>
      <c r="P76" s="709"/>
      <c r="Q76" s="709"/>
      <c r="R76" s="709"/>
      <c r="S76" s="709"/>
      <c r="T76" s="709"/>
      <c r="U76" s="709"/>
      <c r="V76" s="709"/>
      <c r="W76" s="709"/>
      <c r="X76" s="709"/>
      <c r="Y76" s="709"/>
      <c r="Z76" s="709"/>
      <c r="AA76" s="709"/>
      <c r="AB76" s="709"/>
      <c r="AC76" s="709"/>
      <c r="AD76" s="709"/>
      <c r="AE76" s="709"/>
      <c r="AF76" s="709"/>
      <c r="AG76" s="709"/>
      <c r="AH76" s="709"/>
      <c r="AI76" s="709"/>
      <c r="AJ76" s="709"/>
      <c r="AK76" s="709"/>
      <c r="AL76" s="709"/>
      <c r="AM76" s="709"/>
      <c r="AN76" s="709"/>
      <c r="AO76" s="709"/>
      <c r="AP76" s="709"/>
      <c r="AQ76" s="709"/>
      <c r="AR76" s="709"/>
      <c r="AS76" s="709"/>
      <c r="AT76" s="709"/>
      <c r="AU76" s="709"/>
      <c r="AV76" s="709"/>
      <c r="AW76" s="709"/>
      <c r="AX76" s="709"/>
      <c r="AY76" s="709"/>
      <c r="AZ76" s="709"/>
      <c r="BA76" s="716"/>
      <c r="BB76" s="709"/>
      <c r="BC76" s="709"/>
      <c r="BD76" s="709"/>
      <c r="BE76" s="709"/>
      <c r="BF76" s="709"/>
      <c r="BG76" s="709"/>
      <c r="BH76" s="709"/>
      <c r="BI76" s="709"/>
      <c r="BJ76" s="709"/>
      <c r="BK76" s="709"/>
      <c r="BL76" s="709"/>
      <c r="BM76" s="709"/>
      <c r="BN76" s="709"/>
      <c r="BO76" s="709"/>
      <c r="BP76" s="709"/>
      <c r="BQ76" s="709"/>
      <c r="BR76" s="709"/>
      <c r="BS76" s="709"/>
      <c r="BT76" s="709"/>
      <c r="BU76" s="709"/>
      <c r="BV76" s="709"/>
      <c r="BW76" s="709"/>
    </row>
    <row r="77" spans="2:75" x14ac:dyDescent="0.25">
      <c r="B77" s="546" t="s">
        <v>515</v>
      </c>
      <c r="C77" t="s">
        <v>516</v>
      </c>
      <c r="D77" s="19"/>
      <c r="E77" s="19">
        <v>2555.8000000000002</v>
      </c>
      <c r="F77" s="19"/>
      <c r="G77" s="19">
        <f t="shared" ca="1" si="0"/>
        <v>0</v>
      </c>
      <c r="H77" s="582">
        <f t="shared" ca="1" si="2"/>
        <v>0</v>
      </c>
      <c r="I77" s="541"/>
      <c r="J77" s="536" t="s">
        <v>517</v>
      </c>
      <c r="K77" s="709"/>
      <c r="L77" s="709"/>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09"/>
      <c r="AJ77" s="709"/>
      <c r="AK77" s="709"/>
      <c r="AL77" s="709"/>
      <c r="AM77" s="709"/>
      <c r="AN77" s="709"/>
      <c r="AO77" s="709"/>
      <c r="AP77" s="709"/>
      <c r="AQ77" s="709"/>
      <c r="AR77" s="709"/>
      <c r="AS77" s="709"/>
      <c r="AT77" s="709"/>
      <c r="AU77" s="709"/>
      <c r="AV77" s="709"/>
      <c r="AW77" s="709"/>
      <c r="AX77" s="709"/>
      <c r="AY77" s="709"/>
      <c r="AZ77" s="709"/>
      <c r="BA77" s="716"/>
      <c r="BB77" s="709"/>
      <c r="BC77" s="709"/>
      <c r="BD77" s="709"/>
      <c r="BE77" s="709"/>
      <c r="BF77" s="709"/>
      <c r="BG77" s="709"/>
      <c r="BH77" s="709"/>
      <c r="BI77" s="709"/>
      <c r="BJ77" s="709"/>
      <c r="BK77" s="709"/>
      <c r="BL77" s="709"/>
      <c r="BM77" s="709"/>
      <c r="BN77" s="709"/>
      <c r="BO77" s="709"/>
      <c r="BP77" s="709"/>
      <c r="BQ77" s="709"/>
      <c r="BR77" s="709"/>
      <c r="BS77" s="709"/>
      <c r="BT77" s="709"/>
      <c r="BU77" s="709"/>
      <c r="BV77" s="709"/>
      <c r="BW77" s="709"/>
    </row>
    <row r="78" spans="2:75" x14ac:dyDescent="0.25">
      <c r="B78" s="546" t="s">
        <v>518</v>
      </c>
      <c r="C78" t="s">
        <v>519</v>
      </c>
      <c r="D78" s="19"/>
      <c r="E78" s="42">
        <v>60000</v>
      </c>
      <c r="F78" s="19"/>
      <c r="G78" s="19">
        <f t="shared" ca="1" si="0"/>
        <v>0</v>
      </c>
      <c r="H78" s="582">
        <f t="shared" ca="1" si="2"/>
        <v>0</v>
      </c>
      <c r="I78" s="541"/>
      <c r="J78" s="683" t="s">
        <v>520</v>
      </c>
      <c r="K78" s="709"/>
      <c r="L78" s="709"/>
      <c r="M78" s="709"/>
      <c r="N78" s="709"/>
      <c r="O78" s="709"/>
      <c r="P78" s="709"/>
      <c r="Q78" s="709"/>
      <c r="R78" s="709"/>
      <c r="S78" s="709"/>
      <c r="T78" s="709"/>
      <c r="U78" s="709"/>
      <c r="V78" s="709"/>
      <c r="W78" s="709"/>
      <c r="X78" s="709"/>
      <c r="Y78" s="709"/>
      <c r="Z78" s="709"/>
      <c r="AA78" s="709"/>
      <c r="AB78" s="709"/>
      <c r="AC78" s="709"/>
      <c r="AD78" s="709"/>
      <c r="AE78" s="709"/>
      <c r="AF78" s="709"/>
      <c r="AG78" s="709"/>
      <c r="AH78" s="709"/>
      <c r="AI78" s="709"/>
      <c r="AJ78" s="709"/>
      <c r="AK78" s="709"/>
      <c r="AL78" s="709"/>
      <c r="AM78" s="709"/>
      <c r="AN78" s="709"/>
      <c r="AO78" s="709"/>
      <c r="AP78" s="709"/>
      <c r="AQ78" s="709"/>
      <c r="AR78" s="709"/>
      <c r="AS78" s="709"/>
      <c r="AT78" s="709"/>
      <c r="AU78" s="709"/>
      <c r="AV78" s="709"/>
      <c r="AW78" s="709"/>
      <c r="AX78" s="709"/>
      <c r="AY78" s="709"/>
      <c r="AZ78" s="709"/>
      <c r="BA78" s="716"/>
      <c r="BB78" s="709"/>
      <c r="BC78" s="709"/>
      <c r="BD78" s="709"/>
      <c r="BE78" s="709"/>
      <c r="BF78" s="709"/>
      <c r="BG78" s="709"/>
      <c r="BH78" s="709"/>
      <c r="BI78" s="709"/>
      <c r="BJ78" s="709"/>
      <c r="BK78" s="709"/>
      <c r="BL78" s="709"/>
      <c r="BM78" s="709"/>
      <c r="BN78" s="709"/>
      <c r="BO78" s="709"/>
      <c r="BP78" s="709"/>
      <c r="BQ78" s="709"/>
      <c r="BR78" s="709"/>
      <c r="BS78" s="709"/>
      <c r="BT78" s="709"/>
      <c r="BU78" s="709"/>
      <c r="BV78" s="709"/>
      <c r="BW78" s="709"/>
    </row>
    <row r="79" spans="2:75" x14ac:dyDescent="0.25">
      <c r="B79" s="546" t="s">
        <v>521</v>
      </c>
      <c r="C79" t="s">
        <v>522</v>
      </c>
      <c r="D79" s="19"/>
      <c r="E79" s="19">
        <v>28550</v>
      </c>
      <c r="F79" s="19"/>
      <c r="G79" s="19">
        <f t="shared" ca="1" si="0"/>
        <v>0</v>
      </c>
      <c r="H79" s="582">
        <f t="shared" ca="1" si="2"/>
        <v>0</v>
      </c>
      <c r="I79" s="541"/>
      <c r="J79" s="536" t="s">
        <v>420</v>
      </c>
      <c r="K79" s="709"/>
      <c r="L79" s="709"/>
      <c r="M79" s="709"/>
      <c r="N79" s="709"/>
      <c r="O79" s="709"/>
      <c r="P79" s="709"/>
      <c r="Q79" s="709"/>
      <c r="R79" s="709"/>
      <c r="S79" s="709"/>
      <c r="T79" s="709"/>
      <c r="U79" s="709"/>
      <c r="V79" s="709"/>
      <c r="W79" s="709"/>
      <c r="X79" s="709"/>
      <c r="Y79" s="709"/>
      <c r="Z79" s="709"/>
      <c r="AA79" s="709"/>
      <c r="AB79" s="709"/>
      <c r="AC79" s="709"/>
      <c r="AD79" s="709"/>
      <c r="AE79" s="709"/>
      <c r="AF79" s="709"/>
      <c r="AG79" s="709"/>
      <c r="AH79" s="709"/>
      <c r="AI79" s="709"/>
      <c r="AJ79" s="709"/>
      <c r="AK79" s="709"/>
      <c r="AL79" s="709"/>
      <c r="AM79" s="709"/>
      <c r="AN79" s="709"/>
      <c r="AO79" s="709"/>
      <c r="AP79" s="709"/>
      <c r="AQ79" s="709"/>
      <c r="AR79" s="709"/>
      <c r="AS79" s="709"/>
      <c r="AT79" s="709"/>
      <c r="AU79" s="709"/>
      <c r="AV79" s="709"/>
      <c r="AW79" s="709"/>
      <c r="AX79" s="709"/>
      <c r="AY79" s="709"/>
      <c r="AZ79" s="709"/>
      <c r="BA79" s="716"/>
      <c r="BB79" s="709"/>
      <c r="BC79" s="709"/>
      <c r="BD79" s="709"/>
      <c r="BE79" s="709"/>
      <c r="BF79" s="709"/>
      <c r="BG79" s="709"/>
      <c r="BH79" s="709"/>
      <c r="BI79" s="709"/>
      <c r="BJ79" s="709"/>
      <c r="BK79" s="709"/>
      <c r="BL79" s="709"/>
      <c r="BM79" s="709"/>
      <c r="BN79" s="709"/>
      <c r="BO79" s="709"/>
      <c r="BP79" s="709"/>
      <c r="BQ79" s="709"/>
      <c r="BR79" s="709"/>
      <c r="BS79" s="709"/>
      <c r="BT79" s="709"/>
      <c r="BU79" s="709"/>
      <c r="BV79" s="709"/>
      <c r="BW79" s="709"/>
    </row>
    <row r="80" spans="2:75" x14ac:dyDescent="0.25">
      <c r="B80" s="546"/>
      <c r="C80" t="s">
        <v>523</v>
      </c>
      <c r="D80" s="19"/>
      <c r="E80" s="19">
        <v>41000</v>
      </c>
      <c r="F80" s="19"/>
      <c r="G80" s="19">
        <f t="shared" ca="1" si="0"/>
        <v>0</v>
      </c>
      <c r="H80" s="582">
        <f t="shared" ca="1" si="2"/>
        <v>0</v>
      </c>
      <c r="I80" s="541"/>
      <c r="J80" s="536" t="s">
        <v>419</v>
      </c>
      <c r="K80" s="709"/>
      <c r="L80" s="709"/>
      <c r="M80" s="709"/>
      <c r="N80" s="709"/>
      <c r="O80" s="709"/>
      <c r="P80" s="709"/>
      <c r="Q80" s="709"/>
      <c r="R80" s="709"/>
      <c r="S80" s="709"/>
      <c r="T80" s="709"/>
      <c r="U80" s="709"/>
      <c r="V80" s="709"/>
      <c r="W80" s="709"/>
      <c r="X80" s="709"/>
      <c r="Y80" s="709"/>
      <c r="Z80" s="709"/>
      <c r="AA80" s="709"/>
      <c r="AB80" s="709"/>
      <c r="AC80" s="709"/>
      <c r="AD80" s="709"/>
      <c r="AE80" s="709"/>
      <c r="AF80" s="709"/>
      <c r="AG80" s="709"/>
      <c r="AH80" s="709"/>
      <c r="AI80" s="709"/>
      <c r="AJ80" s="709"/>
      <c r="AK80" s="709"/>
      <c r="AL80" s="709"/>
      <c r="AM80" s="709"/>
      <c r="AN80" s="709"/>
      <c r="AO80" s="709"/>
      <c r="AP80" s="709"/>
      <c r="AQ80" s="709"/>
      <c r="AR80" s="709"/>
      <c r="AS80" s="709"/>
      <c r="AT80" s="709"/>
      <c r="AU80" s="709"/>
      <c r="AV80" s="709"/>
      <c r="AW80" s="709"/>
      <c r="AX80" s="709"/>
      <c r="AY80" s="709"/>
      <c r="AZ80" s="709"/>
      <c r="BA80" s="716"/>
      <c r="BB80" s="709"/>
      <c r="BC80" s="709"/>
      <c r="BD80" s="709"/>
      <c r="BE80" s="709"/>
      <c r="BF80" s="709"/>
      <c r="BG80" s="709"/>
      <c r="BH80" s="709"/>
      <c r="BI80" s="709"/>
      <c r="BJ80" s="709"/>
      <c r="BK80" s="709"/>
      <c r="BL80" s="709"/>
      <c r="BM80" s="709"/>
      <c r="BN80" s="709"/>
      <c r="BO80" s="709"/>
      <c r="BP80" s="709"/>
      <c r="BQ80" s="709"/>
      <c r="BR80" s="709"/>
      <c r="BS80" s="709"/>
      <c r="BT80" s="709"/>
      <c r="BU80" s="709"/>
      <c r="BV80" s="709"/>
      <c r="BW80" s="709"/>
    </row>
    <row r="81" spans="2:75" ht="15.75" thickBot="1" x14ac:dyDescent="0.3">
      <c r="B81" s="546"/>
      <c r="C81" s="57" t="s">
        <v>524</v>
      </c>
      <c r="D81" s="42"/>
      <c r="E81" s="42">
        <v>65000</v>
      </c>
      <c r="F81" s="42"/>
      <c r="G81" s="690">
        <f t="shared" ca="1" si="0"/>
        <v>0</v>
      </c>
      <c r="H81" s="692">
        <f t="shared" ca="1" si="2"/>
        <v>0</v>
      </c>
      <c r="I81" s="684"/>
      <c r="J81" s="685" t="s">
        <v>525</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09"/>
      <c r="AJ81" s="709"/>
      <c r="AK81" s="709"/>
      <c r="AL81" s="709"/>
      <c r="AM81" s="709"/>
      <c r="AN81" s="709"/>
      <c r="AO81" s="709"/>
      <c r="AP81" s="709"/>
      <c r="AQ81" s="709"/>
      <c r="AR81" s="709"/>
      <c r="AS81" s="709"/>
      <c r="AT81" s="709"/>
      <c r="AU81" s="709"/>
      <c r="AV81" s="709"/>
      <c r="AW81" s="709"/>
      <c r="AX81" s="709"/>
      <c r="AY81" s="709"/>
      <c r="AZ81" s="709"/>
      <c r="BA81" s="716"/>
      <c r="BB81" s="709"/>
      <c r="BC81" s="709"/>
      <c r="BD81" s="709"/>
      <c r="BE81" s="709"/>
      <c r="BF81" s="709"/>
      <c r="BG81" s="709"/>
      <c r="BH81" s="709"/>
      <c r="BI81" s="709"/>
      <c r="BJ81" s="709"/>
      <c r="BK81" s="709"/>
      <c r="BL81" s="709"/>
      <c r="BM81" s="709"/>
      <c r="BN81" s="709"/>
      <c r="BO81" s="709"/>
      <c r="BP81" s="709"/>
      <c r="BQ81" s="709"/>
      <c r="BR81" s="709"/>
      <c r="BS81" s="709"/>
      <c r="BT81" s="709"/>
      <c r="BU81" s="709"/>
      <c r="BV81" s="709"/>
      <c r="BW81" s="709"/>
    </row>
    <row r="82" spans="2:75" x14ac:dyDescent="0.25">
      <c r="B82" s="139" t="s">
        <v>93</v>
      </c>
      <c r="C82" s="15" t="s">
        <v>94</v>
      </c>
      <c r="D82" s="21"/>
      <c r="E82" s="21" cm="1">
        <f t="array" ref="E82">SUM(E8:E81*0.1)</f>
        <v>141512.83000000002</v>
      </c>
      <c r="F82" s="21"/>
      <c r="G82" s="689" t="s">
        <v>199</v>
      </c>
      <c r="H82" s="689" t="s">
        <v>199</v>
      </c>
      <c r="I82" s="501"/>
      <c r="J82" s="537"/>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0"/>
      <c r="AN82" s="710"/>
      <c r="AO82" s="710"/>
      <c r="AP82" s="710"/>
      <c r="AQ82" s="710"/>
      <c r="AR82" s="710"/>
      <c r="AS82" s="710"/>
      <c r="AT82" s="710"/>
      <c r="AU82" s="710"/>
      <c r="AV82" s="710"/>
      <c r="AW82" s="710"/>
      <c r="AX82" s="710"/>
      <c r="AY82" s="710"/>
      <c r="AZ82" s="710"/>
      <c r="BA82" s="717"/>
      <c r="BB82" s="710">
        <f t="shared" ref="BB82:BW82" si="3">SUM(BB9:BB81)*0.1</f>
        <v>0</v>
      </c>
      <c r="BC82" s="710">
        <f t="shared" si="3"/>
        <v>0</v>
      </c>
      <c r="BD82" s="710">
        <f t="shared" si="3"/>
        <v>0</v>
      </c>
      <c r="BE82" s="710">
        <f t="shared" si="3"/>
        <v>0</v>
      </c>
      <c r="BF82" s="710">
        <f t="shared" si="3"/>
        <v>0</v>
      </c>
      <c r="BG82" s="710">
        <f t="shared" si="3"/>
        <v>0</v>
      </c>
      <c r="BH82" s="710">
        <f t="shared" si="3"/>
        <v>0</v>
      </c>
      <c r="BI82" s="710">
        <f t="shared" si="3"/>
        <v>0</v>
      </c>
      <c r="BJ82" s="710">
        <f t="shared" si="3"/>
        <v>0</v>
      </c>
      <c r="BK82" s="710">
        <f t="shared" si="3"/>
        <v>0</v>
      </c>
      <c r="BL82" s="710">
        <f t="shared" si="3"/>
        <v>0</v>
      </c>
      <c r="BM82" s="710">
        <f t="shared" si="3"/>
        <v>0</v>
      </c>
      <c r="BN82" s="710">
        <f t="shared" si="3"/>
        <v>0</v>
      </c>
      <c r="BO82" s="710">
        <f t="shared" si="3"/>
        <v>0</v>
      </c>
      <c r="BP82" s="710">
        <f t="shared" si="3"/>
        <v>0</v>
      </c>
      <c r="BQ82" s="710">
        <f t="shared" si="3"/>
        <v>0</v>
      </c>
      <c r="BR82" s="710">
        <f t="shared" si="3"/>
        <v>0</v>
      </c>
      <c r="BS82" s="710">
        <f t="shared" si="3"/>
        <v>0</v>
      </c>
      <c r="BT82" s="710">
        <f t="shared" si="3"/>
        <v>0</v>
      </c>
      <c r="BU82" s="710">
        <f t="shared" si="3"/>
        <v>0</v>
      </c>
      <c r="BV82" s="710">
        <f t="shared" si="3"/>
        <v>0</v>
      </c>
      <c r="BW82" s="710">
        <f t="shared" si="3"/>
        <v>0</v>
      </c>
    </row>
    <row r="83" spans="2:75" x14ac:dyDescent="0.25">
      <c r="B83" s="13" t="s">
        <v>148</v>
      </c>
      <c r="C83" s="6"/>
      <c r="D83" s="20"/>
      <c r="E83" s="327">
        <v>400000</v>
      </c>
      <c r="F83" s="20"/>
      <c r="G83" s="79">
        <f ca="1">SUMIF($W$3:$CJ$3,"&lt;"&amp;TODAY(),W83:CJ83)</f>
        <v>0</v>
      </c>
      <c r="H83" s="79">
        <f ca="1">SUMIF($W$3:$CJ$3,"&lt;"&amp;TODAY(),BB83:CK83)</f>
        <v>0</v>
      </c>
      <c r="I83" s="542"/>
      <c r="J83" s="538"/>
      <c r="K83" s="709"/>
      <c r="L83" s="709"/>
      <c r="M83" s="709"/>
      <c r="N83" s="709"/>
      <c r="O83" s="709"/>
      <c r="P83" s="709"/>
      <c r="Q83" s="709"/>
      <c r="R83" s="709"/>
      <c r="S83" s="709"/>
      <c r="T83" s="709"/>
      <c r="U83" s="709"/>
      <c r="V83" s="709"/>
      <c r="W83" s="709"/>
      <c r="X83" s="709"/>
      <c r="Y83" s="709"/>
      <c r="Z83" s="709"/>
      <c r="AA83" s="709"/>
      <c r="AB83" s="709"/>
      <c r="AC83" s="709"/>
      <c r="AD83" s="709"/>
      <c r="AE83" s="709"/>
      <c r="AF83" s="709"/>
      <c r="AG83" s="709"/>
      <c r="AH83" s="709"/>
      <c r="AI83" s="709"/>
      <c r="AJ83" s="709"/>
      <c r="AK83" s="709"/>
      <c r="AL83" s="709"/>
      <c r="AM83" s="709"/>
      <c r="AN83" s="709"/>
      <c r="AO83" s="709"/>
      <c r="AP83" s="709"/>
      <c r="AQ83" s="709"/>
      <c r="AR83" s="709"/>
      <c r="AS83" s="709"/>
      <c r="AT83" s="709"/>
      <c r="AU83" s="709"/>
      <c r="AV83" s="709"/>
      <c r="AW83" s="709"/>
      <c r="AX83" s="709"/>
      <c r="AY83" s="709"/>
      <c r="AZ83" s="709"/>
      <c r="BA83" s="716"/>
      <c r="BB83" s="709"/>
      <c r="BC83" s="709"/>
      <c r="BD83" s="709"/>
      <c r="BE83" s="709"/>
      <c r="BF83" s="709"/>
      <c r="BG83" s="709"/>
      <c r="BH83" s="709"/>
      <c r="BI83" s="709"/>
      <c r="BJ83" s="709"/>
      <c r="BK83" s="709"/>
      <c r="BL83" s="709"/>
      <c r="BM83" s="709"/>
      <c r="BN83" s="709"/>
      <c r="BO83" s="709"/>
      <c r="BP83" s="709"/>
      <c r="BQ83" s="709"/>
      <c r="BR83" s="709"/>
      <c r="BS83" s="709"/>
      <c r="BT83" s="709"/>
      <c r="BU83" s="709"/>
      <c r="BV83" s="709"/>
      <c r="BW83" s="709"/>
    </row>
    <row r="84" spans="2:75" x14ac:dyDescent="0.25">
      <c r="B84" s="14" t="s">
        <v>95</v>
      </c>
      <c r="C84" s="15"/>
      <c r="D84" s="21"/>
      <c r="E84" s="20">
        <f>SUM(W84:CJ84)</f>
        <v>0</v>
      </c>
      <c r="F84" s="21"/>
      <c r="G84" s="80">
        <f ca="1">SUMIF($W$3:$CJ$3,"&lt;"&amp;TODAY(),W84:CJ84)</f>
        <v>0</v>
      </c>
      <c r="H84" s="80">
        <f ca="1">SUMIF($W$3:$CJ$3,"&lt;"&amp;TODAY(),BB84:CK84)</f>
        <v>0</v>
      </c>
      <c r="I84" s="501"/>
      <c r="J84" s="537"/>
      <c r="K84" s="709"/>
      <c r="L84" s="709"/>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09"/>
      <c r="AN84" s="709"/>
      <c r="AO84" s="709"/>
      <c r="AP84" s="709"/>
      <c r="AQ84" s="709"/>
      <c r="AR84" s="709"/>
      <c r="AS84" s="709"/>
      <c r="AT84" s="709"/>
      <c r="AU84" s="709"/>
      <c r="AV84" s="709"/>
      <c r="AW84" s="709"/>
      <c r="AX84" s="709"/>
      <c r="AY84" s="709"/>
      <c r="AZ84" s="709"/>
      <c r="BA84" s="716"/>
      <c r="BB84" s="709"/>
      <c r="BC84" s="709"/>
      <c r="BD84" s="709"/>
      <c r="BE84" s="709"/>
      <c r="BF84" s="709"/>
      <c r="BG84" s="709"/>
      <c r="BH84" s="709"/>
      <c r="BI84" s="709"/>
      <c r="BJ84" s="709"/>
      <c r="BK84" s="709"/>
      <c r="BL84" s="709"/>
      <c r="BM84" s="709"/>
      <c r="BN84" s="709"/>
      <c r="BO84" s="709"/>
      <c r="BP84" s="709"/>
      <c r="BQ84" s="709"/>
      <c r="BR84" s="709"/>
      <c r="BS84" s="709"/>
      <c r="BT84" s="709"/>
      <c r="BU84" s="709"/>
      <c r="BV84" s="709"/>
      <c r="BW84" s="709"/>
    </row>
    <row r="85" spans="2:75" x14ac:dyDescent="0.25">
      <c r="B85" s="14" t="s">
        <v>97</v>
      </c>
      <c r="C85" s="15"/>
      <c r="D85" s="21"/>
      <c r="E85" s="20">
        <f>SUM(W85:CJ85)</f>
        <v>0</v>
      </c>
      <c r="F85" s="21"/>
      <c r="G85" s="80">
        <f ca="1">SUMIF($W$3:$CJ$3,"&lt;"&amp;TODAY(),W85:CJ85)</f>
        <v>0</v>
      </c>
      <c r="H85" s="80">
        <f ca="1">SUMIF($W$3:$CJ$3,"&lt;"&amp;TODAY(),BB85:CK85)</f>
        <v>0</v>
      </c>
      <c r="I85" s="501"/>
      <c r="J85" s="537"/>
      <c r="K85" s="709"/>
      <c r="L85" s="709"/>
      <c r="M85" s="709"/>
      <c r="N85" s="709"/>
      <c r="O85" s="709"/>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09"/>
      <c r="AN85" s="709"/>
      <c r="AO85" s="709"/>
      <c r="AP85" s="709"/>
      <c r="AQ85" s="709"/>
      <c r="AR85" s="709"/>
      <c r="AS85" s="709"/>
      <c r="AT85" s="709"/>
      <c r="AU85" s="709"/>
      <c r="AV85" s="709"/>
      <c r="AW85" s="709"/>
      <c r="AX85" s="709"/>
      <c r="AY85" s="709"/>
      <c r="AZ85" s="709"/>
      <c r="BA85" s="716"/>
      <c r="BB85" s="709"/>
      <c r="BC85" s="709"/>
      <c r="BD85" s="709"/>
      <c r="BE85" s="709"/>
      <c r="BF85" s="709"/>
      <c r="BG85" s="709"/>
      <c r="BH85" s="709"/>
      <c r="BI85" s="709"/>
      <c r="BJ85" s="709"/>
      <c r="BK85" s="709"/>
      <c r="BL85" s="709"/>
      <c r="BM85" s="709"/>
      <c r="BN85" s="709"/>
      <c r="BO85" s="709"/>
      <c r="BP85" s="709"/>
      <c r="BQ85" s="709"/>
      <c r="BR85" s="709"/>
      <c r="BS85" s="709"/>
      <c r="BT85" s="709"/>
      <c r="BU85" s="709"/>
      <c r="BV85" s="709"/>
      <c r="BW85" s="709"/>
    </row>
    <row r="86" spans="2:75" ht="15.75" thickBot="1" x14ac:dyDescent="0.3">
      <c r="B86" s="8" t="s">
        <v>98</v>
      </c>
      <c r="D86" s="137">
        <f>SUM(D4:D85)</f>
        <v>0</v>
      </c>
      <c r="E86" s="137">
        <f>SUM(E4:E85)</f>
        <v>2081424.1300000001</v>
      </c>
      <c r="F86" s="137">
        <f>SUM(F4:F85)</f>
        <v>181102.5</v>
      </c>
      <c r="G86" s="531">
        <f ca="1">SUMIF($W$3:$CJ$3,"&lt;"&amp;TODAY(),W86:CJ86)</f>
        <v>0</v>
      </c>
      <c r="H86" s="531">
        <f ca="1">SUMIF($W$3:$CJ$3,"&lt;"&amp;TODAY(),BB86:CK86)</f>
        <v>697419.50943999982</v>
      </c>
      <c r="I86" s="543"/>
      <c r="J86" s="533"/>
      <c r="K86" s="710">
        <f>SUM(K4:K85)</f>
        <v>0</v>
      </c>
      <c r="L86" s="710"/>
      <c r="M86" s="710"/>
      <c r="N86" s="710"/>
      <c r="O86" s="710"/>
      <c r="P86" s="710"/>
      <c r="Q86" s="710"/>
      <c r="R86" s="710"/>
      <c r="S86" s="710"/>
      <c r="T86" s="710"/>
      <c r="U86" s="710"/>
      <c r="V86" s="710"/>
      <c r="W86" s="710">
        <f t="shared" ref="W86:BW86" si="4">SUM(W4:W85)</f>
        <v>0</v>
      </c>
      <c r="X86" s="710"/>
      <c r="Y86" s="710"/>
      <c r="Z86" s="710"/>
      <c r="AA86" s="710"/>
      <c r="AB86" s="710"/>
      <c r="AC86" s="710"/>
      <c r="AD86" s="710"/>
      <c r="AE86" s="710"/>
      <c r="AF86" s="710"/>
      <c r="AG86" s="710"/>
      <c r="AH86" s="710"/>
      <c r="AI86" s="710"/>
      <c r="AJ86" s="710"/>
      <c r="AK86" s="710"/>
      <c r="AL86" s="710"/>
      <c r="AM86" s="710"/>
      <c r="AN86" s="710"/>
      <c r="AO86" s="710"/>
      <c r="AP86" s="710"/>
      <c r="AQ86" s="710"/>
      <c r="AR86" s="710"/>
      <c r="AS86" s="710"/>
      <c r="AT86" s="710"/>
      <c r="AU86" s="710"/>
      <c r="AV86" s="710"/>
      <c r="AW86" s="710"/>
      <c r="AX86" s="710"/>
      <c r="AY86" s="710"/>
      <c r="AZ86" s="710"/>
      <c r="BA86" s="717"/>
      <c r="BB86" s="710">
        <f t="shared" si="4"/>
        <v>0</v>
      </c>
      <c r="BC86" s="710">
        <f t="shared" si="4"/>
        <v>0</v>
      </c>
      <c r="BD86" s="710">
        <f t="shared" si="4"/>
        <v>0</v>
      </c>
      <c r="BE86" s="710">
        <f t="shared" si="4"/>
        <v>0</v>
      </c>
      <c r="BF86" s="710">
        <f t="shared" si="4"/>
        <v>0</v>
      </c>
      <c r="BG86" s="710">
        <f t="shared" si="4"/>
        <v>0</v>
      </c>
      <c r="BH86" s="710">
        <f t="shared" si="4"/>
        <v>0</v>
      </c>
      <c r="BI86" s="710">
        <f t="shared" si="4"/>
        <v>0</v>
      </c>
      <c r="BJ86" s="710">
        <f t="shared" si="4"/>
        <v>0</v>
      </c>
      <c r="BK86" s="710">
        <f t="shared" si="4"/>
        <v>0</v>
      </c>
      <c r="BL86" s="710">
        <f t="shared" si="4"/>
        <v>0</v>
      </c>
      <c r="BM86" s="710">
        <f t="shared" si="4"/>
        <v>0</v>
      </c>
      <c r="BN86" s="710">
        <f t="shared" si="4"/>
        <v>0</v>
      </c>
      <c r="BO86" s="710">
        <f t="shared" si="4"/>
        <v>0</v>
      </c>
      <c r="BP86" s="710">
        <f t="shared" si="4"/>
        <v>0</v>
      </c>
      <c r="BQ86" s="710">
        <f t="shared" si="4"/>
        <v>0</v>
      </c>
      <c r="BR86" s="710">
        <f t="shared" si="4"/>
        <v>0</v>
      </c>
      <c r="BS86" s="710">
        <f t="shared" si="4"/>
        <v>0</v>
      </c>
      <c r="BT86" s="710">
        <f t="shared" si="4"/>
        <v>0</v>
      </c>
      <c r="BU86" s="710">
        <f t="shared" si="4"/>
        <v>697419.50943999982</v>
      </c>
      <c r="BV86" s="710">
        <f t="shared" si="4"/>
        <v>0</v>
      </c>
      <c r="BW86" s="710">
        <f t="shared" si="4"/>
        <v>0</v>
      </c>
    </row>
    <row r="87" spans="2:75" ht="15.75" thickBot="1" x14ac:dyDescent="0.3">
      <c r="B87" s="11" t="s">
        <v>176</v>
      </c>
      <c r="C87" s="12">
        <v>143</v>
      </c>
      <c r="D87" s="18"/>
      <c r="E87" s="18"/>
      <c r="F87" s="18"/>
      <c r="G87" s="11"/>
      <c r="H87" s="11"/>
      <c r="I87" s="544"/>
      <c r="J87" s="535"/>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499"/>
      <c r="BB87" s="2"/>
      <c r="BC87" s="2"/>
      <c r="BD87" s="2"/>
      <c r="BE87" s="2"/>
      <c r="BF87" s="2"/>
      <c r="BG87" s="2"/>
      <c r="BH87" s="2"/>
      <c r="BI87" s="2"/>
      <c r="BJ87" s="2"/>
      <c r="BK87" s="2"/>
      <c r="BL87" s="2"/>
      <c r="BM87" s="2"/>
      <c r="BN87" s="2"/>
      <c r="BO87" s="2"/>
      <c r="BP87" s="2"/>
      <c r="BQ87" s="2"/>
      <c r="BR87" s="2"/>
      <c r="BS87" s="2"/>
    </row>
    <row r="88" spans="2:75" ht="15.75" thickBot="1" x14ac:dyDescent="0.3">
      <c r="B88" s="35" t="s">
        <v>100</v>
      </c>
      <c r="C88" s="37"/>
      <c r="D88" s="166">
        <f>D86/$C$87</f>
        <v>0</v>
      </c>
      <c r="E88" s="166">
        <f>E86/$C$87</f>
        <v>14555.413496503497</v>
      </c>
      <c r="F88" s="166">
        <f>F86/$C$87</f>
        <v>1266.451048951049</v>
      </c>
      <c r="G88" s="532">
        <f ca="1">G86/$C$87</f>
        <v>0</v>
      </c>
      <c r="H88" s="532">
        <f ca="1">H86/$C$87</f>
        <v>4877.0595065734251</v>
      </c>
      <c r="I88" s="545"/>
      <c r="J88" s="539"/>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c r="AP88" s="162"/>
      <c r="AQ88" s="162"/>
      <c r="AR88" s="162"/>
      <c r="AS88" s="162"/>
      <c r="AT88" s="162"/>
      <c r="AU88" s="162"/>
      <c r="AV88" s="162"/>
      <c r="AW88" s="162"/>
      <c r="AX88" s="162"/>
      <c r="AY88" s="162"/>
      <c r="AZ88" s="162"/>
      <c r="BA88" s="718"/>
      <c r="BB88" s="162"/>
      <c r="BC88" s="162"/>
      <c r="BD88" s="162"/>
      <c r="BE88" s="162"/>
      <c r="BF88" s="162"/>
      <c r="BG88" s="162"/>
      <c r="BH88" s="162"/>
      <c r="BI88" s="162"/>
      <c r="BJ88" s="162"/>
      <c r="BK88" s="162"/>
      <c r="BL88" s="162"/>
      <c r="BM88" s="162"/>
      <c r="BN88" s="162"/>
      <c r="BO88" s="162"/>
      <c r="BP88" s="162"/>
      <c r="BQ88" s="162"/>
      <c r="BR88" s="162"/>
      <c r="BS88" s="162"/>
      <c r="BT88" s="10"/>
      <c r="BU88" s="10"/>
      <c r="BV88" s="10"/>
      <c r="BW88" s="10"/>
    </row>
    <row r="89" spans="2:75" x14ac:dyDescent="0.25">
      <c r="H89"/>
      <c r="BA89" s="512"/>
    </row>
    <row r="92" spans="2:75" x14ac:dyDescent="0.25">
      <c r="H92"/>
    </row>
    <row r="93" spans="2:75" x14ac:dyDescent="0.25">
      <c r="H93"/>
    </row>
    <row r="94" spans="2:75" x14ac:dyDescent="0.25">
      <c r="H94"/>
    </row>
    <row r="95" spans="2:75" x14ac:dyDescent="0.25">
      <c r="H95"/>
    </row>
    <row r="96" spans="2:75"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row r="112" spans="8: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E305-6692-4851-AA2E-89C337304A8C}">
  <dimension ref="B1:BW69"/>
  <sheetViews>
    <sheetView zoomScale="80" zoomScaleNormal="80" workbookViewId="0">
      <pane xSplit="3" topLeftCell="D1" activePane="topRight" state="frozen"/>
      <selection pane="topRight" activeCell="C12" sqref="C12"/>
    </sheetView>
  </sheetViews>
  <sheetFormatPr defaultColWidth="9.28515625" defaultRowHeight="15" x14ac:dyDescent="0.25"/>
  <cols>
    <col min="1" max="1" width="4.42578125" style="555" customWidth="1"/>
    <col min="2" max="2" width="30.5703125" style="555" customWidth="1"/>
    <col min="3" max="3" width="40.42578125" style="555" customWidth="1"/>
    <col min="4" max="7" width="16.5703125" style="555" customWidth="1"/>
    <col min="8" max="8" width="14.42578125" style="555" customWidth="1"/>
    <col min="9" max="9" width="31.140625" style="555" customWidth="1"/>
    <col min="10" max="10" width="25" style="555" customWidth="1"/>
    <col min="11" max="39" width="9.28515625" style="555" hidden="1" customWidth="1"/>
    <col min="40" max="74" width="9.28515625" style="555"/>
    <col min="75" max="75" width="11.28515625" style="555" customWidth="1"/>
    <col min="76" max="16384" width="9.28515625" style="555"/>
  </cols>
  <sheetData>
    <row r="1" spans="2:75" x14ac:dyDescent="0.25">
      <c r="G1" s="556"/>
    </row>
    <row r="2" spans="2:75" x14ac:dyDescent="0.25">
      <c r="B2" s="557" t="s">
        <v>526</v>
      </c>
      <c r="K2" s="558"/>
      <c r="L2" s="559"/>
      <c r="M2" s="560"/>
      <c r="N2" s="560"/>
      <c r="O2" s="560"/>
      <c r="P2" s="560"/>
      <c r="Q2" s="560"/>
      <c r="R2" s="560"/>
      <c r="S2" s="560"/>
      <c r="T2" s="561" t="s">
        <v>321</v>
      </c>
      <c r="U2" s="560"/>
      <c r="V2" s="562"/>
      <c r="W2" s="560"/>
      <c r="X2" s="559"/>
      <c r="Y2" s="560"/>
      <c r="Z2" s="560"/>
      <c r="AA2" s="560"/>
      <c r="AB2" s="558"/>
      <c r="AC2" s="560"/>
      <c r="AD2" s="560"/>
      <c r="AE2" s="560"/>
      <c r="AF2" s="561" t="s">
        <v>321</v>
      </c>
      <c r="AG2" s="560"/>
      <c r="AH2" s="560"/>
      <c r="AI2" s="560"/>
      <c r="AJ2" s="559"/>
      <c r="AK2" s="560"/>
      <c r="AL2" s="560"/>
      <c r="AM2" s="560"/>
      <c r="AN2" s="558"/>
      <c r="AO2" s="560"/>
      <c r="AP2" s="560"/>
      <c r="AQ2" s="560"/>
      <c r="AR2" s="561" t="s">
        <v>321</v>
      </c>
      <c r="AS2" s="560"/>
      <c r="AT2" s="560"/>
      <c r="AU2" s="560"/>
      <c r="AV2" s="559"/>
      <c r="AW2" s="560"/>
      <c r="AX2" s="560"/>
      <c r="AY2" s="560"/>
      <c r="AZ2" s="560"/>
      <c r="BA2" s="560"/>
      <c r="BB2" s="560"/>
      <c r="BC2" s="560"/>
      <c r="BD2" s="560"/>
      <c r="BE2" s="560"/>
      <c r="BF2" s="561"/>
      <c r="BG2" s="560"/>
      <c r="BH2" s="561"/>
      <c r="BI2" s="560"/>
      <c r="BJ2" s="559"/>
      <c r="BK2" s="560"/>
      <c r="BL2" s="560"/>
      <c r="BM2" s="560"/>
      <c r="BN2" s="560"/>
      <c r="BO2" s="560"/>
      <c r="BP2" s="561" t="s">
        <v>527</v>
      </c>
      <c r="BQ2" s="560"/>
      <c r="BR2" s="560"/>
      <c r="BS2" s="560"/>
      <c r="BT2" s="560"/>
      <c r="BU2" s="560"/>
      <c r="BV2" s="560"/>
      <c r="BW2" s="563" t="s">
        <v>323</v>
      </c>
    </row>
    <row r="3" spans="2:75" ht="60" x14ac:dyDescent="0.25">
      <c r="B3" s="564" t="s">
        <v>16</v>
      </c>
      <c r="C3" s="565" t="s">
        <v>17</v>
      </c>
      <c r="D3" s="566" t="s">
        <v>184</v>
      </c>
      <c r="E3" s="567" t="s">
        <v>185</v>
      </c>
      <c r="F3" s="568" t="s">
        <v>186</v>
      </c>
      <c r="G3" s="569" t="s">
        <v>187</v>
      </c>
      <c r="H3" s="570" t="s">
        <v>324</v>
      </c>
      <c r="I3" s="569" t="s">
        <v>326</v>
      </c>
      <c r="J3" s="571" t="s">
        <v>111</v>
      </c>
      <c r="K3" s="572">
        <v>44197</v>
      </c>
      <c r="L3" s="572">
        <v>44228</v>
      </c>
      <c r="M3" s="572">
        <v>44256</v>
      </c>
      <c r="N3" s="572">
        <v>44287</v>
      </c>
      <c r="O3" s="572">
        <v>44317</v>
      </c>
      <c r="P3" s="572">
        <v>44348</v>
      </c>
      <c r="Q3" s="572">
        <v>44378</v>
      </c>
      <c r="R3" s="572">
        <v>44409</v>
      </c>
      <c r="S3" s="572">
        <v>44440</v>
      </c>
      <c r="T3" s="572">
        <v>44470</v>
      </c>
      <c r="U3" s="572">
        <v>44501</v>
      </c>
      <c r="V3" s="572">
        <v>44531</v>
      </c>
      <c r="W3" s="573">
        <v>44562</v>
      </c>
      <c r="X3" s="574">
        <v>44593</v>
      </c>
      <c r="Y3" s="574">
        <v>44621</v>
      </c>
      <c r="Z3" s="574">
        <v>44652</v>
      </c>
      <c r="AA3" s="574">
        <v>44682</v>
      </c>
      <c r="AB3" s="574">
        <v>44713</v>
      </c>
      <c r="AC3" s="574">
        <v>44743</v>
      </c>
      <c r="AD3" s="574">
        <v>44774</v>
      </c>
      <c r="AE3" s="574">
        <v>44805</v>
      </c>
      <c r="AF3" s="574">
        <v>44835</v>
      </c>
      <c r="AG3" s="574">
        <v>44866</v>
      </c>
      <c r="AH3" s="574">
        <v>44896</v>
      </c>
      <c r="AI3" s="574">
        <v>44927</v>
      </c>
      <c r="AJ3" s="574">
        <v>44958</v>
      </c>
      <c r="AK3" s="574">
        <v>44986</v>
      </c>
      <c r="AL3" s="574">
        <v>45017</v>
      </c>
      <c r="AM3" s="574">
        <v>45047</v>
      </c>
      <c r="AN3" s="574">
        <v>45078</v>
      </c>
      <c r="AO3" s="574">
        <v>45108</v>
      </c>
      <c r="AP3" s="574">
        <v>45139</v>
      </c>
      <c r="AQ3" s="574">
        <v>45170</v>
      </c>
      <c r="AR3" s="574">
        <v>45200</v>
      </c>
      <c r="AS3" s="574">
        <v>45231</v>
      </c>
      <c r="AT3" s="574">
        <v>45261</v>
      </c>
      <c r="AU3" s="574">
        <v>45292</v>
      </c>
      <c r="AV3" s="574">
        <v>45323</v>
      </c>
      <c r="AW3" s="574">
        <v>45352</v>
      </c>
      <c r="AX3" s="574">
        <v>45383</v>
      </c>
      <c r="AY3" s="574">
        <v>45413</v>
      </c>
      <c r="AZ3" s="574">
        <v>45444</v>
      </c>
      <c r="BA3" s="574">
        <v>45474</v>
      </c>
      <c r="BB3" s="574">
        <v>45505</v>
      </c>
      <c r="BC3" s="574">
        <v>45536</v>
      </c>
      <c r="BD3" s="574">
        <v>45566</v>
      </c>
      <c r="BE3" s="574">
        <v>45597</v>
      </c>
      <c r="BF3" s="574">
        <v>45627</v>
      </c>
      <c r="BG3" s="574">
        <v>45658</v>
      </c>
      <c r="BH3" s="574">
        <v>45689</v>
      </c>
      <c r="BI3" s="574">
        <v>45717</v>
      </c>
      <c r="BJ3" s="574">
        <v>45748</v>
      </c>
      <c r="BK3" s="574">
        <v>45778</v>
      </c>
      <c r="BL3" s="575">
        <v>45809</v>
      </c>
      <c r="BM3" s="575">
        <v>45839</v>
      </c>
      <c r="BN3" s="575">
        <v>45870</v>
      </c>
      <c r="BO3" s="575">
        <v>45901</v>
      </c>
      <c r="BP3" s="575">
        <v>45931</v>
      </c>
      <c r="BQ3" s="575">
        <v>45962</v>
      </c>
      <c r="BR3" s="572">
        <v>45992</v>
      </c>
      <c r="BS3" s="572">
        <v>46023</v>
      </c>
      <c r="BT3" s="572">
        <v>46054</v>
      </c>
      <c r="BU3" s="572">
        <v>46082</v>
      </c>
      <c r="BV3" s="572">
        <v>46113</v>
      </c>
      <c r="BW3" s="572">
        <v>46143</v>
      </c>
    </row>
    <row r="4" spans="2:75" x14ac:dyDescent="0.25">
      <c r="B4" s="576" t="s">
        <v>29</v>
      </c>
      <c r="C4" s="555" t="s">
        <v>30</v>
      </c>
      <c r="D4" s="577">
        <v>59300</v>
      </c>
      <c r="E4" s="577">
        <f>SUM(K4:BW4)</f>
        <v>117950</v>
      </c>
      <c r="F4" s="577">
        <v>59300</v>
      </c>
      <c r="G4" s="578">
        <v>59300</v>
      </c>
      <c r="H4" s="578"/>
      <c r="I4" s="579" t="s">
        <v>327</v>
      </c>
      <c r="J4" s="580"/>
      <c r="K4" s="556"/>
      <c r="L4" s="556"/>
      <c r="M4" s="581">
        <v>59300</v>
      </c>
      <c r="O4" s="556"/>
      <c r="Q4" s="556"/>
      <c r="R4" s="556"/>
      <c r="S4" s="556"/>
      <c r="T4" s="556"/>
      <c r="U4" s="556"/>
      <c r="V4" s="582"/>
      <c r="W4" s="583"/>
      <c r="X4" s="584"/>
      <c r="Y4" s="584"/>
      <c r="Z4" s="584"/>
      <c r="AA4" s="584"/>
      <c r="AB4" s="584"/>
      <c r="AC4" s="584"/>
      <c r="AD4" s="584"/>
      <c r="AE4" s="584"/>
      <c r="AF4" s="584"/>
      <c r="AG4" s="584"/>
      <c r="AH4" s="585"/>
      <c r="AI4" s="583"/>
      <c r="AJ4" s="584"/>
      <c r="AK4" s="584"/>
      <c r="AL4" s="584"/>
      <c r="AM4" s="584"/>
      <c r="AN4" s="584"/>
      <c r="AO4" s="584"/>
      <c r="AP4" s="584"/>
      <c r="AQ4" s="584"/>
      <c r="AR4" s="584"/>
      <c r="AS4" s="584"/>
      <c r="AT4" s="585"/>
      <c r="AU4" s="583"/>
      <c r="AV4" s="584"/>
      <c r="AW4" s="584"/>
      <c r="AX4" s="584"/>
      <c r="AY4" s="295">
        <v>58650</v>
      </c>
      <c r="AZ4" s="584"/>
      <c r="BA4" s="584"/>
      <c r="BB4" s="584"/>
      <c r="BC4" s="584"/>
      <c r="BD4" s="584"/>
      <c r="BE4" s="584"/>
      <c r="BF4" s="586"/>
      <c r="BG4" s="587"/>
      <c r="BH4" s="587"/>
      <c r="BI4" s="587"/>
      <c r="BJ4" s="587"/>
      <c r="BK4" s="587"/>
      <c r="BR4" s="588"/>
    </row>
    <row r="5" spans="2:75" x14ac:dyDescent="0.25">
      <c r="B5" s="576"/>
      <c r="C5" s="555" t="s">
        <v>32</v>
      </c>
      <c r="D5" s="577">
        <v>809743</v>
      </c>
      <c r="E5" s="577">
        <v>809743</v>
      </c>
      <c r="F5" s="578">
        <v>809743</v>
      </c>
      <c r="G5" s="577">
        <v>679921.7</v>
      </c>
      <c r="H5" s="577"/>
      <c r="I5" s="579" t="s">
        <v>327</v>
      </c>
      <c r="J5" s="577"/>
      <c r="K5" s="556"/>
      <c r="L5" s="556"/>
      <c r="M5" s="556"/>
      <c r="N5" s="556"/>
      <c r="O5" s="556"/>
      <c r="P5" s="556"/>
      <c r="Q5" s="556"/>
      <c r="R5" s="556"/>
      <c r="S5" s="581">
        <v>77274.38</v>
      </c>
      <c r="T5" s="556"/>
      <c r="U5" s="556"/>
      <c r="V5" s="582"/>
      <c r="W5" s="578"/>
      <c r="X5" s="556"/>
      <c r="Y5" s="581">
        <v>206809.25</v>
      </c>
      <c r="Z5" s="556"/>
      <c r="AA5" s="556"/>
      <c r="AB5" s="556"/>
      <c r="AC5" s="556"/>
      <c r="AD5" s="556"/>
      <c r="AE5" s="581">
        <v>253569.98</v>
      </c>
      <c r="AF5" s="556"/>
      <c r="AG5" s="556"/>
      <c r="AH5" s="582"/>
      <c r="AI5" s="578"/>
      <c r="AJ5" s="556"/>
      <c r="AK5" s="581">
        <v>142268.39000000001</v>
      </c>
      <c r="AL5" s="556"/>
      <c r="AM5" s="556"/>
      <c r="AN5" s="556"/>
      <c r="AO5" s="556"/>
      <c r="AP5" s="556"/>
      <c r="AQ5" s="589">
        <v>66472.271999999881</v>
      </c>
      <c r="AR5" s="556"/>
      <c r="AS5" s="556"/>
      <c r="AT5" s="582"/>
      <c r="AU5" s="578"/>
      <c r="AV5" s="556"/>
      <c r="AW5" s="589">
        <v>41296.763999999966</v>
      </c>
      <c r="AX5" s="556"/>
      <c r="AY5" s="556"/>
      <c r="AZ5" s="556"/>
      <c r="BA5" s="556"/>
      <c r="BB5" s="556"/>
      <c r="BC5" s="589">
        <v>21228.900000000023</v>
      </c>
      <c r="BD5" s="556"/>
      <c r="BE5" s="556"/>
      <c r="BF5" s="588"/>
      <c r="BI5" s="590">
        <v>822.98400000005495</v>
      </c>
      <c r="BO5" s="591">
        <v>0</v>
      </c>
      <c r="BR5" s="588"/>
    </row>
    <row r="6" spans="2:75" x14ac:dyDescent="0.25">
      <c r="B6" s="576"/>
      <c r="C6" s="555" t="s">
        <v>33</v>
      </c>
      <c r="D6" s="577"/>
      <c r="E6" s="577"/>
      <c r="F6" s="578"/>
      <c r="G6" s="577">
        <f t="shared" ref="G6:G7" ca="1" si="0">SUMIF($AN$3:$BK$3,"&lt;"&amp;TODAY(),$AN6:$BK6)</f>
        <v>0</v>
      </c>
      <c r="H6" s="577"/>
      <c r="I6" s="577" t="s">
        <v>528</v>
      </c>
      <c r="J6" s="577"/>
      <c r="K6" s="556"/>
      <c r="L6" s="556"/>
      <c r="M6" s="556"/>
      <c r="N6" s="556"/>
      <c r="O6" s="556"/>
      <c r="P6" s="556"/>
      <c r="Q6" s="556"/>
      <c r="R6" s="556"/>
      <c r="S6" s="556"/>
      <c r="T6" s="556"/>
      <c r="U6" s="556"/>
      <c r="V6" s="582"/>
      <c r="W6" s="578"/>
      <c r="X6" s="556"/>
      <c r="Y6" s="556"/>
      <c r="Z6" s="556"/>
      <c r="AA6" s="556"/>
      <c r="AB6" s="556"/>
      <c r="AC6" s="556"/>
      <c r="AD6" s="556"/>
      <c r="AE6" s="556"/>
      <c r="AF6" s="556"/>
      <c r="AG6" s="556"/>
      <c r="AH6" s="582"/>
      <c r="AI6" s="578"/>
      <c r="AJ6" s="556"/>
      <c r="AK6" s="556"/>
      <c r="AL6" s="556"/>
      <c r="AM6" s="556"/>
      <c r="AN6" s="556"/>
      <c r="AO6" s="556"/>
      <c r="AP6" s="556"/>
      <c r="AQ6" s="556"/>
      <c r="AR6" s="556"/>
      <c r="AS6" s="556"/>
      <c r="AT6" s="582"/>
      <c r="AU6" s="578"/>
      <c r="AV6" s="556"/>
      <c r="AW6" s="556"/>
      <c r="AY6" s="556"/>
      <c r="AZ6" s="556"/>
      <c r="BA6" s="556"/>
      <c r="BB6" s="556"/>
      <c r="BC6" s="556"/>
      <c r="BD6" s="556"/>
      <c r="BE6" s="556"/>
      <c r="BF6" s="588"/>
      <c r="BR6" s="588"/>
    </row>
    <row r="7" spans="2:75" x14ac:dyDescent="0.25">
      <c r="B7" s="576"/>
      <c r="C7" s="588" t="s">
        <v>34</v>
      </c>
      <c r="D7" s="577">
        <v>120000</v>
      </c>
      <c r="E7" s="577"/>
      <c r="F7" s="578"/>
      <c r="G7" s="577">
        <f t="shared" ca="1" si="0"/>
        <v>0</v>
      </c>
      <c r="H7" s="577"/>
      <c r="I7" s="577" t="s">
        <v>528</v>
      </c>
      <c r="J7" s="577"/>
      <c r="K7" s="556"/>
      <c r="L7" s="556"/>
      <c r="M7" s="556"/>
      <c r="N7" s="556"/>
      <c r="O7" s="556"/>
      <c r="P7" s="556"/>
      <c r="Q7" s="556"/>
      <c r="R7" s="556"/>
      <c r="S7" s="556"/>
      <c r="T7" s="556"/>
      <c r="U7" s="556"/>
      <c r="V7" s="582"/>
      <c r="W7" s="578"/>
      <c r="X7" s="556"/>
      <c r="Y7" s="556"/>
      <c r="Z7" s="556"/>
      <c r="AA7" s="556"/>
      <c r="AB7" s="556"/>
      <c r="AC7" s="556"/>
      <c r="AD7" s="556"/>
      <c r="AE7" s="556"/>
      <c r="AF7" s="556"/>
      <c r="AG7" s="556"/>
      <c r="AH7" s="582"/>
      <c r="AI7" s="578"/>
      <c r="AJ7" s="556"/>
      <c r="AK7" s="556"/>
      <c r="AL7" s="556"/>
      <c r="AM7" s="556"/>
      <c r="AN7" s="556"/>
      <c r="AO7" s="556"/>
      <c r="AP7" s="556"/>
      <c r="AQ7" s="556"/>
      <c r="AR7" s="556"/>
      <c r="AS7" s="556"/>
      <c r="AT7" s="582"/>
      <c r="AU7" s="578"/>
      <c r="AV7" s="556"/>
      <c r="AW7" s="556"/>
      <c r="AX7" s="556"/>
      <c r="AY7" s="556"/>
      <c r="AZ7" s="556"/>
      <c r="BA7" s="556"/>
      <c r="BB7" s="556"/>
      <c r="BC7" s="556"/>
      <c r="BD7" s="556"/>
      <c r="BE7" s="556"/>
      <c r="BF7" s="588"/>
      <c r="BR7" s="588"/>
    </row>
    <row r="8" spans="2:75" x14ac:dyDescent="0.25">
      <c r="B8" s="576"/>
      <c r="C8" s="592" t="s">
        <v>529</v>
      </c>
      <c r="D8" s="577">
        <v>315000</v>
      </c>
      <c r="E8" s="577"/>
      <c r="F8" s="578"/>
      <c r="G8" s="577"/>
      <c r="H8" s="577"/>
      <c r="I8" s="577"/>
      <c r="J8" s="577"/>
      <c r="K8" s="556"/>
      <c r="L8" s="556"/>
      <c r="M8" s="556"/>
      <c r="N8" s="556"/>
      <c r="O8" s="556"/>
      <c r="P8" s="556"/>
      <c r="Q8" s="556"/>
      <c r="R8" s="556"/>
      <c r="S8" s="556"/>
      <c r="T8" s="556"/>
      <c r="U8" s="556"/>
      <c r="V8" s="582"/>
      <c r="W8" s="578"/>
      <c r="X8" s="556"/>
      <c r="Y8" s="556"/>
      <c r="Z8" s="556"/>
      <c r="AA8" s="556"/>
      <c r="AB8" s="556"/>
      <c r="AC8" s="556"/>
      <c r="AD8" s="556"/>
      <c r="AE8" s="556"/>
      <c r="AF8" s="556"/>
      <c r="AG8" s="556"/>
      <c r="AH8" s="582"/>
      <c r="AI8" s="578"/>
      <c r="AJ8" s="556"/>
      <c r="AK8" s="556"/>
      <c r="AL8" s="556"/>
      <c r="AM8" s="556"/>
      <c r="AN8" s="556"/>
      <c r="AO8" s="556"/>
      <c r="AP8" s="556"/>
      <c r="AQ8" s="556"/>
      <c r="AR8" s="556"/>
      <c r="AS8" s="556"/>
      <c r="AT8" s="582"/>
      <c r="AU8" s="578"/>
      <c r="AV8" s="556"/>
      <c r="AW8" s="556"/>
      <c r="AX8" s="556"/>
      <c r="AY8" s="556"/>
      <c r="AZ8" s="556"/>
      <c r="BA8" s="556"/>
      <c r="BB8" s="556"/>
      <c r="BC8" s="556"/>
      <c r="BD8" s="556"/>
      <c r="BE8" s="556"/>
      <c r="BF8" s="588"/>
      <c r="BR8" s="588"/>
    </row>
    <row r="9" spans="2:75" x14ac:dyDescent="0.25">
      <c r="B9" s="593" t="s">
        <v>35</v>
      </c>
      <c r="C9" s="594"/>
      <c r="D9" s="595"/>
      <c r="E9" s="595">
        <f t="shared" ref="E9" si="1">SUM(AN9:BK9)</f>
        <v>15536.25</v>
      </c>
      <c r="F9" s="596"/>
      <c r="G9" s="597">
        <f ca="1">SUMIF($AN$3:$BK$3,"&lt;"&amp;TODAY(),$AN9:$BK9)</f>
        <v>15536.25</v>
      </c>
      <c r="H9" s="596"/>
      <c r="I9" s="893" t="s">
        <v>327</v>
      </c>
      <c r="J9" s="688"/>
      <c r="K9" s="556"/>
      <c r="L9" s="556"/>
      <c r="M9" s="556"/>
      <c r="N9" s="556"/>
      <c r="O9" s="556"/>
      <c r="P9" s="556"/>
      <c r="Q9" s="556"/>
      <c r="R9" s="556"/>
      <c r="S9" s="556"/>
      <c r="T9" s="556"/>
      <c r="U9" s="556"/>
      <c r="V9" s="582"/>
      <c r="W9" s="578"/>
      <c r="X9" s="556"/>
      <c r="Y9" s="556"/>
      <c r="Z9" s="556"/>
      <c r="AA9" s="556"/>
      <c r="AB9" s="556"/>
      <c r="AC9" s="556"/>
      <c r="AD9" s="556"/>
      <c r="AE9" s="556"/>
      <c r="AF9" s="556"/>
      <c r="AG9" s="556"/>
      <c r="AH9" s="582"/>
      <c r="AI9" s="578"/>
      <c r="AJ9" s="556"/>
      <c r="AK9" s="556"/>
      <c r="AL9" s="556"/>
      <c r="AM9" s="556"/>
      <c r="AN9" s="598">
        <v>1345.25</v>
      </c>
      <c r="AO9" s="556"/>
      <c r="AP9" s="581">
        <v>14191</v>
      </c>
      <c r="AQ9" s="556"/>
      <c r="AR9" s="599"/>
      <c r="AS9" s="599"/>
      <c r="AT9" s="582"/>
      <c r="AU9" s="578"/>
      <c r="AV9" s="556"/>
      <c r="AW9" s="556"/>
      <c r="AX9" s="556"/>
      <c r="AY9" s="556"/>
      <c r="AZ9" s="556"/>
      <c r="BA9" s="556"/>
      <c r="BB9" s="556"/>
      <c r="BC9" s="556"/>
      <c r="BD9" s="556"/>
      <c r="BE9" s="556"/>
      <c r="BF9" s="588"/>
      <c r="BR9" s="588"/>
    </row>
    <row r="10" spans="2:75" x14ac:dyDescent="0.25">
      <c r="B10" s="600" t="s">
        <v>40</v>
      </c>
      <c r="C10" s="601" t="s">
        <v>530</v>
      </c>
      <c r="D10" s="597">
        <f>$E$10</f>
        <v>375521.13999999996</v>
      </c>
      <c r="E10" s="597">
        <v>375521.13999999996</v>
      </c>
      <c r="F10" s="597">
        <v>679020</v>
      </c>
      <c r="G10" s="597">
        <f t="shared" ref="G10:G23" ca="1" si="2">SUMIF($AN$3:$BK$3,"&lt;"&amp;TODAY(),$AO10:$BK10)</f>
        <v>375521.13999999996</v>
      </c>
      <c r="H10" s="577">
        <f t="shared" ref="H10:H19" ca="1" si="3">SUM(F10-G10)</f>
        <v>303498.86000000004</v>
      </c>
      <c r="I10" s="602" t="s">
        <v>531</v>
      </c>
      <c r="J10" s="597" t="s">
        <v>105</v>
      </c>
      <c r="K10" s="556"/>
      <c r="L10" s="556"/>
      <c r="M10" s="556"/>
      <c r="N10" s="556"/>
      <c r="O10" s="556"/>
      <c r="P10" s="556"/>
      <c r="Q10" s="556"/>
      <c r="S10" s="556"/>
      <c r="T10" s="556"/>
      <c r="U10" s="556"/>
      <c r="V10" s="582"/>
      <c r="W10" s="578"/>
      <c r="X10" s="556"/>
      <c r="Y10" s="556"/>
      <c r="Z10" s="556"/>
      <c r="AA10" s="556"/>
      <c r="AB10" s="556"/>
      <c r="AC10" s="556"/>
      <c r="AE10" s="556"/>
      <c r="AF10" s="556"/>
      <c r="AG10" s="556"/>
      <c r="AH10" s="582"/>
      <c r="AI10" s="578"/>
      <c r="AJ10" s="556"/>
      <c r="AK10" s="556"/>
      <c r="AL10" s="556"/>
      <c r="AM10" s="556"/>
      <c r="AO10" s="581">
        <v>11863</v>
      </c>
      <c r="AP10" s="581">
        <v>20120</v>
      </c>
      <c r="AQ10" s="581">
        <v>29846</v>
      </c>
      <c r="AR10" s="581">
        <v>25785</v>
      </c>
      <c r="AS10" s="581">
        <v>31388</v>
      </c>
      <c r="AT10" s="603">
        <v>37092</v>
      </c>
      <c r="AU10" s="604">
        <v>37092</v>
      </c>
      <c r="AV10" s="581">
        <v>37299.86</v>
      </c>
      <c r="AW10" s="581">
        <v>37204.559999999998</v>
      </c>
      <c r="AX10" s="581">
        <v>37092.86</v>
      </c>
      <c r="AY10" s="605">
        <v>7552</v>
      </c>
      <c r="AZ10" s="581">
        <v>41092.86</v>
      </c>
      <c r="BA10" s="721">
        <v>22093</v>
      </c>
      <c r="BF10" s="588"/>
      <c r="BR10" s="588"/>
    </row>
    <row r="11" spans="2:75" x14ac:dyDescent="0.25">
      <c r="B11" s="576"/>
      <c r="C11" s="588" t="s">
        <v>532</v>
      </c>
      <c r="D11" s="577">
        <v>508766</v>
      </c>
      <c r="E11" s="577"/>
      <c r="F11" s="578">
        <v>508766</v>
      </c>
      <c r="G11" s="595">
        <f ca="1">SUMIF($AN$3:$BK$3,"&lt;"&amp;TODAY(),$AO11:$BK11)</f>
        <v>70641.55</v>
      </c>
      <c r="H11" s="606">
        <f t="shared" ca="1" si="3"/>
        <v>438124.45</v>
      </c>
      <c r="I11" s="579" t="s">
        <v>533</v>
      </c>
      <c r="J11" s="577" t="s">
        <v>534</v>
      </c>
      <c r="K11" s="556"/>
      <c r="L11" s="556"/>
      <c r="M11" s="556"/>
      <c r="N11" s="556"/>
      <c r="O11" s="556"/>
      <c r="P11" s="556"/>
      <c r="Q11" s="556"/>
      <c r="S11" s="556"/>
      <c r="T11" s="556"/>
      <c r="U11" s="556"/>
      <c r="V11" s="582"/>
      <c r="W11" s="578"/>
      <c r="X11" s="556"/>
      <c r="Y11" s="556"/>
      <c r="Z11" s="556"/>
      <c r="AA11" s="556"/>
      <c r="AB11" s="556"/>
      <c r="AC11" s="556"/>
      <c r="AE11" s="556"/>
      <c r="AF11" s="556"/>
      <c r="AG11" s="556"/>
      <c r="AH11" s="582"/>
      <c r="AI11" s="578"/>
      <c r="AJ11" s="556"/>
      <c r="AK11" s="556"/>
      <c r="AL11" s="556"/>
      <c r="AM11" s="556"/>
      <c r="AT11" s="588"/>
      <c r="AY11" s="297">
        <v>32093</v>
      </c>
      <c r="AZ11" s="297">
        <v>38548.550000000003</v>
      </c>
      <c r="BF11" s="588"/>
      <c r="BR11" s="588"/>
    </row>
    <row r="12" spans="2:75" x14ac:dyDescent="0.25">
      <c r="B12" s="576"/>
      <c r="C12" s="588" t="s">
        <v>535</v>
      </c>
      <c r="D12" s="577"/>
      <c r="E12" s="577"/>
      <c r="F12" s="578"/>
      <c r="G12" s="597"/>
      <c r="H12" s="577"/>
      <c r="I12" s="579"/>
      <c r="J12" s="577" t="s">
        <v>534</v>
      </c>
      <c r="K12" s="556"/>
      <c r="L12" s="556"/>
      <c r="M12" s="556"/>
      <c r="N12" s="556"/>
      <c r="O12" s="556"/>
      <c r="P12" s="556"/>
      <c r="Q12" s="556"/>
      <c r="S12" s="556"/>
      <c r="T12" s="556"/>
      <c r="U12" s="556"/>
      <c r="V12" s="582"/>
      <c r="W12" s="578"/>
      <c r="X12" s="556"/>
      <c r="Y12" s="556"/>
      <c r="Z12" s="556"/>
      <c r="AA12" s="556"/>
      <c r="AB12" s="556"/>
      <c r="AC12" s="556"/>
      <c r="AE12" s="556"/>
      <c r="AF12" s="556"/>
      <c r="AG12" s="556"/>
      <c r="AH12" s="582"/>
      <c r="AI12" s="578"/>
      <c r="AJ12" s="556"/>
      <c r="AK12" s="556"/>
      <c r="AL12" s="556"/>
      <c r="AM12" s="556"/>
      <c r="AT12" s="588"/>
      <c r="AY12" s="943"/>
      <c r="AZ12" s="943"/>
      <c r="BF12" s="588"/>
      <c r="BR12" s="588"/>
    </row>
    <row r="13" spans="2:75" x14ac:dyDescent="0.25">
      <c r="B13" s="576"/>
      <c r="C13" s="588" t="s">
        <v>536</v>
      </c>
      <c r="D13" s="577"/>
      <c r="E13" s="577"/>
      <c r="F13" s="578"/>
      <c r="G13" s="597"/>
      <c r="H13" s="577"/>
      <c r="I13" s="579"/>
      <c r="J13" s="577" t="s">
        <v>534</v>
      </c>
      <c r="K13" s="556"/>
      <c r="L13" s="556"/>
      <c r="M13" s="556"/>
      <c r="N13" s="556"/>
      <c r="O13" s="556"/>
      <c r="P13" s="556"/>
      <c r="Q13" s="556"/>
      <c r="S13" s="556"/>
      <c r="T13" s="556"/>
      <c r="U13" s="556"/>
      <c r="V13" s="582"/>
      <c r="W13" s="578"/>
      <c r="X13" s="556"/>
      <c r="Y13" s="556"/>
      <c r="Z13" s="556"/>
      <c r="AA13" s="556"/>
      <c r="AB13" s="556"/>
      <c r="AC13" s="556"/>
      <c r="AE13" s="556"/>
      <c r="AF13" s="556"/>
      <c r="AG13" s="556"/>
      <c r="AH13" s="582"/>
      <c r="AI13" s="578"/>
      <c r="AJ13" s="556"/>
      <c r="AK13" s="556"/>
      <c r="AL13" s="556"/>
      <c r="AM13" s="556"/>
      <c r="AT13" s="588"/>
      <c r="AY13"/>
      <c r="AZ13"/>
      <c r="BF13" s="588"/>
      <c r="BR13" s="588"/>
    </row>
    <row r="14" spans="2:75" x14ac:dyDescent="0.25">
      <c r="B14" s="600" t="s">
        <v>37</v>
      </c>
      <c r="C14" s="601" t="s">
        <v>212</v>
      </c>
      <c r="D14" s="607">
        <v>180000</v>
      </c>
      <c r="E14" s="597"/>
      <c r="F14" s="607">
        <v>180000</v>
      </c>
      <c r="G14" s="597">
        <f t="shared" ca="1" si="2"/>
        <v>0</v>
      </c>
      <c r="H14" s="577">
        <f t="shared" ca="1" si="3"/>
        <v>180000</v>
      </c>
      <c r="I14" s="597" t="s">
        <v>528</v>
      </c>
      <c r="J14" s="597" t="s">
        <v>537</v>
      </c>
      <c r="K14" s="556"/>
      <c r="L14" s="556"/>
      <c r="M14" s="556"/>
      <c r="N14" s="556"/>
      <c r="O14" s="556"/>
      <c r="P14" s="556"/>
      <c r="Q14" s="556"/>
      <c r="S14" s="556"/>
      <c r="T14" s="556"/>
      <c r="U14" s="556"/>
      <c r="V14" s="582"/>
      <c r="W14" s="578"/>
      <c r="X14" s="556"/>
      <c r="Y14" s="556"/>
      <c r="Z14" s="556"/>
      <c r="AA14" s="556"/>
      <c r="AB14" s="556"/>
      <c r="AC14" s="556"/>
      <c r="AE14" s="556"/>
      <c r="AF14" s="556"/>
      <c r="AG14" s="556"/>
      <c r="AH14" s="582"/>
      <c r="AI14" s="578"/>
      <c r="AJ14" s="556"/>
      <c r="AK14" s="556"/>
      <c r="AL14" s="556"/>
      <c r="AM14" s="556"/>
      <c r="AN14" s="556"/>
      <c r="AO14" s="556"/>
      <c r="AQ14" s="556"/>
      <c r="AR14" s="556"/>
      <c r="AS14" s="556"/>
      <c r="AT14" s="582"/>
      <c r="AU14" s="578"/>
      <c r="AV14" s="556"/>
      <c r="AW14" s="556"/>
      <c r="AX14" s="556"/>
      <c r="AY14" s="556"/>
      <c r="AZ14"/>
      <c r="BA14" s="556"/>
      <c r="BB14" s="556"/>
      <c r="BC14" s="556"/>
      <c r="BD14" s="556"/>
      <c r="BE14" s="556"/>
      <c r="BF14" s="588"/>
      <c r="BR14" s="588"/>
    </row>
    <row r="15" spans="2:75" x14ac:dyDescent="0.25">
      <c r="B15" s="576"/>
      <c r="C15" s="588" t="s">
        <v>538</v>
      </c>
      <c r="D15" s="577">
        <v>20000</v>
      </c>
      <c r="E15" s="577">
        <v>20000</v>
      </c>
      <c r="F15" s="578">
        <v>20000</v>
      </c>
      <c r="G15" s="577"/>
      <c r="H15" s="577">
        <f>SUM(F15-G15)</f>
        <v>20000</v>
      </c>
      <c r="I15" s="577" t="s">
        <v>539</v>
      </c>
      <c r="J15" s="577" t="s">
        <v>540</v>
      </c>
      <c r="K15" s="556"/>
      <c r="L15" s="556"/>
      <c r="M15" s="556"/>
      <c r="N15" s="556"/>
      <c r="O15" s="556"/>
      <c r="P15" s="556"/>
      <c r="Q15" s="556"/>
      <c r="S15" s="556"/>
      <c r="T15" s="556"/>
      <c r="U15" s="556"/>
      <c r="V15" s="582"/>
      <c r="W15" s="578"/>
      <c r="X15" s="556"/>
      <c r="Y15" s="556"/>
      <c r="Z15" s="556"/>
      <c r="AA15" s="556"/>
      <c r="AB15" s="556"/>
      <c r="AC15" s="556"/>
      <c r="AE15" s="556"/>
      <c r="AF15" s="556"/>
      <c r="AG15" s="556"/>
      <c r="AH15" s="582"/>
      <c r="AI15" s="578"/>
      <c r="AJ15" s="556"/>
      <c r="AK15" s="556"/>
      <c r="AL15" s="556"/>
      <c r="AM15" s="556"/>
      <c r="AN15" s="556"/>
      <c r="AO15" s="556"/>
      <c r="AQ15" s="556"/>
      <c r="AR15" s="556"/>
      <c r="AS15" s="556"/>
      <c r="AT15" s="582"/>
      <c r="AU15" s="578"/>
      <c r="AV15" s="556"/>
      <c r="AW15" s="556"/>
      <c r="AX15" s="556"/>
      <c r="AY15" s="556"/>
      <c r="AZ15"/>
      <c r="BA15" s="556"/>
      <c r="BB15" s="556"/>
      <c r="BC15" s="556"/>
      <c r="BD15" s="556"/>
      <c r="BE15" s="556"/>
      <c r="BF15" s="588"/>
      <c r="BR15" s="588"/>
    </row>
    <row r="16" spans="2:75" x14ac:dyDescent="0.25">
      <c r="B16" s="576"/>
      <c r="C16" s="588" t="s">
        <v>39</v>
      </c>
      <c r="D16" s="577">
        <v>600000</v>
      </c>
      <c r="E16" s="577"/>
      <c r="F16" s="578"/>
      <c r="G16" s="577">
        <f ca="1">SUMIF($AN$3:$BK$3,"&lt;"&amp;TODAY(),$AO16:$BK16)</f>
        <v>0</v>
      </c>
      <c r="H16" s="577">
        <f ca="1">SUM(F16-G16)</f>
        <v>0</v>
      </c>
      <c r="I16" s="577" t="s">
        <v>528</v>
      </c>
      <c r="J16" s="611" t="s">
        <v>39</v>
      </c>
      <c r="K16" s="556"/>
      <c r="L16" s="556"/>
      <c r="M16" s="556"/>
      <c r="N16" s="556"/>
      <c r="O16" s="556"/>
      <c r="P16" s="556"/>
      <c r="Q16" s="556"/>
      <c r="S16" s="556"/>
      <c r="T16" s="556"/>
      <c r="U16" s="556"/>
      <c r="V16" s="582"/>
      <c r="W16" s="578"/>
      <c r="X16" s="556"/>
      <c r="Y16" s="556"/>
      <c r="Z16" s="556"/>
      <c r="AA16" s="556"/>
      <c r="AB16" s="556"/>
      <c r="AC16" s="556"/>
      <c r="AE16" s="556"/>
      <c r="AF16" s="556"/>
      <c r="AG16" s="556"/>
      <c r="AH16" s="582"/>
      <c r="AI16" s="578"/>
      <c r="AJ16" s="556"/>
      <c r="AK16" s="556"/>
      <c r="AL16" s="556"/>
      <c r="AM16" s="556"/>
      <c r="AN16" s="556"/>
      <c r="AO16" s="556"/>
      <c r="AQ16" s="556"/>
      <c r="AR16" s="556"/>
      <c r="AS16" s="556"/>
      <c r="AT16" s="582"/>
      <c r="AU16" s="578"/>
      <c r="AV16" s="556"/>
      <c r="AW16" s="556"/>
      <c r="AX16" s="556"/>
      <c r="AY16" s="556"/>
      <c r="AZ16" s="556"/>
      <c r="BA16" s="556"/>
      <c r="BB16" s="556"/>
      <c r="BC16" s="556"/>
      <c r="BD16" s="556"/>
      <c r="BE16" s="556"/>
      <c r="BF16" s="588"/>
      <c r="BR16" s="588"/>
    </row>
    <row r="17" spans="2:70" x14ac:dyDescent="0.25">
      <c r="B17" s="608"/>
      <c r="C17" s="609" t="s">
        <v>541</v>
      </c>
      <c r="D17" s="606">
        <v>68127</v>
      </c>
      <c r="E17" s="606"/>
      <c r="F17" s="610"/>
      <c r="G17" s="606">
        <f t="shared" ca="1" si="2"/>
        <v>0</v>
      </c>
      <c r="H17" s="606">
        <f t="shared" ca="1" si="3"/>
        <v>0</v>
      </c>
      <c r="I17" s="577" t="s">
        <v>528</v>
      </c>
      <c r="J17" s="611" t="s">
        <v>39</v>
      </c>
      <c r="K17" s="556"/>
      <c r="L17" s="556"/>
      <c r="M17" s="556"/>
      <c r="N17" s="556"/>
      <c r="O17" s="556"/>
      <c r="P17" s="556"/>
      <c r="Q17" s="556"/>
      <c r="S17" s="556"/>
      <c r="T17" s="556"/>
      <c r="U17" s="556"/>
      <c r="V17" s="582"/>
      <c r="W17" s="578"/>
      <c r="X17" s="556"/>
      <c r="Y17" s="556"/>
      <c r="Z17" s="556"/>
      <c r="AA17" s="556"/>
      <c r="AB17" s="556"/>
      <c r="AC17" s="556"/>
      <c r="AE17" s="556"/>
      <c r="AF17" s="556"/>
      <c r="AG17" s="556"/>
      <c r="AH17" s="582"/>
      <c r="AI17" s="578"/>
      <c r="AJ17" s="556"/>
      <c r="AK17" s="556"/>
      <c r="AL17" s="556"/>
      <c r="AM17" s="556"/>
      <c r="AN17" s="556"/>
      <c r="AO17" s="556"/>
      <c r="AQ17" s="556"/>
      <c r="AR17" s="556"/>
      <c r="AS17" s="556"/>
      <c r="AT17" s="582"/>
      <c r="AU17" s="578"/>
      <c r="AV17" s="556"/>
      <c r="AW17" s="556"/>
      <c r="AX17" s="556"/>
      <c r="AY17" s="556"/>
      <c r="AZ17" s="556"/>
      <c r="BA17" s="556"/>
      <c r="BB17" s="556"/>
      <c r="BC17" s="556"/>
      <c r="BD17" s="556"/>
      <c r="BE17" s="556"/>
      <c r="BF17" s="588"/>
      <c r="BR17" s="588"/>
    </row>
    <row r="18" spans="2:70" x14ac:dyDescent="0.25">
      <c r="B18" s="576" t="s">
        <v>288</v>
      </c>
      <c r="C18" s="555" t="s">
        <v>542</v>
      </c>
      <c r="D18" s="577">
        <v>1152</v>
      </c>
      <c r="E18" s="577">
        <v>1152</v>
      </c>
      <c r="F18" s="578">
        <v>1152</v>
      </c>
      <c r="G18" s="597">
        <f t="shared" ca="1" si="2"/>
        <v>0</v>
      </c>
      <c r="H18" s="577">
        <f t="shared" ca="1" si="3"/>
        <v>1152</v>
      </c>
      <c r="I18" s="894" t="s">
        <v>327</v>
      </c>
      <c r="J18" s="577" t="s">
        <v>543</v>
      </c>
      <c r="K18" s="556"/>
      <c r="L18" s="556"/>
      <c r="M18" s="556"/>
      <c r="N18" s="556"/>
      <c r="O18" s="556"/>
      <c r="P18" s="556"/>
      <c r="Q18" s="556"/>
      <c r="S18" s="556"/>
      <c r="T18" s="556"/>
      <c r="U18" s="556"/>
      <c r="V18" s="582"/>
      <c r="W18" s="578"/>
      <c r="X18" s="556"/>
      <c r="Y18" s="556"/>
      <c r="Z18" s="556"/>
      <c r="AA18" s="556"/>
      <c r="AB18" s="556"/>
      <c r="AC18" s="556"/>
      <c r="AE18" s="556"/>
      <c r="AF18" s="556"/>
      <c r="AG18" s="556"/>
      <c r="AH18" s="582"/>
      <c r="AI18" s="578"/>
      <c r="AJ18" s="556"/>
      <c r="AK18" s="556"/>
      <c r="AL18" s="556"/>
      <c r="AM18" s="556"/>
      <c r="AN18" s="556"/>
      <c r="AO18" s="556"/>
      <c r="AQ18" s="556"/>
      <c r="AR18" s="556"/>
      <c r="AS18" s="556"/>
      <c r="AT18" s="582"/>
      <c r="AU18" s="578"/>
      <c r="AV18" s="556"/>
      <c r="AW18" s="556"/>
      <c r="AX18" s="556"/>
      <c r="AY18" s="556"/>
      <c r="AZ18" s="556"/>
      <c r="BA18" s="556"/>
      <c r="BB18" s="556"/>
      <c r="BC18" s="556"/>
      <c r="BD18" s="556"/>
      <c r="BE18" s="556"/>
      <c r="BF18" s="588"/>
      <c r="BR18" s="588"/>
    </row>
    <row r="19" spans="2:70" x14ac:dyDescent="0.25">
      <c r="B19" s="612"/>
      <c r="C19" s="592" t="s">
        <v>86</v>
      </c>
      <c r="D19" s="606">
        <v>2329.5100000000002</v>
      </c>
      <c r="E19" s="606">
        <v>2329.5100000000002</v>
      </c>
      <c r="F19" s="606">
        <v>2329.5100000000002</v>
      </c>
      <c r="G19" s="577">
        <f t="shared" ca="1" si="2"/>
        <v>0</v>
      </c>
      <c r="H19" s="606">
        <f t="shared" ca="1" si="3"/>
        <v>2329.5100000000002</v>
      </c>
      <c r="I19" s="579" t="s">
        <v>327</v>
      </c>
      <c r="J19" s="611" t="s">
        <v>544</v>
      </c>
      <c r="K19" s="556"/>
      <c r="L19" s="556"/>
      <c r="M19" s="556"/>
      <c r="N19" s="556"/>
      <c r="O19" s="556"/>
      <c r="P19" s="556"/>
      <c r="Q19" s="556"/>
      <c r="S19" s="556"/>
      <c r="T19" s="556"/>
      <c r="U19" s="556"/>
      <c r="V19" s="582"/>
      <c r="W19" s="578"/>
      <c r="X19" s="556"/>
      <c r="Y19" s="556"/>
      <c r="Z19" s="556"/>
      <c r="AA19" s="556"/>
      <c r="AB19" s="556"/>
      <c r="AC19" s="556"/>
      <c r="AE19" s="556"/>
      <c r="AF19" s="556"/>
      <c r="AG19" s="556"/>
      <c r="AH19" s="582"/>
      <c r="AI19" s="578"/>
      <c r="AJ19" s="556"/>
      <c r="AK19" s="556"/>
      <c r="AL19" s="556"/>
      <c r="AM19" s="556"/>
      <c r="AN19" s="556"/>
      <c r="AO19" s="556"/>
      <c r="AQ19" s="556"/>
      <c r="AR19" s="556"/>
      <c r="AS19" s="556"/>
      <c r="AT19" s="582"/>
      <c r="AU19" s="578"/>
      <c r="AV19" s="556"/>
      <c r="AW19" s="556"/>
      <c r="AX19" s="556"/>
      <c r="AY19" s="556"/>
      <c r="AZ19" s="556"/>
      <c r="BA19" s="556"/>
      <c r="BB19" s="556"/>
      <c r="BC19" s="556"/>
      <c r="BD19" s="556"/>
      <c r="BE19" s="556"/>
      <c r="BF19" s="588"/>
      <c r="BR19" s="588"/>
    </row>
    <row r="20" spans="2:70" x14ac:dyDescent="0.25">
      <c r="B20" s="576" t="s">
        <v>42</v>
      </c>
      <c r="C20" s="555" t="s">
        <v>46</v>
      </c>
      <c r="D20" s="577">
        <v>183400</v>
      </c>
      <c r="E20" s="597">
        <v>51500</v>
      </c>
      <c r="F20" s="597">
        <v>51500</v>
      </c>
      <c r="G20" s="597">
        <f t="shared" ca="1" si="2"/>
        <v>49500</v>
      </c>
      <c r="H20" s="577">
        <f ca="1">SUM(F20-G20)</f>
        <v>2000</v>
      </c>
      <c r="I20" s="894" t="s">
        <v>533</v>
      </c>
      <c r="J20" s="577" t="s">
        <v>545</v>
      </c>
      <c r="K20" s="556"/>
      <c r="L20" s="556"/>
      <c r="M20" s="556"/>
      <c r="N20" s="556"/>
      <c r="O20" s="556"/>
      <c r="P20" s="556"/>
      <c r="Q20" s="556"/>
      <c r="S20" s="556"/>
      <c r="T20" s="556"/>
      <c r="U20" s="556"/>
      <c r="V20" s="582"/>
      <c r="W20" s="578"/>
      <c r="X20" s="556"/>
      <c r="Y20" s="556"/>
      <c r="Z20" s="556"/>
      <c r="AA20" s="556"/>
      <c r="AB20" s="556"/>
      <c r="AC20" s="556"/>
      <c r="AE20" s="556"/>
      <c r="AF20" s="556"/>
      <c r="AG20" s="556"/>
      <c r="AH20" s="582"/>
      <c r="AI20" s="578"/>
      <c r="AJ20" s="556"/>
      <c r="AK20" s="556"/>
      <c r="AL20" s="556"/>
      <c r="AM20" s="556"/>
      <c r="AN20" s="556"/>
      <c r="AO20" s="556"/>
      <c r="AQ20" s="556"/>
      <c r="AR20" s="556"/>
      <c r="AS20" s="581">
        <v>250</v>
      </c>
      <c r="AT20" s="582"/>
      <c r="AU20" s="604">
        <v>42500</v>
      </c>
      <c r="AV20" s="581">
        <v>6750</v>
      </c>
      <c r="AW20" s="556"/>
      <c r="AX20" s="556"/>
      <c r="AY20" s="556"/>
      <c r="AZ20" s="556"/>
      <c r="BA20" s="556"/>
      <c r="BB20" s="556"/>
      <c r="BC20" s="556"/>
      <c r="BD20" s="556"/>
      <c r="BE20" s="556"/>
      <c r="BF20" s="588"/>
      <c r="BR20" s="588"/>
    </row>
    <row r="21" spans="2:70" x14ac:dyDescent="0.25">
      <c r="B21" s="576"/>
      <c r="C21" s="555" t="s">
        <v>48</v>
      </c>
      <c r="D21" s="577">
        <v>159000</v>
      </c>
      <c r="E21" s="577">
        <v>159000</v>
      </c>
      <c r="F21" s="577">
        <v>159000</v>
      </c>
      <c r="G21" s="577">
        <f ca="1">SUMIF($AN$3:$BK$3,"&lt;"&amp;TODAY(),$AO21:$BK21)</f>
        <v>169231.66</v>
      </c>
      <c r="H21" s="577">
        <f t="shared" ref="H21:H59" ca="1" si="4">SUM(F21-G21)</f>
        <v>-10231.660000000003</v>
      </c>
      <c r="I21" s="613" t="s">
        <v>546</v>
      </c>
      <c r="J21" s="577" t="s">
        <v>547</v>
      </c>
      <c r="K21" s="556"/>
      <c r="L21" s="556"/>
      <c r="M21" s="556"/>
      <c r="N21" s="556"/>
      <c r="O21" s="556"/>
      <c r="P21" s="556"/>
      <c r="Q21" s="556"/>
      <c r="S21" s="556"/>
      <c r="T21" s="556"/>
      <c r="U21" s="556"/>
      <c r="V21" s="582"/>
      <c r="W21" s="578"/>
      <c r="X21" s="556"/>
      <c r="Y21" s="556"/>
      <c r="Z21" s="556"/>
      <c r="AA21" s="556"/>
      <c r="AB21" s="556"/>
      <c r="AC21" s="556"/>
      <c r="AE21" s="556"/>
      <c r="AF21" s="556"/>
      <c r="AG21" s="556"/>
      <c r="AH21" s="582"/>
      <c r="AI21" s="578"/>
      <c r="AJ21" s="556"/>
      <c r="AK21" s="556"/>
      <c r="AL21" s="556"/>
      <c r="AM21" s="556"/>
      <c r="AN21" s="556"/>
      <c r="AO21" s="556"/>
      <c r="AQ21" s="581">
        <v>650</v>
      </c>
      <c r="AR21" s="581">
        <v>29211.66</v>
      </c>
      <c r="AS21" s="581">
        <v>33120</v>
      </c>
      <c r="AT21" s="603">
        <v>1650</v>
      </c>
      <c r="AU21" s="604">
        <v>6975</v>
      </c>
      <c r="AV21" s="581">
        <v>8775</v>
      </c>
      <c r="AW21" s="581">
        <v>11475</v>
      </c>
      <c r="AX21" s="581">
        <v>9087.5</v>
      </c>
      <c r="AY21" s="581">
        <v>28125</v>
      </c>
      <c r="AZ21" s="556"/>
      <c r="BA21" s="288">
        <v>40162.5</v>
      </c>
      <c r="BB21" s="556"/>
      <c r="BC21" s="556"/>
      <c r="BD21" s="556"/>
      <c r="BE21" s="556"/>
      <c r="BF21" s="588"/>
      <c r="BR21" s="588"/>
    </row>
    <row r="22" spans="2:70" x14ac:dyDescent="0.25">
      <c r="B22" s="576"/>
      <c r="C22" s="555" t="s">
        <v>548</v>
      </c>
      <c r="D22" s="577">
        <v>100000</v>
      </c>
      <c r="E22" s="577"/>
      <c r="F22" s="577"/>
      <c r="G22" s="577">
        <f t="shared" ca="1" si="2"/>
        <v>0</v>
      </c>
      <c r="H22" s="577">
        <f t="shared" ca="1" si="4"/>
        <v>0</v>
      </c>
      <c r="I22" s="577" t="s">
        <v>528</v>
      </c>
      <c r="J22" s="577" t="s">
        <v>549</v>
      </c>
      <c r="K22" s="556"/>
      <c r="L22" s="556"/>
      <c r="M22" s="556"/>
      <c r="N22" s="556"/>
      <c r="O22" s="556"/>
      <c r="P22" s="556"/>
      <c r="Q22" s="556"/>
      <c r="S22" s="556"/>
      <c r="T22" s="556"/>
      <c r="U22" s="556"/>
      <c r="V22" s="582"/>
      <c r="W22" s="578"/>
      <c r="X22" s="556"/>
      <c r="Y22" s="556"/>
      <c r="Z22" s="556"/>
      <c r="AA22" s="556"/>
      <c r="AB22" s="556"/>
      <c r="AC22" s="556"/>
      <c r="AE22" s="556"/>
      <c r="AF22" s="556"/>
      <c r="AG22" s="556"/>
      <c r="AH22" s="582"/>
      <c r="AI22" s="578"/>
      <c r="AJ22" s="556"/>
      <c r="AK22" s="556"/>
      <c r="AL22" s="556"/>
      <c r="AM22" s="556"/>
      <c r="AN22" s="556"/>
      <c r="AO22" s="556"/>
      <c r="AQ22" s="556"/>
      <c r="AR22" s="556"/>
      <c r="AS22" s="556"/>
      <c r="AT22" s="582"/>
      <c r="AU22" s="578"/>
      <c r="AV22" s="556"/>
      <c r="AW22" s="556"/>
      <c r="AX22" s="556"/>
      <c r="AY22" s="556"/>
      <c r="AZ22" s="556"/>
      <c r="BA22" s="556"/>
      <c r="BB22" s="556"/>
      <c r="BC22" s="556"/>
      <c r="BD22" s="556"/>
      <c r="BE22" s="556"/>
      <c r="BF22" s="588"/>
      <c r="BR22" s="588"/>
    </row>
    <row r="23" spans="2:70" x14ac:dyDescent="0.25">
      <c r="B23" s="576"/>
      <c r="C23" s="555" t="s">
        <v>53</v>
      </c>
      <c r="D23" s="577">
        <v>45000</v>
      </c>
      <c r="E23" s="577">
        <v>45000</v>
      </c>
      <c r="F23" s="577">
        <v>45000</v>
      </c>
      <c r="G23" s="577">
        <f t="shared" ca="1" si="2"/>
        <v>28245.919999999998</v>
      </c>
      <c r="H23" s="577">
        <f ca="1">SUM(F23-G23)</f>
        <v>16754.080000000002</v>
      </c>
      <c r="I23" s="602" t="s">
        <v>531</v>
      </c>
      <c r="J23" s="577" t="s">
        <v>105</v>
      </c>
      <c r="K23" s="556"/>
      <c r="L23" s="556"/>
      <c r="M23" s="556"/>
      <c r="N23" s="556"/>
      <c r="O23" s="556"/>
      <c r="P23" s="556"/>
      <c r="Q23" s="556"/>
      <c r="S23" s="556"/>
      <c r="T23" s="556"/>
      <c r="U23" s="556"/>
      <c r="V23" s="582"/>
      <c r="W23" s="578"/>
      <c r="X23" s="556"/>
      <c r="Y23" s="556"/>
      <c r="Z23" s="556"/>
      <c r="AA23" s="556"/>
      <c r="AB23" s="556"/>
      <c r="AC23" s="556"/>
      <c r="AE23" s="556"/>
      <c r="AF23" s="556"/>
      <c r="AG23" s="556"/>
      <c r="AH23" s="582"/>
      <c r="AI23" s="578"/>
      <c r="AJ23" s="556"/>
      <c r="AK23" s="556"/>
      <c r="AL23" s="556"/>
      <c r="AM23" s="556"/>
      <c r="AN23" s="556"/>
      <c r="AO23" s="556"/>
      <c r="AP23" s="605">
        <v>85</v>
      </c>
      <c r="AQ23" s="581">
        <v>1235</v>
      </c>
      <c r="AR23" s="581">
        <v>1106</v>
      </c>
      <c r="AS23" s="556"/>
      <c r="AT23" s="603">
        <v>2500</v>
      </c>
      <c r="AU23" s="604">
        <v>2074</v>
      </c>
      <c r="AV23" s="581">
        <v>3245.92</v>
      </c>
      <c r="AW23" s="581">
        <v>3000</v>
      </c>
      <c r="AX23" s="581">
        <v>3000</v>
      </c>
      <c r="AY23" s="581">
        <v>5000</v>
      </c>
      <c r="AZ23" s="581">
        <v>5000</v>
      </c>
      <c r="BA23" s="288">
        <v>2000</v>
      </c>
      <c r="BB23" s="556"/>
      <c r="BC23" s="556"/>
      <c r="BD23" s="556"/>
      <c r="BE23" s="556"/>
      <c r="BF23" s="588"/>
      <c r="BR23" s="588"/>
    </row>
    <row r="24" spans="2:70" x14ac:dyDescent="0.25">
      <c r="B24" s="576"/>
      <c r="C24" s="555" t="s">
        <v>550</v>
      </c>
      <c r="D24" s="577">
        <v>270125</v>
      </c>
      <c r="E24" s="577">
        <v>270125</v>
      </c>
      <c r="F24" s="577">
        <v>270125</v>
      </c>
      <c r="G24" s="577">
        <f ca="1">SUMIF($AN$3:$BK$3,"&lt;"&amp;TODAY(),$AN24:$BK24)</f>
        <v>189022.93</v>
      </c>
      <c r="H24" s="577">
        <f t="shared" ca="1" si="4"/>
        <v>81102.070000000007</v>
      </c>
      <c r="I24" s="602" t="s">
        <v>531</v>
      </c>
      <c r="J24" s="577" t="s">
        <v>105</v>
      </c>
      <c r="K24" s="556"/>
      <c r="L24" s="556"/>
      <c r="M24" s="556"/>
      <c r="N24" s="556"/>
      <c r="O24" s="556"/>
      <c r="P24" s="556"/>
      <c r="Q24" s="556"/>
      <c r="S24" s="556"/>
      <c r="T24" s="556"/>
      <c r="U24" s="556"/>
      <c r="V24" s="582"/>
      <c r="W24" s="578"/>
      <c r="X24" s="556"/>
      <c r="Y24" s="556"/>
      <c r="Z24" s="556"/>
      <c r="AA24" s="556"/>
      <c r="AB24" s="556"/>
      <c r="AC24" s="556"/>
      <c r="AE24" s="556"/>
      <c r="AF24" s="556"/>
      <c r="AG24" s="556"/>
      <c r="AH24" s="582"/>
      <c r="AI24" s="578"/>
      <c r="AJ24" s="556"/>
      <c r="AK24" s="556"/>
      <c r="AL24" s="556"/>
      <c r="AM24" s="556"/>
      <c r="AN24" s="556"/>
      <c r="AO24" s="581">
        <v>14632.5</v>
      </c>
      <c r="AP24" s="581">
        <v>8645</v>
      </c>
      <c r="AQ24" s="581">
        <v>21705</v>
      </c>
      <c r="AR24" s="581">
        <v>17695</v>
      </c>
      <c r="AS24" s="581">
        <v>16912</v>
      </c>
      <c r="AT24" s="603">
        <v>15434.51</v>
      </c>
      <c r="AU24" s="604">
        <v>21670</v>
      </c>
      <c r="AV24" s="581">
        <v>12165</v>
      </c>
      <c r="AW24" s="581">
        <v>10905</v>
      </c>
      <c r="AX24" s="581">
        <v>9595</v>
      </c>
      <c r="AY24" s="581">
        <v>6683.12</v>
      </c>
      <c r="AZ24" s="581">
        <v>11897.5</v>
      </c>
      <c r="BA24" s="288">
        <v>21083.3</v>
      </c>
      <c r="BB24" s="556"/>
      <c r="BC24" s="556"/>
      <c r="BD24" s="556"/>
      <c r="BE24" s="556"/>
      <c r="BF24" s="588"/>
      <c r="BR24" s="588"/>
    </row>
    <row r="25" spans="2:70" x14ac:dyDescent="0.25">
      <c r="B25" s="576"/>
      <c r="C25" s="555" t="s">
        <v>50</v>
      </c>
      <c r="D25" s="577">
        <v>500000</v>
      </c>
      <c r="E25" s="577"/>
      <c r="F25" s="577"/>
      <c r="G25" s="577">
        <f ca="1">SUMIF($AN$3:$BK$3,"&lt;"&amp;TODAY(),$AO25:$BK25)</f>
        <v>0</v>
      </c>
      <c r="H25" s="577">
        <f ca="1">SUM(F25-G25)</f>
        <v>0</v>
      </c>
      <c r="I25" s="577" t="s">
        <v>528</v>
      </c>
      <c r="J25" s="577" t="s">
        <v>551</v>
      </c>
      <c r="K25" s="556"/>
      <c r="L25" s="556"/>
      <c r="M25" s="556"/>
      <c r="N25" s="556"/>
      <c r="O25" s="556"/>
      <c r="P25" s="556"/>
      <c r="Q25" s="556"/>
      <c r="S25" s="556"/>
      <c r="T25" s="556"/>
      <c r="U25" s="556"/>
      <c r="V25" s="582"/>
      <c r="W25" s="578"/>
      <c r="X25" s="556"/>
      <c r="Y25" s="556"/>
      <c r="Z25" s="556"/>
      <c r="AA25" s="556"/>
      <c r="AB25" s="556"/>
      <c r="AC25" s="556"/>
      <c r="AE25" s="556"/>
      <c r="AF25" s="556"/>
      <c r="AG25" s="556"/>
      <c r="AH25" s="582"/>
      <c r="AI25" s="578"/>
      <c r="AJ25" s="556"/>
      <c r="AK25" s="556"/>
      <c r="AL25" s="556"/>
      <c r="AM25" s="556"/>
      <c r="AN25" s="556"/>
      <c r="AO25" s="556"/>
      <c r="AQ25" s="556"/>
      <c r="AR25" s="556"/>
      <c r="AS25" s="556"/>
      <c r="AT25" s="582"/>
      <c r="AU25" s="578"/>
      <c r="AV25" s="556"/>
      <c r="AW25" s="599"/>
      <c r="AX25" s="556"/>
      <c r="AY25" s="556"/>
      <c r="AZ25" s="556"/>
      <c r="BA25" s="556"/>
      <c r="BB25" s="556"/>
      <c r="BC25" s="556"/>
      <c r="BD25" s="556"/>
      <c r="BE25" s="556"/>
      <c r="BF25" s="588"/>
      <c r="BR25" s="588"/>
    </row>
    <row r="26" spans="2:70" x14ac:dyDescent="0.25">
      <c r="B26" s="576"/>
      <c r="C26" s="555" t="s">
        <v>58</v>
      </c>
      <c r="D26" s="577">
        <v>330000</v>
      </c>
      <c r="E26" s="577">
        <v>330000</v>
      </c>
      <c r="F26" s="577">
        <v>330000</v>
      </c>
      <c r="G26" s="577">
        <f ca="1">SUMIF($AN$3:$BK$3,"&lt;"&amp;TODAY(),$AO26:$BK26)</f>
        <v>143018.5</v>
      </c>
      <c r="H26" s="577">
        <f t="shared" ca="1" si="4"/>
        <v>186981.5</v>
      </c>
      <c r="I26" s="602" t="s">
        <v>531</v>
      </c>
      <c r="J26" s="577" t="s">
        <v>105</v>
      </c>
      <c r="K26" s="556"/>
      <c r="L26" s="556"/>
      <c r="M26" s="556"/>
      <c r="N26" s="556"/>
      <c r="O26" s="556"/>
      <c r="P26" s="556"/>
      <c r="Q26" s="556"/>
      <c r="S26" s="556"/>
      <c r="T26" s="556"/>
      <c r="U26" s="556"/>
      <c r="V26" s="582"/>
      <c r="W26" s="578"/>
      <c r="X26" s="556"/>
      <c r="Y26" s="556"/>
      <c r="Z26" s="556"/>
      <c r="AA26" s="556"/>
      <c r="AB26" s="556"/>
      <c r="AC26" s="556"/>
      <c r="AE26" s="556"/>
      <c r="AF26" s="556"/>
      <c r="AG26" s="556"/>
      <c r="AH26" s="582"/>
      <c r="AI26" s="578"/>
      <c r="AJ26" s="556"/>
      <c r="AK26" s="556"/>
      <c r="AL26" s="556"/>
      <c r="AM26" s="556"/>
      <c r="AN26" s="556"/>
      <c r="AO26" s="581">
        <v>1157</v>
      </c>
      <c r="AP26" s="614">
        <v>5309.5</v>
      </c>
      <c r="AQ26" s="581">
        <v>7500</v>
      </c>
      <c r="AR26" s="581">
        <v>12060</v>
      </c>
      <c r="AS26" s="581">
        <v>22240</v>
      </c>
      <c r="AT26" s="603">
        <v>14379</v>
      </c>
      <c r="AU26" s="604">
        <v>5074</v>
      </c>
      <c r="AV26" s="581">
        <v>5000</v>
      </c>
      <c r="AW26" s="581">
        <v>13184</v>
      </c>
      <c r="AX26" s="581">
        <v>4805</v>
      </c>
      <c r="AY26" s="581">
        <v>15245</v>
      </c>
      <c r="AZ26" s="581">
        <v>23027.5</v>
      </c>
      <c r="BA26" s="288">
        <v>14037.5</v>
      </c>
      <c r="BB26" s="556"/>
      <c r="BC26" s="556"/>
      <c r="BD26" s="556"/>
      <c r="BE26" s="556"/>
      <c r="BF26" s="588"/>
      <c r="BR26" s="588"/>
    </row>
    <row r="27" spans="2:70" x14ac:dyDescent="0.25">
      <c r="B27" s="576"/>
      <c r="C27" s="555" t="s">
        <v>47</v>
      </c>
      <c r="D27" s="577">
        <v>45000</v>
      </c>
      <c r="E27" s="577">
        <v>45522</v>
      </c>
      <c r="F27" s="577">
        <v>45522</v>
      </c>
      <c r="G27" s="577">
        <f ca="1">SUMIF($AN$3:$BK$3,"&lt;"&amp;TODAY(),$AO27:$BK27)</f>
        <v>11272.23</v>
      </c>
      <c r="H27" s="577">
        <f t="shared" ca="1" si="4"/>
        <v>34249.770000000004</v>
      </c>
      <c r="I27" s="579" t="s">
        <v>533</v>
      </c>
      <c r="J27" s="577" t="s">
        <v>334</v>
      </c>
      <c r="K27" s="556"/>
      <c r="L27" s="556"/>
      <c r="M27" s="556"/>
      <c r="N27" s="556"/>
      <c r="O27" s="556"/>
      <c r="P27" s="556"/>
      <c r="Q27" s="556"/>
      <c r="S27" s="556"/>
      <c r="T27" s="556"/>
      <c r="U27" s="556"/>
      <c r="V27" s="582"/>
      <c r="W27" s="578"/>
      <c r="X27" s="556"/>
      <c r="Y27" s="556"/>
      <c r="Z27" s="556"/>
      <c r="AA27" s="556"/>
      <c r="AB27" s="556"/>
      <c r="AC27" s="556"/>
      <c r="AE27" s="556"/>
      <c r="AF27" s="556"/>
      <c r="AG27" s="556"/>
      <c r="AH27" s="582"/>
      <c r="AI27" s="578"/>
      <c r="AJ27" s="556"/>
      <c r="AK27" s="556"/>
      <c r="AL27" s="556"/>
      <c r="AM27" s="556"/>
      <c r="AN27" s="556"/>
      <c r="AO27" s="556"/>
      <c r="AQ27" s="581">
        <v>1035</v>
      </c>
      <c r="AR27" s="614">
        <v>937.04</v>
      </c>
      <c r="AS27" s="581">
        <v>2004.21</v>
      </c>
      <c r="AT27" s="603">
        <v>1249.3</v>
      </c>
      <c r="AU27" s="604">
        <v>485.68</v>
      </c>
      <c r="AV27" s="581">
        <v>2682</v>
      </c>
      <c r="AW27" s="556"/>
      <c r="AX27" s="581">
        <v>2879</v>
      </c>
      <c r="AY27" s="556"/>
      <c r="AZ27" s="556"/>
      <c r="BA27" s="556"/>
      <c r="BB27" s="556"/>
      <c r="BC27" s="556"/>
      <c r="BD27" s="556"/>
      <c r="BE27" s="556"/>
      <c r="BF27" s="588"/>
      <c r="BR27" s="588"/>
    </row>
    <row r="28" spans="2:70" x14ac:dyDescent="0.25">
      <c r="B28" s="576"/>
      <c r="C28" s="555" t="s">
        <v>44</v>
      </c>
      <c r="D28" s="577">
        <v>40000</v>
      </c>
      <c r="E28" s="577">
        <v>34365</v>
      </c>
      <c r="F28" s="577">
        <v>34365</v>
      </c>
      <c r="G28" s="577">
        <f ca="1">SUMIF($AN$3:$BK$3,"&lt;"&amp;TODAY(),$AO28:$BK28)</f>
        <v>15146.009999999998</v>
      </c>
      <c r="H28" s="577">
        <f t="shared" ca="1" si="4"/>
        <v>19218.990000000002</v>
      </c>
      <c r="I28" s="579" t="s">
        <v>333</v>
      </c>
      <c r="J28" s="577" t="s">
        <v>552</v>
      </c>
      <c r="K28" s="556"/>
      <c r="L28" s="556"/>
      <c r="M28" s="556"/>
      <c r="N28" s="556"/>
      <c r="O28" s="556"/>
      <c r="P28" s="556"/>
      <c r="Q28" s="556"/>
      <c r="S28" s="556"/>
      <c r="T28" s="556"/>
      <c r="U28" s="556"/>
      <c r="V28" s="582"/>
      <c r="W28" s="578"/>
      <c r="X28" s="556"/>
      <c r="Y28" s="556"/>
      <c r="Z28" s="556"/>
      <c r="AA28" s="556"/>
      <c r="AB28" s="556"/>
      <c r="AC28" s="556"/>
      <c r="AE28" s="556"/>
      <c r="AF28" s="556"/>
      <c r="AG28" s="556"/>
      <c r="AH28" s="582"/>
      <c r="AI28" s="578"/>
      <c r="AJ28" s="556"/>
      <c r="AK28" s="556"/>
      <c r="AL28" s="556"/>
      <c r="AM28" s="556"/>
      <c r="AN28" s="556"/>
      <c r="AO28" s="556"/>
      <c r="AQ28" s="556"/>
      <c r="AR28" s="581">
        <v>2902.2</v>
      </c>
      <c r="AS28" s="556"/>
      <c r="AT28" s="603">
        <v>1805.58</v>
      </c>
      <c r="AU28" s="604">
        <v>1775.16</v>
      </c>
      <c r="AV28" s="581">
        <v>5675.91</v>
      </c>
      <c r="AW28" s="581">
        <v>2987.16</v>
      </c>
      <c r="AX28" s="556"/>
      <c r="AY28" s="556"/>
      <c r="AZ28" s="556"/>
      <c r="BA28" s="556"/>
      <c r="BB28" s="556"/>
      <c r="BC28" s="556"/>
      <c r="BD28" s="556"/>
      <c r="BE28" s="556"/>
      <c r="BF28" s="588"/>
      <c r="BR28" s="588"/>
    </row>
    <row r="29" spans="2:70" x14ac:dyDescent="0.25">
      <c r="B29" s="576"/>
      <c r="C29" s="555" t="s">
        <v>553</v>
      </c>
      <c r="D29" s="615">
        <v>111450</v>
      </c>
      <c r="E29" s="615">
        <v>111450</v>
      </c>
      <c r="F29" s="615">
        <v>111450</v>
      </c>
      <c r="G29" s="577">
        <f ca="1">SUMIF($AN$3:$BK$3,"&lt;"&amp;TODAY(),$AO29:$BK29)</f>
        <v>66806.399999999994</v>
      </c>
      <c r="H29" s="577">
        <f t="shared" ca="1" si="4"/>
        <v>44643.600000000006</v>
      </c>
      <c r="I29" s="579" t="s">
        <v>333</v>
      </c>
      <c r="J29" s="577" t="s">
        <v>127</v>
      </c>
      <c r="K29" s="556"/>
      <c r="L29" s="556"/>
      <c r="M29" s="556"/>
      <c r="N29" s="556"/>
      <c r="O29" s="556"/>
      <c r="P29" s="556"/>
      <c r="Q29" s="556"/>
      <c r="S29" s="556"/>
      <c r="T29" s="556"/>
      <c r="U29" s="556"/>
      <c r="V29" s="582"/>
      <c r="W29" s="578"/>
      <c r="X29" s="556"/>
      <c r="Y29" s="556"/>
      <c r="Z29" s="556"/>
      <c r="AA29" s="556"/>
      <c r="AB29" s="556"/>
      <c r="AC29" s="556"/>
      <c r="AE29" s="556"/>
      <c r="AF29" s="556"/>
      <c r="AG29" s="556"/>
      <c r="AH29" s="582"/>
      <c r="AI29" s="578"/>
      <c r="AJ29" s="556"/>
      <c r="AK29" s="556"/>
      <c r="AL29" s="556"/>
      <c r="AM29" s="556"/>
      <c r="AN29" s="556"/>
      <c r="AP29" s="605">
        <v>4050</v>
      </c>
      <c r="AQ29" s="581">
        <v>5000</v>
      </c>
      <c r="AR29" s="581">
        <v>5995</v>
      </c>
      <c r="AS29" s="581">
        <v>4233.1499999999996</v>
      </c>
      <c r="AT29" s="603">
        <v>3730</v>
      </c>
      <c r="AU29" s="604">
        <v>5313</v>
      </c>
      <c r="AV29" s="581">
        <v>10643.75</v>
      </c>
      <c r="AW29" s="581">
        <v>2546.5</v>
      </c>
      <c r="AX29" s="581">
        <v>10625</v>
      </c>
      <c r="AY29" s="581">
        <v>14670</v>
      </c>
      <c r="AZ29" s="556"/>
      <c r="BA29" s="556"/>
      <c r="BB29" s="556"/>
      <c r="BC29" s="556"/>
      <c r="BD29" s="556"/>
      <c r="BE29" s="556"/>
      <c r="BF29" s="588"/>
      <c r="BR29" s="588"/>
    </row>
    <row r="30" spans="2:70" x14ac:dyDescent="0.25">
      <c r="B30" s="576"/>
      <c r="C30" s="555" t="s">
        <v>55</v>
      </c>
      <c r="D30" s="577">
        <v>7200</v>
      </c>
      <c r="E30" s="577">
        <v>7200</v>
      </c>
      <c r="F30" s="577">
        <v>7200</v>
      </c>
      <c r="G30" s="577"/>
      <c r="H30" s="577">
        <f t="shared" si="4"/>
        <v>7200</v>
      </c>
      <c r="I30" s="579" t="s">
        <v>333</v>
      </c>
      <c r="J30" s="577" t="s">
        <v>128</v>
      </c>
      <c r="K30" s="556"/>
      <c r="L30" s="556"/>
      <c r="M30" s="556"/>
      <c r="N30" s="556"/>
      <c r="O30" s="556"/>
      <c r="P30" s="556"/>
      <c r="Q30" s="556"/>
      <c r="S30" s="556"/>
      <c r="T30" s="556"/>
      <c r="U30" s="556"/>
      <c r="V30" s="582"/>
      <c r="W30" s="578"/>
      <c r="X30" s="556"/>
      <c r="Y30" s="556"/>
      <c r="Z30" s="556"/>
      <c r="AA30" s="556"/>
      <c r="AB30" s="556"/>
      <c r="AC30" s="556"/>
      <c r="AE30" s="556"/>
      <c r="AF30" s="556"/>
      <c r="AG30" s="556"/>
      <c r="AH30" s="582"/>
      <c r="AI30" s="578"/>
      <c r="AJ30" s="556"/>
      <c r="AK30" s="556"/>
      <c r="AL30" s="556"/>
      <c r="AM30" s="556"/>
      <c r="AN30" s="556"/>
      <c r="AQ30" s="556"/>
      <c r="AS30" s="556"/>
      <c r="AT30" s="582"/>
      <c r="AU30" s="578"/>
      <c r="AV30" s="581">
        <v>2950</v>
      </c>
      <c r="AW30" s="605">
        <v>3150</v>
      </c>
      <c r="AX30" s="556"/>
      <c r="AY30" s="556"/>
      <c r="AZ30" s="556"/>
      <c r="BA30" s="556"/>
      <c r="BB30" s="556"/>
      <c r="BC30" s="556"/>
      <c r="BD30" s="556"/>
      <c r="BE30" s="556"/>
      <c r="BF30" s="588"/>
      <c r="BR30" s="588"/>
    </row>
    <row r="31" spans="2:70" x14ac:dyDescent="0.25">
      <c r="B31" s="576"/>
      <c r="C31" s="555" t="s">
        <v>51</v>
      </c>
      <c r="D31" s="577">
        <v>46500</v>
      </c>
      <c r="E31" s="577">
        <v>42000</v>
      </c>
      <c r="F31" s="577">
        <v>42000</v>
      </c>
      <c r="G31" s="577">
        <f ca="1">SUMIF($AN$3:$BK$3,"&lt;"&amp;TODAY(),$AO31:$BK31)</f>
        <v>4253.7299999999996</v>
      </c>
      <c r="H31" s="577">
        <f t="shared" ca="1" si="4"/>
        <v>37746.270000000004</v>
      </c>
      <c r="I31" s="579" t="s">
        <v>333</v>
      </c>
      <c r="J31" s="577" t="s">
        <v>334</v>
      </c>
      <c r="K31" s="556"/>
      <c r="L31" s="556"/>
      <c r="M31" s="556"/>
      <c r="N31" s="556"/>
      <c r="O31" s="556"/>
      <c r="P31" s="556"/>
      <c r="Q31" s="556"/>
      <c r="S31" s="556"/>
      <c r="T31" s="556"/>
      <c r="U31" s="556"/>
      <c r="V31" s="582"/>
      <c r="W31" s="578"/>
      <c r="X31" s="556"/>
      <c r="Y31" s="556"/>
      <c r="Z31" s="556"/>
      <c r="AA31" s="556"/>
      <c r="AB31" s="556"/>
      <c r="AC31" s="556"/>
      <c r="AE31" s="556"/>
      <c r="AF31" s="556"/>
      <c r="AG31" s="556"/>
      <c r="AH31" s="582"/>
      <c r="AI31" s="578"/>
      <c r="AJ31" s="556"/>
      <c r="AK31" s="556"/>
      <c r="AL31" s="556"/>
      <c r="AM31" s="556"/>
      <c r="AN31" s="556"/>
      <c r="AO31" s="556"/>
      <c r="AQ31" s="556"/>
      <c r="AS31" s="556"/>
      <c r="AT31" s="582"/>
      <c r="AU31" s="604">
        <v>3422.25</v>
      </c>
      <c r="AV31" s="581">
        <v>831.48</v>
      </c>
      <c r="AX31" s="556"/>
      <c r="AY31" s="556"/>
      <c r="AZ31" s="556"/>
      <c r="BA31" s="556"/>
      <c r="BB31" s="556"/>
      <c r="BC31" s="556"/>
      <c r="BD31" s="556"/>
      <c r="BE31" s="556"/>
      <c r="BF31" s="588"/>
      <c r="BR31" s="588"/>
    </row>
    <row r="32" spans="2:70" x14ac:dyDescent="0.25">
      <c r="B32" s="576"/>
      <c r="C32" s="555" t="s">
        <v>126</v>
      </c>
      <c r="D32" s="577">
        <v>10000</v>
      </c>
      <c r="E32" s="577">
        <v>7000</v>
      </c>
      <c r="F32" s="577">
        <v>7000</v>
      </c>
      <c r="G32" s="577">
        <f ca="1">SUMIF($AN$3:$BK$3,"&lt;"&amp;TODAY(),$AO32:$BK32)</f>
        <v>3230</v>
      </c>
      <c r="H32" s="577">
        <f t="shared" ca="1" si="4"/>
        <v>3770</v>
      </c>
      <c r="I32" s="579" t="s">
        <v>333</v>
      </c>
      <c r="J32" s="577" t="s">
        <v>125</v>
      </c>
      <c r="K32" s="556"/>
      <c r="L32" s="556"/>
      <c r="M32" s="556"/>
      <c r="N32" s="556"/>
      <c r="O32" s="556"/>
      <c r="P32" s="556"/>
      <c r="Q32" s="556"/>
      <c r="S32" s="556"/>
      <c r="T32" s="556"/>
      <c r="U32" s="556"/>
      <c r="V32" s="582"/>
      <c r="W32" s="578"/>
      <c r="X32" s="556"/>
      <c r="Y32" s="556"/>
      <c r="Z32" s="556"/>
      <c r="AA32" s="556"/>
      <c r="AB32" s="556"/>
      <c r="AC32" s="556"/>
      <c r="AE32" s="556"/>
      <c r="AF32" s="556"/>
      <c r="AG32" s="556"/>
      <c r="AH32" s="582"/>
      <c r="AI32" s="578"/>
      <c r="AJ32" s="556"/>
      <c r="AK32" s="556"/>
      <c r="AL32" s="556"/>
      <c r="AM32" s="556"/>
      <c r="AN32" s="556"/>
      <c r="AO32" s="556"/>
      <c r="AQ32" s="556"/>
      <c r="AR32" s="556"/>
      <c r="AS32" s="556"/>
      <c r="AT32" s="582"/>
      <c r="AU32" s="578"/>
      <c r="AV32" s="556"/>
      <c r="AW32" s="581">
        <v>3230</v>
      </c>
      <c r="AX32" s="556"/>
      <c r="AY32" s="556"/>
      <c r="AZ32" s="556"/>
      <c r="BA32" s="556"/>
      <c r="BB32" s="556"/>
      <c r="BC32" s="556"/>
      <c r="BD32" s="556"/>
      <c r="BE32" s="556"/>
      <c r="BF32" s="588"/>
      <c r="BR32" s="588"/>
    </row>
    <row r="33" spans="2:70" x14ac:dyDescent="0.25">
      <c r="B33" s="576"/>
      <c r="C33" s="555" t="s">
        <v>73</v>
      </c>
      <c r="D33" s="577">
        <v>18000</v>
      </c>
      <c r="E33" s="577">
        <v>27900</v>
      </c>
      <c r="F33" s="577">
        <v>27900</v>
      </c>
      <c r="G33" s="577">
        <f ca="1">SUMIF($AN$3:$BK$3,"&lt;"&amp;TODAY(),$AO33:$BK33)</f>
        <v>15472.5</v>
      </c>
      <c r="H33" s="577">
        <f t="shared" ca="1" si="4"/>
        <v>12427.5</v>
      </c>
      <c r="I33" s="579" t="s">
        <v>333</v>
      </c>
      <c r="J33" s="577" t="s">
        <v>554</v>
      </c>
      <c r="K33" s="556"/>
      <c r="L33" s="556"/>
      <c r="M33" s="556"/>
      <c r="N33" s="556"/>
      <c r="O33" s="556"/>
      <c r="P33" s="556"/>
      <c r="Q33" s="556"/>
      <c r="S33" s="556"/>
      <c r="T33" s="556"/>
      <c r="U33" s="556"/>
      <c r="V33" s="582"/>
      <c r="W33" s="578"/>
      <c r="X33" s="556"/>
      <c r="Y33" s="556"/>
      <c r="Z33" s="556"/>
      <c r="AA33" s="556"/>
      <c r="AB33" s="556"/>
      <c r="AC33" s="556"/>
      <c r="AE33" s="556"/>
      <c r="AF33" s="556"/>
      <c r="AG33" s="556"/>
      <c r="AH33" s="582"/>
      <c r="AI33" s="578"/>
      <c r="AJ33" s="556"/>
      <c r="AK33" s="556"/>
      <c r="AL33" s="556"/>
      <c r="AM33" s="556"/>
      <c r="AN33" s="556"/>
      <c r="AO33" s="556"/>
      <c r="AQ33" s="556"/>
      <c r="AR33" s="581">
        <v>2187.5</v>
      </c>
      <c r="AS33" s="581">
        <v>2492</v>
      </c>
      <c r="AT33" s="582"/>
      <c r="AU33" s="578"/>
      <c r="AV33" s="581">
        <v>5393</v>
      </c>
      <c r="AW33" s="556"/>
      <c r="AX33" s="556"/>
      <c r="AY33" s="556"/>
      <c r="AZ33" s="556"/>
      <c r="BA33" s="288">
        <v>5400</v>
      </c>
      <c r="BB33" s="556"/>
      <c r="BC33" s="556"/>
      <c r="BD33" s="556"/>
      <c r="BE33" s="556"/>
      <c r="BF33" s="588"/>
      <c r="BR33" s="588"/>
    </row>
    <row r="34" spans="2:70" x14ac:dyDescent="0.25">
      <c r="B34" s="576"/>
      <c r="C34" s="555" t="s">
        <v>76</v>
      </c>
      <c r="D34" s="577">
        <v>13000</v>
      </c>
      <c r="E34" s="577">
        <v>8652</v>
      </c>
      <c r="F34" s="577">
        <v>8652</v>
      </c>
      <c r="G34" s="577">
        <f ca="1">SUMIF($AN$3:$BK$3,"&lt;"&amp;TODAY(),$AO34:$BK34)</f>
        <v>1155</v>
      </c>
      <c r="H34" s="577">
        <f t="shared" ca="1" si="4"/>
        <v>7497</v>
      </c>
      <c r="I34" s="579" t="s">
        <v>333</v>
      </c>
      <c r="J34" s="577" t="s">
        <v>136</v>
      </c>
      <c r="K34" s="556"/>
      <c r="L34" s="556"/>
      <c r="M34" s="556"/>
      <c r="N34" s="556"/>
      <c r="O34" s="556"/>
      <c r="P34" s="556"/>
      <c r="Q34" s="556"/>
      <c r="S34" s="556"/>
      <c r="T34" s="556"/>
      <c r="U34" s="556"/>
      <c r="V34" s="582"/>
      <c r="W34" s="578"/>
      <c r="X34" s="556"/>
      <c r="Y34" s="556"/>
      <c r="Z34" s="556"/>
      <c r="AA34" s="556"/>
      <c r="AB34" s="556"/>
      <c r="AC34" s="556"/>
      <c r="AE34" s="556"/>
      <c r="AF34" s="556"/>
      <c r="AG34" s="556"/>
      <c r="AH34" s="582"/>
      <c r="AI34" s="578"/>
      <c r="AJ34" s="556"/>
      <c r="AK34" s="556"/>
      <c r="AL34" s="556"/>
      <c r="AM34" s="556"/>
      <c r="AN34" s="556"/>
      <c r="AO34" s="556"/>
      <c r="AQ34" s="556"/>
      <c r="AR34" s="556"/>
      <c r="AS34" s="556"/>
      <c r="AT34" s="582"/>
      <c r="AU34" s="578"/>
      <c r="AV34" s="556"/>
      <c r="AW34" s="556"/>
      <c r="AX34" s="581">
        <v>1155</v>
      </c>
      <c r="AY34" s="556"/>
      <c r="AZ34" s="556"/>
      <c r="BA34" s="556"/>
      <c r="BB34" s="556"/>
      <c r="BC34" s="556"/>
      <c r="BD34" s="556"/>
      <c r="BE34" s="556"/>
      <c r="BF34" s="588"/>
      <c r="BR34" s="588"/>
    </row>
    <row r="35" spans="2:70" x14ac:dyDescent="0.25">
      <c r="B35" s="576"/>
      <c r="C35" s="588" t="s">
        <v>555</v>
      </c>
      <c r="D35" s="582">
        <v>15000</v>
      </c>
      <c r="E35" s="577">
        <v>14895</v>
      </c>
      <c r="F35" s="577">
        <v>14895</v>
      </c>
      <c r="G35" s="577">
        <f ca="1">SUMIF($AN$3:$BK$3,"&lt;"&amp;TODAY(),$AO35:$BK35)</f>
        <v>2960.5</v>
      </c>
      <c r="H35" s="577">
        <f t="shared" ca="1" si="4"/>
        <v>11934.5</v>
      </c>
      <c r="I35" s="602" t="s">
        <v>531</v>
      </c>
      <c r="J35" s="577" t="s">
        <v>105</v>
      </c>
      <c r="K35" s="556"/>
      <c r="L35" s="556"/>
      <c r="M35" s="556"/>
      <c r="N35" s="556"/>
      <c r="O35" s="556"/>
      <c r="P35" s="556"/>
      <c r="Q35" s="556"/>
      <c r="S35" s="556"/>
      <c r="T35" s="556"/>
      <c r="U35" s="556"/>
      <c r="V35" s="582"/>
      <c r="W35" s="578"/>
      <c r="X35" s="556"/>
      <c r="Y35" s="556"/>
      <c r="Z35" s="556"/>
      <c r="AA35" s="556"/>
      <c r="AB35" s="556"/>
      <c r="AC35" s="556"/>
      <c r="AE35" s="556"/>
      <c r="AF35" s="556"/>
      <c r="AG35" s="556"/>
      <c r="AH35" s="582"/>
      <c r="AI35" s="578"/>
      <c r="AJ35" s="556"/>
      <c r="AK35" s="556"/>
      <c r="AL35" s="556"/>
      <c r="AM35" s="556"/>
      <c r="AN35" s="556"/>
      <c r="AO35" s="556"/>
      <c r="AQ35" s="556"/>
      <c r="AR35" s="556"/>
      <c r="AS35" s="556"/>
      <c r="AT35" s="582"/>
      <c r="AU35" s="578"/>
      <c r="AV35" s="556"/>
      <c r="AW35" s="556"/>
      <c r="AX35" s="556"/>
      <c r="AY35" s="556"/>
      <c r="BA35" s="288">
        <v>2960.5</v>
      </c>
      <c r="BB35" s="556"/>
      <c r="BC35" s="556"/>
      <c r="BD35" s="556"/>
      <c r="BE35" s="556"/>
      <c r="BF35" s="588"/>
      <c r="BR35" s="588"/>
    </row>
    <row r="36" spans="2:70" x14ac:dyDescent="0.25">
      <c r="B36" s="576"/>
      <c r="C36" s="890" t="s">
        <v>556</v>
      </c>
      <c r="D36" s="884">
        <v>335855</v>
      </c>
      <c r="E36" s="597">
        <v>391340</v>
      </c>
      <c r="F36" s="597">
        <v>391340</v>
      </c>
      <c r="G36" s="597">
        <f ca="1">SUMIF($AN$3:$BK$3,"&lt;"&amp;TODAY(),$AN36:$BK36)</f>
        <v>277354</v>
      </c>
      <c r="H36" s="885">
        <f t="shared" ca="1" si="4"/>
        <v>113986</v>
      </c>
      <c r="I36" s="888" t="s">
        <v>333</v>
      </c>
      <c r="J36" s="577" t="s">
        <v>235</v>
      </c>
      <c r="K36" s="556"/>
      <c r="L36" s="556"/>
      <c r="M36" s="556"/>
      <c r="N36" s="556"/>
      <c r="O36" s="556"/>
      <c r="P36" s="556"/>
      <c r="Q36" s="556"/>
      <c r="S36" s="556"/>
      <c r="T36" s="556"/>
      <c r="U36" s="556"/>
      <c r="V36" s="582"/>
      <c r="W36" s="578"/>
      <c r="X36" s="556"/>
      <c r="Y36" s="556"/>
      <c r="Z36" s="556"/>
      <c r="AA36" s="556"/>
      <c r="AB36" s="556"/>
      <c r="AC36" s="556"/>
      <c r="AE36" s="556"/>
      <c r="AF36" s="556"/>
      <c r="AG36" s="556"/>
      <c r="AH36" s="582"/>
      <c r="AI36" s="578"/>
      <c r="AJ36" s="556"/>
      <c r="AK36" s="556"/>
      <c r="AL36" s="556"/>
      <c r="AM36" s="556"/>
      <c r="AN36" s="581">
        <v>50305</v>
      </c>
      <c r="AO36" s="581">
        <v>11625</v>
      </c>
      <c r="AP36" s="605">
        <v>12905</v>
      </c>
      <c r="AQ36" s="581">
        <v>18195</v>
      </c>
      <c r="AR36" s="581">
        <v>7232.5</v>
      </c>
      <c r="AS36" s="581">
        <v>16313</v>
      </c>
      <c r="AT36" s="581">
        <v>2749</v>
      </c>
      <c r="AU36" s="604">
        <v>26680</v>
      </c>
      <c r="AV36" s="581">
        <v>11855</v>
      </c>
      <c r="AW36" s="581">
        <v>2744</v>
      </c>
      <c r="AX36" s="581">
        <v>60458</v>
      </c>
      <c r="AY36" s="581">
        <v>50787.5</v>
      </c>
      <c r="AZ36" s="288">
        <v>5505</v>
      </c>
      <c r="BA36" s="556"/>
      <c r="BB36" s="556"/>
      <c r="BC36" s="556"/>
      <c r="BD36" s="556"/>
      <c r="BE36" s="556"/>
      <c r="BF36" s="588"/>
      <c r="BR36" s="588"/>
    </row>
    <row r="37" spans="2:70" x14ac:dyDescent="0.25">
      <c r="B37" s="576"/>
      <c r="C37" s="891" t="s">
        <v>557</v>
      </c>
      <c r="D37" s="886">
        <v>0</v>
      </c>
      <c r="E37" s="886"/>
      <c r="F37" s="606"/>
      <c r="G37" s="606"/>
      <c r="H37" s="887"/>
      <c r="I37" s="889"/>
      <c r="J37" s="577" t="s">
        <v>235</v>
      </c>
      <c r="K37" s="556"/>
      <c r="L37" s="556"/>
      <c r="M37" s="556"/>
      <c r="N37" s="556"/>
      <c r="O37" s="556"/>
      <c r="P37" s="556"/>
      <c r="Q37" s="556"/>
      <c r="S37" s="556"/>
      <c r="T37" s="556"/>
      <c r="U37" s="556"/>
      <c r="V37" s="582"/>
      <c r="W37" s="578"/>
      <c r="X37" s="556"/>
      <c r="Y37" s="556"/>
      <c r="Z37" s="556"/>
      <c r="AA37" s="556"/>
      <c r="AB37" s="556"/>
      <c r="AC37" s="556"/>
      <c r="AE37" s="556"/>
      <c r="AF37" s="556"/>
      <c r="AG37" s="556"/>
      <c r="AH37" s="582"/>
      <c r="AI37" s="578"/>
      <c r="AJ37" s="556"/>
      <c r="AK37" s="556"/>
      <c r="AL37" s="556"/>
      <c r="AM37" s="556"/>
      <c r="AN37"/>
      <c r="AO37"/>
      <c r="AP37"/>
      <c r="AQ37"/>
      <c r="AR37"/>
      <c r="AS37"/>
      <c r="AT37" s="582"/>
      <c r="AU37"/>
      <c r="AV37"/>
      <c r="AW37"/>
      <c r="AX37"/>
      <c r="AY37"/>
      <c r="AZ37"/>
      <c r="BA37" s="556"/>
      <c r="BB37" s="556"/>
      <c r="BC37" s="556"/>
      <c r="BD37" s="556"/>
      <c r="BE37" s="556"/>
      <c r="BF37" s="588"/>
      <c r="BR37" s="588"/>
    </row>
    <row r="38" spans="2:70" x14ac:dyDescent="0.25">
      <c r="B38" s="576"/>
      <c r="C38" s="890" t="s">
        <v>558</v>
      </c>
      <c r="D38" s="884">
        <v>60000</v>
      </c>
      <c r="E38" s="884"/>
      <c r="F38" s="597"/>
      <c r="G38" s="597">
        <f t="shared" ref="G38:G41" ca="1" si="5">SUMIF($AN$3:$BK$3,"&lt;"&amp;TODAY(),$AN38:$BK38)</f>
        <v>0</v>
      </c>
      <c r="H38" s="885">
        <f t="shared" ca="1" si="4"/>
        <v>0</v>
      </c>
      <c r="I38" s="884" t="s">
        <v>528</v>
      </c>
      <c r="J38" s="577" t="s">
        <v>235</v>
      </c>
      <c r="K38" s="556"/>
      <c r="L38" s="556"/>
      <c r="M38" s="556"/>
      <c r="N38" s="556"/>
      <c r="O38" s="556"/>
      <c r="P38" s="556"/>
      <c r="Q38" s="556"/>
      <c r="S38" s="556"/>
      <c r="T38" s="556"/>
      <c r="U38" s="556"/>
      <c r="V38" s="582"/>
      <c r="W38" s="578"/>
      <c r="X38" s="556"/>
      <c r="Y38" s="556"/>
      <c r="Z38" s="556"/>
      <c r="AA38" s="556"/>
      <c r="AB38" s="556"/>
      <c r="AC38" s="556"/>
      <c r="AE38" s="556"/>
      <c r="AF38" s="556"/>
      <c r="AG38" s="556"/>
      <c r="AH38" s="582"/>
      <c r="AI38" s="578"/>
      <c r="AJ38" s="556"/>
      <c r="AK38" s="556"/>
      <c r="AL38" s="556"/>
      <c r="AM38" s="556"/>
      <c r="AN38" s="556"/>
      <c r="AO38" s="556"/>
      <c r="AQ38" s="556"/>
      <c r="AR38" s="556"/>
      <c r="AS38" s="556"/>
      <c r="AT38" s="582"/>
      <c r="AU38" s="578"/>
      <c r="AV38" s="556"/>
      <c r="AX38" s="556"/>
      <c r="AY38" s="556"/>
      <c r="AZ38" s="556"/>
      <c r="BA38" s="556"/>
      <c r="BB38" s="556"/>
      <c r="BC38" s="556"/>
      <c r="BD38" s="556"/>
      <c r="BE38" s="556"/>
      <c r="BF38" s="588"/>
      <c r="BR38" s="588"/>
    </row>
    <row r="39" spans="2:70" x14ac:dyDescent="0.25">
      <c r="B39" s="576"/>
      <c r="C39" s="891" t="s">
        <v>559</v>
      </c>
      <c r="D39" s="886">
        <v>0</v>
      </c>
      <c r="E39" s="886"/>
      <c r="F39" s="606"/>
      <c r="G39" s="606"/>
      <c r="H39" s="887"/>
      <c r="I39" s="886"/>
      <c r="J39" s="577" t="s">
        <v>235</v>
      </c>
      <c r="K39" s="556"/>
      <c r="L39" s="556"/>
      <c r="M39" s="556"/>
      <c r="N39" s="556"/>
      <c r="O39" s="556"/>
      <c r="P39" s="556"/>
      <c r="Q39" s="556"/>
      <c r="S39" s="556"/>
      <c r="T39" s="556"/>
      <c r="U39" s="556"/>
      <c r="V39" s="582"/>
      <c r="W39" s="578"/>
      <c r="X39" s="556"/>
      <c r="Y39" s="556"/>
      <c r="Z39" s="556"/>
      <c r="AA39" s="556"/>
      <c r="AB39" s="556"/>
      <c r="AC39" s="556"/>
      <c r="AE39" s="556"/>
      <c r="AF39" s="556"/>
      <c r="AG39" s="556"/>
      <c r="AH39" s="582"/>
      <c r="AI39" s="578"/>
      <c r="AJ39" s="556"/>
      <c r="AK39" s="556"/>
      <c r="AL39" s="556"/>
      <c r="AM39" s="556"/>
      <c r="AN39" s="556"/>
      <c r="AO39" s="556"/>
      <c r="AQ39" s="556"/>
      <c r="AR39" s="556"/>
      <c r="AS39" s="556"/>
      <c r="AT39" s="582"/>
      <c r="AU39" s="578"/>
      <c r="AV39" s="556"/>
      <c r="AX39" s="556"/>
      <c r="AY39" s="556"/>
      <c r="AZ39" s="556"/>
      <c r="BA39" s="556"/>
      <c r="BB39" s="556"/>
      <c r="BC39" s="556"/>
      <c r="BD39" s="556"/>
      <c r="BE39" s="556"/>
      <c r="BF39" s="588"/>
      <c r="BR39" s="588"/>
    </row>
    <row r="40" spans="2:70" x14ac:dyDescent="0.25">
      <c r="B40" s="576"/>
      <c r="C40" s="555" t="s">
        <v>57</v>
      </c>
      <c r="D40" s="577">
        <v>55000</v>
      </c>
      <c r="E40" s="577">
        <v>55000</v>
      </c>
      <c r="F40" s="577">
        <v>55000</v>
      </c>
      <c r="G40" s="577">
        <f ca="1">SUMIF($AN$3:$BK$3,"&lt;"&amp;TODAY(),$AN40:$BK40)</f>
        <v>5749.5</v>
      </c>
      <c r="H40" s="577">
        <f t="shared" ca="1" si="4"/>
        <v>49250.5</v>
      </c>
      <c r="I40" s="602" t="s">
        <v>531</v>
      </c>
      <c r="J40" s="577" t="s">
        <v>105</v>
      </c>
      <c r="K40" s="556"/>
      <c r="L40" s="556"/>
      <c r="M40" s="556"/>
      <c r="N40" s="556"/>
      <c r="O40" s="556"/>
      <c r="P40" s="556"/>
      <c r="Q40" s="556"/>
      <c r="S40" s="556"/>
      <c r="T40" s="556"/>
      <c r="U40" s="556"/>
      <c r="V40" s="582"/>
      <c r="W40" s="578"/>
      <c r="X40" s="556"/>
      <c r="Y40" s="556"/>
      <c r="Z40" s="556"/>
      <c r="AA40" s="556"/>
      <c r="AB40" s="556"/>
      <c r="AC40" s="556"/>
      <c r="AE40" s="556"/>
      <c r="AF40" s="556"/>
      <c r="AG40" s="556"/>
      <c r="AH40" s="582"/>
      <c r="AI40" s="578"/>
      <c r="AJ40" s="556"/>
      <c r="AK40" s="556"/>
      <c r="AL40" s="556"/>
      <c r="AM40" s="556"/>
      <c r="AN40" s="556"/>
      <c r="AO40" s="556"/>
      <c r="AQ40" s="556"/>
      <c r="AR40" s="556"/>
      <c r="AS40" s="556"/>
      <c r="AT40" s="603">
        <v>3025</v>
      </c>
      <c r="AU40" s="604">
        <v>2724.5</v>
      </c>
      <c r="AV40" s="556"/>
      <c r="AW40" s="556"/>
      <c r="AX40" s="556"/>
      <c r="AY40" s="556"/>
      <c r="AZ40" s="556"/>
      <c r="BA40" s="556"/>
      <c r="BB40" s="556"/>
      <c r="BC40" s="556"/>
      <c r="BD40" s="556"/>
      <c r="BE40" s="556"/>
      <c r="BF40" s="588"/>
      <c r="BR40" s="588"/>
    </row>
    <row r="41" spans="2:70" x14ac:dyDescent="0.25">
      <c r="B41" s="576"/>
      <c r="C41" s="555" t="s">
        <v>60</v>
      </c>
      <c r="D41" s="577">
        <v>27000</v>
      </c>
      <c r="E41" s="577">
        <v>26700</v>
      </c>
      <c r="F41" s="577">
        <v>26700</v>
      </c>
      <c r="G41" s="577">
        <f t="shared" ca="1" si="5"/>
        <v>10902</v>
      </c>
      <c r="H41" s="577">
        <f t="shared" ca="1" si="4"/>
        <v>15798</v>
      </c>
      <c r="I41" s="579" t="s">
        <v>333</v>
      </c>
      <c r="J41" s="577" t="s">
        <v>124</v>
      </c>
      <c r="K41" s="556"/>
      <c r="L41" s="556"/>
      <c r="M41" s="556"/>
      <c r="N41" s="556"/>
      <c r="O41" s="556"/>
      <c r="P41" s="556"/>
      <c r="Q41" s="556"/>
      <c r="S41" s="556"/>
      <c r="T41" s="556"/>
      <c r="U41" s="556"/>
      <c r="V41" s="582"/>
      <c r="W41" s="578"/>
      <c r="X41" s="556"/>
      <c r="Y41" s="556"/>
      <c r="Z41" s="556"/>
      <c r="AA41" s="556"/>
      <c r="AB41" s="556"/>
      <c r="AC41" s="556"/>
      <c r="AE41" s="556"/>
      <c r="AF41" s="556"/>
      <c r="AG41" s="556"/>
      <c r="AH41" s="582"/>
      <c r="AI41" s="578"/>
      <c r="AJ41" s="556"/>
      <c r="AK41" s="556"/>
      <c r="AL41" s="556"/>
      <c r="AM41" s="556"/>
      <c r="AN41" s="556"/>
      <c r="AO41" s="556"/>
      <c r="AQ41" s="556"/>
      <c r="AR41" s="556"/>
      <c r="AT41" s="581">
        <v>7362</v>
      </c>
      <c r="AU41" s="578"/>
      <c r="AV41" s="581">
        <v>3540</v>
      </c>
      <c r="AW41" s="556"/>
      <c r="AX41" s="556"/>
      <c r="AY41" s="556"/>
      <c r="AZ41" s="556"/>
      <c r="BA41" s="556"/>
      <c r="BB41" s="556"/>
      <c r="BC41" s="556"/>
      <c r="BD41" s="556"/>
      <c r="BE41" s="556"/>
      <c r="BF41" s="588"/>
      <c r="BR41" s="588"/>
    </row>
    <row r="42" spans="2:70" x14ac:dyDescent="0.25">
      <c r="B42" s="576"/>
      <c r="C42" s="588" t="s">
        <v>64</v>
      </c>
      <c r="D42" s="577">
        <v>32000</v>
      </c>
      <c r="E42" s="577">
        <v>23671</v>
      </c>
      <c r="F42" s="577">
        <v>23671</v>
      </c>
      <c r="G42" s="577">
        <f t="shared" ref="G42:G59" ca="1" si="6">SUMIF($AN$3:$BK$3,"&lt;"&amp;TODAY(),$AN42:$BK42)</f>
        <v>2856</v>
      </c>
      <c r="H42" s="577">
        <f t="shared" ca="1" si="4"/>
        <v>20815</v>
      </c>
      <c r="I42" s="579" t="s">
        <v>333</v>
      </c>
      <c r="J42" s="577" t="s">
        <v>497</v>
      </c>
      <c r="K42" s="556"/>
      <c r="L42" s="556"/>
      <c r="M42" s="556"/>
      <c r="N42" s="556"/>
      <c r="O42" s="556"/>
      <c r="P42" s="556"/>
      <c r="Q42" s="556"/>
      <c r="S42" s="556"/>
      <c r="T42" s="556"/>
      <c r="U42" s="556"/>
      <c r="V42" s="582"/>
      <c r="W42" s="578"/>
      <c r="X42" s="556"/>
      <c r="Y42" s="556"/>
      <c r="Z42" s="556"/>
      <c r="AA42" s="556"/>
      <c r="AB42" s="556"/>
      <c r="AC42" s="556"/>
      <c r="AE42" s="556"/>
      <c r="AF42" s="556"/>
      <c r="AG42" s="556"/>
      <c r="AH42" s="582"/>
      <c r="AI42" s="578"/>
      <c r="AJ42" s="556"/>
      <c r="AK42" s="556"/>
      <c r="AL42" s="556"/>
      <c r="AM42" s="556"/>
      <c r="AN42" s="556"/>
      <c r="AO42" s="556"/>
      <c r="AQ42" s="556"/>
      <c r="AR42" s="556"/>
      <c r="AS42" s="556"/>
      <c r="AT42" s="582"/>
      <c r="AU42" s="578"/>
      <c r="AV42" s="581">
        <v>861</v>
      </c>
      <c r="AW42" s="581">
        <v>1995</v>
      </c>
      <c r="AX42" s="556"/>
      <c r="AY42" s="556"/>
      <c r="AZ42" s="556"/>
      <c r="BA42" s="556"/>
      <c r="BB42" s="556"/>
      <c r="BC42" s="556"/>
      <c r="BD42" s="556"/>
      <c r="BE42" s="556"/>
      <c r="BF42" s="588"/>
      <c r="BR42" s="588"/>
    </row>
    <row r="43" spans="2:70" x14ac:dyDescent="0.25">
      <c r="B43" s="608"/>
      <c r="C43" s="609" t="s">
        <v>560</v>
      </c>
      <c r="D43" s="606">
        <v>85000</v>
      </c>
      <c r="E43" s="606">
        <v>85000</v>
      </c>
      <c r="F43" s="606">
        <v>85180</v>
      </c>
      <c r="G43" s="606">
        <f t="shared" ca="1" si="6"/>
        <v>41250.699999999997</v>
      </c>
      <c r="H43" s="606">
        <f t="shared" ca="1" si="4"/>
        <v>43929.3</v>
      </c>
      <c r="I43" s="602" t="s">
        <v>531</v>
      </c>
      <c r="J43" s="606" t="s">
        <v>105</v>
      </c>
      <c r="K43" s="556"/>
      <c r="L43" s="556"/>
      <c r="M43" s="556"/>
      <c r="N43" s="556"/>
      <c r="O43" s="556"/>
      <c r="P43" s="556"/>
      <c r="Q43" s="556"/>
      <c r="S43" s="556"/>
      <c r="T43" s="556"/>
      <c r="U43" s="556"/>
      <c r="V43" s="582"/>
      <c r="W43" s="578"/>
      <c r="X43" s="556"/>
      <c r="Y43" s="556"/>
      <c r="Z43" s="556"/>
      <c r="AA43" s="556"/>
      <c r="AB43" s="556"/>
      <c r="AC43" s="556"/>
      <c r="AE43" s="556"/>
      <c r="AF43" s="556"/>
      <c r="AG43" s="556"/>
      <c r="AH43" s="582"/>
      <c r="AI43" s="578"/>
      <c r="AJ43" s="556"/>
      <c r="AK43" s="556"/>
      <c r="AL43" s="556"/>
      <c r="AM43" s="556"/>
      <c r="AN43" s="556"/>
      <c r="AO43" s="556"/>
      <c r="AP43" s="605">
        <v>2836</v>
      </c>
      <c r="AQ43" s="581">
        <v>2600</v>
      </c>
      <c r="AR43" s="581">
        <v>720</v>
      </c>
      <c r="AS43" s="581">
        <v>2459</v>
      </c>
      <c r="AT43" s="603">
        <v>3160</v>
      </c>
      <c r="AU43" s="604">
        <v>2424</v>
      </c>
      <c r="AV43" s="581">
        <v>6564.22</v>
      </c>
      <c r="AW43" s="581">
        <v>4514</v>
      </c>
      <c r="AX43" s="581">
        <v>1885</v>
      </c>
      <c r="AY43" s="288">
        <v>4800</v>
      </c>
      <c r="BA43" s="297">
        <v>9288.48</v>
      </c>
      <c r="BB43" s="556"/>
      <c r="BC43" s="556"/>
      <c r="BD43" s="556"/>
      <c r="BE43" s="556"/>
      <c r="BF43" s="588"/>
      <c r="BR43" s="588"/>
    </row>
    <row r="44" spans="2:70" x14ac:dyDescent="0.25">
      <c r="B44" s="608" t="s">
        <v>561</v>
      </c>
      <c r="C44" s="592" t="s">
        <v>65</v>
      </c>
      <c r="D44" s="606">
        <v>450000</v>
      </c>
      <c r="E44" s="606">
        <v>450000</v>
      </c>
      <c r="F44" s="606">
        <v>450000</v>
      </c>
      <c r="G44" s="597">
        <f t="shared" ca="1" si="6"/>
        <v>114540.15000000001</v>
      </c>
      <c r="H44" s="595">
        <f t="shared" ca="1" si="4"/>
        <v>335459.84999999998</v>
      </c>
      <c r="I44" s="579" t="s">
        <v>333</v>
      </c>
      <c r="J44" s="606" t="s">
        <v>120</v>
      </c>
      <c r="K44" s="556"/>
      <c r="L44" s="556"/>
      <c r="M44" s="556"/>
      <c r="N44" s="556"/>
      <c r="O44" s="556"/>
      <c r="P44" s="556"/>
      <c r="Q44" s="556"/>
      <c r="S44" s="556"/>
      <c r="T44" s="556"/>
      <c r="U44" s="556"/>
      <c r="V44" s="582"/>
      <c r="W44" s="578"/>
      <c r="X44" s="556"/>
      <c r="Y44" s="556"/>
      <c r="Z44" s="556"/>
      <c r="AA44" s="556"/>
      <c r="AB44" s="556"/>
      <c r="AC44" s="556"/>
      <c r="AE44" s="556"/>
      <c r="AF44" s="556"/>
      <c r="AG44" s="556"/>
      <c r="AH44" s="582"/>
      <c r="AI44" s="578"/>
      <c r="AJ44" s="556"/>
      <c r="AK44" s="556"/>
      <c r="AL44" s="556"/>
      <c r="AM44" s="556"/>
      <c r="AN44" s="556"/>
      <c r="AO44" s="556"/>
      <c r="AQ44" s="581">
        <v>4824</v>
      </c>
      <c r="AR44" s="581">
        <v>9429.6</v>
      </c>
      <c r="AS44" s="556"/>
      <c r="AT44" s="582"/>
      <c r="AU44" s="604">
        <v>13754</v>
      </c>
      <c r="AV44" s="581">
        <v>30398.75</v>
      </c>
      <c r="AX44" s="556"/>
      <c r="AY44" s="581">
        <v>24555</v>
      </c>
      <c r="AZ44" s="288">
        <v>13403</v>
      </c>
      <c r="BA44" s="288">
        <v>18175.8</v>
      </c>
      <c r="BB44" s="556"/>
      <c r="BC44" s="556"/>
      <c r="BD44" s="556"/>
      <c r="BE44" s="556"/>
      <c r="BF44" s="588"/>
      <c r="BR44" s="588"/>
    </row>
    <row r="45" spans="2:70" x14ac:dyDescent="0.25">
      <c r="B45" s="593" t="s">
        <v>562</v>
      </c>
      <c r="C45" s="594" t="s">
        <v>563</v>
      </c>
      <c r="D45" s="616">
        <v>315000</v>
      </c>
      <c r="E45" s="595">
        <v>313072.5</v>
      </c>
      <c r="F45" s="596">
        <v>313072.5</v>
      </c>
      <c r="G45" s="595">
        <f t="shared" ca="1" si="6"/>
        <v>84511.1</v>
      </c>
      <c r="H45" s="595">
        <f t="shared" ca="1" si="4"/>
        <v>228561.4</v>
      </c>
      <c r="I45" s="602" t="s">
        <v>531</v>
      </c>
      <c r="J45" s="595" t="s">
        <v>131</v>
      </c>
      <c r="K45" s="556"/>
      <c r="L45" s="556"/>
      <c r="M45" s="556"/>
      <c r="N45" s="556"/>
      <c r="O45" s="556"/>
      <c r="P45" s="556"/>
      <c r="Q45" s="556"/>
      <c r="S45" s="556"/>
      <c r="T45" s="556"/>
      <c r="U45" s="556"/>
      <c r="V45" s="582"/>
      <c r="W45" s="578"/>
      <c r="X45" s="556"/>
      <c r="Y45" s="556"/>
      <c r="Z45" s="556"/>
      <c r="AA45" s="556"/>
      <c r="AB45" s="556"/>
      <c r="AC45" s="556"/>
      <c r="AE45" s="556"/>
      <c r="AF45" s="556"/>
      <c r="AG45" s="556"/>
      <c r="AH45" s="582"/>
      <c r="AI45" s="578"/>
      <c r="AJ45" s="556"/>
      <c r="AK45" s="556"/>
      <c r="AL45" s="556"/>
      <c r="AM45" s="556"/>
      <c r="AN45" s="556"/>
      <c r="AO45" s="556"/>
      <c r="AQ45" s="581">
        <v>13611</v>
      </c>
      <c r="AS45" s="581">
        <v>25135</v>
      </c>
      <c r="AT45" s="603">
        <v>10876.5</v>
      </c>
      <c r="AU45" s="578"/>
      <c r="AV45" s="556"/>
      <c r="AW45" s="556"/>
      <c r="AX45" s="556"/>
      <c r="AY45" s="288">
        <v>13082.85</v>
      </c>
      <c r="AZ45" s="288">
        <v>21805.75</v>
      </c>
      <c r="BA45" s="556"/>
      <c r="BB45" s="556"/>
      <c r="BC45" s="556"/>
      <c r="BD45" s="556"/>
      <c r="BE45" s="556"/>
      <c r="BF45" s="588"/>
      <c r="BR45" s="588"/>
    </row>
    <row r="46" spans="2:70" x14ac:dyDescent="0.25">
      <c r="B46" s="617" t="s">
        <v>564</v>
      </c>
      <c r="C46" s="555" t="s">
        <v>69</v>
      </c>
      <c r="D46" s="577">
        <v>10000</v>
      </c>
      <c r="E46" s="577"/>
      <c r="F46" s="577"/>
      <c r="G46" s="577">
        <f t="shared" ca="1" si="6"/>
        <v>0</v>
      </c>
      <c r="H46" s="577">
        <f t="shared" ca="1" si="4"/>
        <v>0</v>
      </c>
      <c r="I46" s="577" t="s">
        <v>528</v>
      </c>
      <c r="J46" s="577"/>
      <c r="K46" s="556"/>
      <c r="L46" s="556"/>
      <c r="M46" s="556"/>
      <c r="N46" s="556"/>
      <c r="O46" s="556"/>
      <c r="P46" s="556"/>
      <c r="Q46" s="556"/>
      <c r="S46" s="556"/>
      <c r="T46" s="556"/>
      <c r="U46" s="556"/>
      <c r="V46" s="582"/>
      <c r="W46" s="578"/>
      <c r="X46" s="556"/>
      <c r="Y46" s="556"/>
      <c r="Z46" s="556"/>
      <c r="AA46" s="556"/>
      <c r="AB46" s="556"/>
      <c r="AC46" s="556"/>
      <c r="AE46" s="556"/>
      <c r="AF46" s="556"/>
      <c r="AG46" s="556"/>
      <c r="AH46" s="582"/>
      <c r="AI46" s="578"/>
      <c r="AJ46" s="556"/>
      <c r="AK46" s="556"/>
      <c r="AL46" s="556"/>
      <c r="AM46" s="556"/>
      <c r="AN46" s="556"/>
      <c r="AO46" s="556"/>
      <c r="AQ46" s="556"/>
      <c r="AR46" s="556"/>
      <c r="AS46" s="556"/>
      <c r="AT46" s="582"/>
      <c r="AU46" s="578"/>
      <c r="AV46" s="556"/>
      <c r="AW46" s="556"/>
      <c r="AX46" s="556"/>
      <c r="AY46" s="556"/>
      <c r="AZ46" s="556"/>
      <c r="BA46" s="556"/>
      <c r="BB46" s="556"/>
      <c r="BC46" s="556"/>
      <c r="BD46" s="556"/>
      <c r="BE46" s="556"/>
      <c r="BF46" s="588"/>
      <c r="BR46" s="588"/>
    </row>
    <row r="47" spans="2:70" x14ac:dyDescent="0.25">
      <c r="B47" s="617"/>
      <c r="C47" s="555" t="s">
        <v>565</v>
      </c>
      <c r="D47" s="577">
        <v>1600</v>
      </c>
      <c r="E47" s="577">
        <v>1600</v>
      </c>
      <c r="F47" s="577">
        <v>1545</v>
      </c>
      <c r="G47" s="577"/>
      <c r="H47" s="577">
        <f t="shared" si="4"/>
        <v>1545</v>
      </c>
      <c r="I47" s="579" t="s">
        <v>327</v>
      </c>
      <c r="J47" s="577" t="s">
        <v>137</v>
      </c>
      <c r="K47" s="556"/>
      <c r="L47" s="556"/>
      <c r="M47" s="556"/>
      <c r="N47" s="556"/>
      <c r="O47" s="556"/>
      <c r="P47" s="556"/>
      <c r="Q47" s="556"/>
      <c r="S47" s="556"/>
      <c r="T47" s="556"/>
      <c r="U47" s="556"/>
      <c r="V47" s="582"/>
      <c r="W47" s="578"/>
      <c r="X47" s="556"/>
      <c r="Y47" s="556"/>
      <c r="Z47" s="556"/>
      <c r="AA47" s="556"/>
      <c r="AB47" s="556"/>
      <c r="AC47" s="556"/>
      <c r="AE47" s="556"/>
      <c r="AF47" s="556"/>
      <c r="AG47" s="556"/>
      <c r="AH47" s="582"/>
      <c r="AI47" s="578"/>
      <c r="AJ47" s="556"/>
      <c r="AK47" s="556"/>
      <c r="AL47" s="556"/>
      <c r="AM47" s="556"/>
      <c r="AN47" s="556"/>
      <c r="AO47" s="556"/>
      <c r="AQ47" s="581">
        <v>1288.07</v>
      </c>
      <c r="AR47" s="556"/>
      <c r="AS47" s="556"/>
      <c r="AT47" s="582"/>
      <c r="AU47" s="578"/>
      <c r="AV47" s="556">
        <v>1966</v>
      </c>
      <c r="AW47" s="556"/>
      <c r="AX47" s="556"/>
      <c r="AY47" s="556"/>
      <c r="AZ47" s="288">
        <v>155.88</v>
      </c>
      <c r="BA47" s="288">
        <v>542.29999999999995</v>
      </c>
      <c r="BB47" s="556"/>
      <c r="BC47" s="556"/>
      <c r="BD47" s="556"/>
      <c r="BE47" s="556"/>
      <c r="BF47" s="588"/>
      <c r="BR47" s="588"/>
    </row>
    <row r="48" spans="2:70" x14ac:dyDescent="0.25">
      <c r="B48" s="608"/>
      <c r="C48" s="592" t="s">
        <v>77</v>
      </c>
      <c r="D48" s="606">
        <v>45000</v>
      </c>
      <c r="E48" s="606">
        <v>40960</v>
      </c>
      <c r="F48" s="606">
        <v>40960</v>
      </c>
      <c r="G48" s="606">
        <f ca="1">SUMIF($AN$3:$BK$3,"&lt;"&amp;TODAY(),$AN48:$BK48)</f>
        <v>6748.5</v>
      </c>
      <c r="H48" s="606">
        <f t="shared" ca="1" si="4"/>
        <v>34211.5</v>
      </c>
      <c r="I48" s="579" t="s">
        <v>533</v>
      </c>
      <c r="J48" s="606" t="s">
        <v>117</v>
      </c>
      <c r="K48" s="556"/>
      <c r="L48" s="556"/>
      <c r="M48" s="556"/>
      <c r="N48" s="556"/>
      <c r="O48" s="556"/>
      <c r="P48" s="556"/>
      <c r="Q48" s="556"/>
      <c r="S48" s="556"/>
      <c r="T48" s="556"/>
      <c r="U48" s="556"/>
      <c r="V48" s="582"/>
      <c r="W48" s="578"/>
      <c r="X48" s="556"/>
      <c r="Y48" s="556"/>
      <c r="Z48" s="556"/>
      <c r="AA48" s="556"/>
      <c r="AB48" s="556"/>
      <c r="AC48" s="556"/>
      <c r="AE48" s="556"/>
      <c r="AF48" s="556"/>
      <c r="AG48" s="556"/>
      <c r="AH48" s="582"/>
      <c r="AI48" s="578"/>
      <c r="AJ48" s="556"/>
      <c r="AK48" s="556"/>
      <c r="AL48" s="556"/>
      <c r="AM48" s="556"/>
      <c r="AN48" s="556"/>
      <c r="AO48" s="556"/>
      <c r="AQ48" s="581">
        <v>311.86</v>
      </c>
      <c r="AR48" s="581">
        <v>155.88</v>
      </c>
      <c r="AS48" s="581">
        <v>1050.33</v>
      </c>
      <c r="AT48" s="603">
        <v>311.76</v>
      </c>
      <c r="AU48" s="604">
        <v>3331.15</v>
      </c>
      <c r="AV48" s="581">
        <v>1213.52</v>
      </c>
      <c r="AW48" s="556"/>
      <c r="AX48" s="556"/>
      <c r="AY48" s="556"/>
      <c r="AZ48" s="556"/>
      <c r="BA48" s="432">
        <v>374</v>
      </c>
      <c r="BB48" s="556"/>
      <c r="BC48" s="556"/>
      <c r="BD48" s="556"/>
      <c r="BE48" s="556"/>
      <c r="BF48" s="588"/>
      <c r="BR48" s="588"/>
    </row>
    <row r="49" spans="2:70" x14ac:dyDescent="0.25">
      <c r="B49" s="576" t="s">
        <v>566</v>
      </c>
      <c r="C49" s="555" t="s">
        <v>63</v>
      </c>
      <c r="D49" s="577">
        <v>0</v>
      </c>
      <c r="E49" s="577">
        <v>0</v>
      </c>
      <c r="F49" s="578">
        <v>0</v>
      </c>
      <c r="G49" s="597">
        <f ca="1">SUMIF($AN$3:$BK$3,"&lt;"&amp;TODAY(),$AN49:$BK49)</f>
        <v>0</v>
      </c>
      <c r="H49" s="582">
        <f t="shared" ca="1" si="4"/>
        <v>0</v>
      </c>
      <c r="I49" s="577" t="s">
        <v>567</v>
      </c>
      <c r="J49" s="577" t="s">
        <v>568</v>
      </c>
      <c r="K49" s="556"/>
      <c r="L49" s="556"/>
      <c r="M49" s="556"/>
      <c r="N49" s="556"/>
      <c r="O49" s="556"/>
      <c r="P49" s="556"/>
      <c r="Q49" s="556"/>
      <c r="S49" s="556"/>
      <c r="T49" s="556"/>
      <c r="U49" s="556"/>
      <c r="V49" s="582"/>
      <c r="W49" s="578"/>
      <c r="X49" s="556"/>
      <c r="Y49" s="556"/>
      <c r="Z49" s="556"/>
      <c r="AA49" s="556"/>
      <c r="AB49" s="556"/>
      <c r="AC49" s="556"/>
      <c r="AE49" s="556"/>
      <c r="AF49" s="556"/>
      <c r="AG49" s="556"/>
      <c r="AH49" s="582"/>
      <c r="AI49" s="578"/>
      <c r="AJ49" s="556"/>
      <c r="AK49" s="556"/>
      <c r="AL49" s="556"/>
      <c r="AM49" s="556"/>
      <c r="AN49" s="556"/>
      <c r="AO49" s="556"/>
      <c r="AQ49" s="556"/>
      <c r="AR49" s="556"/>
      <c r="AS49" s="556"/>
      <c r="AT49" s="582"/>
      <c r="AU49" s="578"/>
      <c r="AV49" s="556"/>
      <c r="AW49" s="556"/>
      <c r="AX49" s="556"/>
      <c r="AY49" s="556"/>
      <c r="AZ49" s="556"/>
      <c r="BA49" s="556"/>
      <c r="BB49" s="556"/>
      <c r="BC49" s="556"/>
      <c r="BD49" s="556"/>
      <c r="BE49" s="556"/>
      <c r="BF49" s="588"/>
      <c r="BR49" s="588"/>
    </row>
    <row r="50" spans="2:70" x14ac:dyDescent="0.25">
      <c r="B50" s="576"/>
      <c r="C50" s="555" t="s">
        <v>68</v>
      </c>
      <c r="D50" s="577">
        <v>14000</v>
      </c>
      <c r="E50" s="577">
        <v>13640</v>
      </c>
      <c r="F50" s="578">
        <v>13640</v>
      </c>
      <c r="G50" s="577">
        <f ca="1">SUMIF($AN$3:$BK$3,"&lt;"&amp;TODAY(),$AN50:$BK50)</f>
        <v>0</v>
      </c>
      <c r="H50" s="577">
        <f t="shared" ca="1" si="4"/>
        <v>13640</v>
      </c>
      <c r="I50" s="579" t="s">
        <v>533</v>
      </c>
      <c r="J50" s="577" t="s">
        <v>133</v>
      </c>
      <c r="K50" s="556"/>
      <c r="L50" s="556"/>
      <c r="M50" s="556"/>
      <c r="N50" s="556"/>
      <c r="O50" s="556"/>
      <c r="P50" s="556"/>
      <c r="Q50" s="556"/>
      <c r="S50" s="556"/>
      <c r="T50" s="556"/>
      <c r="U50" s="556"/>
      <c r="V50" s="582"/>
      <c r="W50" s="578"/>
      <c r="X50" s="556"/>
      <c r="Y50" s="556"/>
      <c r="Z50" s="556"/>
      <c r="AA50" s="556"/>
      <c r="AB50" s="556"/>
      <c r="AC50" s="556"/>
      <c r="AE50" s="556"/>
      <c r="AF50" s="556"/>
      <c r="AG50" s="556"/>
      <c r="AH50" s="582"/>
      <c r="AI50" s="578"/>
      <c r="AJ50" s="556"/>
      <c r="AK50" s="556"/>
      <c r="AL50" s="556"/>
      <c r="AM50" s="556"/>
      <c r="AN50" s="556"/>
      <c r="AO50" s="556"/>
      <c r="AQ50" s="556"/>
      <c r="AR50" s="556"/>
      <c r="AS50" s="556"/>
      <c r="AT50" s="582"/>
      <c r="AU50" s="578"/>
      <c r="AV50" s="556"/>
      <c r="AW50" s="556"/>
      <c r="AX50" s="556"/>
      <c r="AY50" s="556"/>
      <c r="AZ50" s="556"/>
      <c r="BA50" s="556"/>
      <c r="BB50" s="556"/>
      <c r="BC50" s="556"/>
      <c r="BD50" s="556"/>
      <c r="BE50" s="556"/>
      <c r="BF50" s="588"/>
      <c r="BR50" s="588"/>
    </row>
    <row r="51" spans="2:70" x14ac:dyDescent="0.25">
      <c r="B51" s="576"/>
      <c r="C51" s="555" t="s">
        <v>515</v>
      </c>
      <c r="D51" s="577">
        <v>10000</v>
      </c>
      <c r="E51" s="577"/>
      <c r="F51" s="578"/>
      <c r="G51" s="577">
        <f ca="1">SUMIF($AN$3:$BK$3,"&lt;"&amp;TODAY(),$AN51:$BK51)</f>
        <v>6437.18</v>
      </c>
      <c r="H51" s="582"/>
      <c r="I51" s="579" t="s">
        <v>327</v>
      </c>
      <c r="J51" s="577" t="s">
        <v>569</v>
      </c>
      <c r="K51" s="556"/>
      <c r="L51" s="556"/>
      <c r="M51" s="556"/>
      <c r="N51" s="556"/>
      <c r="O51" s="556"/>
      <c r="P51" s="556"/>
      <c r="Q51" s="556"/>
      <c r="S51" s="556"/>
      <c r="T51" s="556"/>
      <c r="U51" s="556"/>
      <c r="V51" s="582"/>
      <c r="W51" s="578"/>
      <c r="X51" s="556"/>
      <c r="Y51" s="556"/>
      <c r="Z51" s="556"/>
      <c r="AA51" s="556"/>
      <c r="AB51" s="556"/>
      <c r="AC51" s="556"/>
      <c r="AE51" s="556"/>
      <c r="AF51" s="556"/>
      <c r="AG51" s="556"/>
      <c r="AH51" s="582"/>
      <c r="AI51" s="578"/>
      <c r="AJ51" s="556"/>
      <c r="AK51" s="556"/>
      <c r="AL51" s="556"/>
      <c r="AM51" s="556"/>
      <c r="AN51" s="556"/>
      <c r="AO51" s="581">
        <v>5775</v>
      </c>
      <c r="AQ51" s="556"/>
      <c r="AR51" s="556"/>
      <c r="AS51" s="556"/>
      <c r="AT51" s="603">
        <v>662.18</v>
      </c>
      <c r="AU51" s="578"/>
      <c r="AV51" s="556"/>
      <c r="AW51" s="556"/>
      <c r="AX51" s="556"/>
      <c r="AY51" s="556"/>
      <c r="AZ51" s="556"/>
      <c r="BA51" s="556"/>
      <c r="BB51" s="556"/>
      <c r="BC51" s="556"/>
      <c r="BD51" s="556"/>
      <c r="BE51" s="556"/>
      <c r="BF51" s="588"/>
      <c r="BR51" s="588"/>
    </row>
    <row r="52" spans="2:70" x14ac:dyDescent="0.25">
      <c r="B52" s="612"/>
      <c r="C52" s="592" t="s">
        <v>72</v>
      </c>
      <c r="D52" s="606">
        <v>2000</v>
      </c>
      <c r="E52" s="606"/>
      <c r="F52" s="610">
        <v>13015</v>
      </c>
      <c r="G52" s="606">
        <f t="shared" ca="1" si="6"/>
        <v>5495</v>
      </c>
      <c r="H52" s="606">
        <f t="shared" ca="1" si="4"/>
        <v>7520</v>
      </c>
      <c r="I52" s="579" t="s">
        <v>533</v>
      </c>
      <c r="J52" s="606" t="s">
        <v>497</v>
      </c>
      <c r="K52" s="556"/>
      <c r="L52" s="556"/>
      <c r="M52" s="556"/>
      <c r="N52" s="556"/>
      <c r="O52" s="556"/>
      <c r="P52" s="556"/>
      <c r="Q52" s="556"/>
      <c r="S52" s="556"/>
      <c r="T52" s="556"/>
      <c r="U52" s="556"/>
      <c r="V52" s="582"/>
      <c r="W52" s="578"/>
      <c r="X52" s="556"/>
      <c r="Y52" s="556"/>
      <c r="Z52" s="556"/>
      <c r="AA52" s="556"/>
      <c r="AB52" s="556"/>
      <c r="AC52" s="556"/>
      <c r="AE52" s="556"/>
      <c r="AF52" s="556"/>
      <c r="AG52" s="556"/>
      <c r="AH52" s="582"/>
      <c r="AI52" s="578"/>
      <c r="AJ52" s="556"/>
      <c r="AK52" s="556"/>
      <c r="AL52" s="556"/>
      <c r="AM52" s="556"/>
      <c r="AN52" s="556"/>
      <c r="AO52" s="556"/>
      <c r="AQ52" s="556"/>
      <c r="AR52" s="556"/>
      <c r="AS52" s="556"/>
      <c r="AT52" s="582"/>
      <c r="AU52" s="578"/>
      <c r="AV52" s="556"/>
      <c r="AW52" s="556"/>
      <c r="AX52" s="581">
        <v>5495</v>
      </c>
      <c r="AY52" s="556"/>
      <c r="AZ52" s="556"/>
      <c r="BA52" s="556"/>
      <c r="BB52" s="556"/>
      <c r="BC52" s="556"/>
      <c r="BD52" s="556"/>
      <c r="BE52" s="556"/>
      <c r="BF52" s="588"/>
      <c r="BR52" s="588"/>
    </row>
    <row r="53" spans="2:70" x14ac:dyDescent="0.25">
      <c r="B53" s="617" t="s">
        <v>570</v>
      </c>
      <c r="C53" s="555" t="s">
        <v>139</v>
      </c>
      <c r="D53" s="577">
        <v>90000</v>
      </c>
      <c r="E53" s="577"/>
      <c r="F53" s="577"/>
      <c r="G53" s="578">
        <f ca="1">SUMIF($AN$3:$BK$3,"&lt;"&amp;TODAY(),$AN53:$BK53)</f>
        <v>0</v>
      </c>
      <c r="H53" s="577">
        <f t="shared" ca="1" si="4"/>
        <v>0</v>
      </c>
      <c r="I53" s="577" t="s">
        <v>528</v>
      </c>
      <c r="J53" s="577" t="s">
        <v>120</v>
      </c>
      <c r="K53" s="556"/>
      <c r="L53" s="556"/>
      <c r="M53" s="556"/>
      <c r="N53" s="556"/>
      <c r="O53" s="556"/>
      <c r="P53" s="556"/>
      <c r="Q53" s="556"/>
      <c r="R53" s="556"/>
      <c r="S53" s="556"/>
      <c r="T53" s="556"/>
      <c r="U53" s="556"/>
      <c r="V53" s="582"/>
      <c r="W53" s="578"/>
      <c r="X53" s="556"/>
      <c r="Y53" s="556"/>
      <c r="Z53" s="556"/>
      <c r="AA53" s="556"/>
      <c r="AB53" s="556"/>
      <c r="AC53" s="556"/>
      <c r="AD53" s="556"/>
      <c r="AE53" s="556"/>
      <c r="AF53" s="556"/>
      <c r="AG53" s="556"/>
      <c r="AH53" s="582"/>
      <c r="AI53" s="578"/>
      <c r="AJ53" s="556"/>
      <c r="AK53" s="556"/>
      <c r="AL53" s="556"/>
      <c r="AM53" s="556"/>
      <c r="AN53" s="556"/>
      <c r="AO53" s="556"/>
      <c r="AP53" s="556"/>
      <c r="AQ53" s="556"/>
      <c r="AR53" s="556"/>
      <c r="AS53" s="556"/>
      <c r="AT53" s="582"/>
      <c r="AU53" s="578"/>
      <c r="AV53" s="556"/>
      <c r="AW53" s="556"/>
      <c r="AX53" s="556"/>
      <c r="AY53" s="556"/>
      <c r="AZ53" s="556"/>
      <c r="BA53" s="556"/>
      <c r="BB53" s="556"/>
      <c r="BC53" s="556"/>
      <c r="BD53" s="556"/>
      <c r="BE53" s="556"/>
      <c r="BF53" s="588"/>
      <c r="BR53" s="588"/>
    </row>
    <row r="54" spans="2:70" x14ac:dyDescent="0.25">
      <c r="B54" s="617"/>
      <c r="C54" s="555" t="s">
        <v>83</v>
      </c>
      <c r="D54" s="577">
        <v>6000</v>
      </c>
      <c r="E54" s="577"/>
      <c r="F54" s="577"/>
      <c r="G54" s="578">
        <f ca="1">SUMIF($AN$3:$BK$3,"&lt;"&amp;TODAY(),$AN54:$BK54)</f>
        <v>0</v>
      </c>
      <c r="H54" s="577">
        <f t="shared" ca="1" si="4"/>
        <v>0</v>
      </c>
      <c r="I54" s="577" t="s">
        <v>528</v>
      </c>
      <c r="J54" s="577" t="s">
        <v>120</v>
      </c>
      <c r="K54" s="556"/>
      <c r="L54" s="556"/>
      <c r="M54" s="556"/>
      <c r="N54" s="556"/>
      <c r="O54" s="556"/>
      <c r="P54" s="556"/>
      <c r="Q54" s="556"/>
      <c r="R54" s="556"/>
      <c r="S54" s="556"/>
      <c r="T54" s="556"/>
      <c r="U54" s="556"/>
      <c r="V54" s="582"/>
      <c r="W54" s="578"/>
      <c r="X54" s="556"/>
      <c r="Y54" s="556"/>
      <c r="Z54" s="556"/>
      <c r="AA54" s="556"/>
      <c r="AB54" s="556"/>
      <c r="AC54" s="556"/>
      <c r="AD54" s="556"/>
      <c r="AE54" s="556"/>
      <c r="AF54" s="556"/>
      <c r="AG54" s="556"/>
      <c r="AH54" s="582"/>
      <c r="AI54" s="578"/>
      <c r="AJ54" s="556"/>
      <c r="AK54" s="556"/>
      <c r="AL54" s="556"/>
      <c r="AM54" s="556"/>
      <c r="AN54" s="556"/>
      <c r="AO54" s="556"/>
      <c r="AP54" s="556"/>
      <c r="AQ54" s="556"/>
      <c r="AR54" s="556"/>
      <c r="AS54" s="556"/>
      <c r="AT54" s="582"/>
      <c r="AU54" s="578"/>
      <c r="AV54" s="556"/>
      <c r="AW54" s="556"/>
      <c r="AX54" s="556"/>
      <c r="AY54" s="556"/>
      <c r="AZ54" s="556"/>
      <c r="BA54" s="556"/>
      <c r="BB54" s="556"/>
      <c r="BC54" s="556"/>
      <c r="BD54" s="556"/>
      <c r="BE54" s="556"/>
      <c r="BF54" s="588"/>
      <c r="BR54" s="588"/>
    </row>
    <row r="55" spans="2:70" x14ac:dyDescent="0.25">
      <c r="B55" s="617" t="s">
        <v>88</v>
      </c>
      <c r="C55" s="555" t="s">
        <v>75</v>
      </c>
      <c r="D55" s="577">
        <v>11500</v>
      </c>
      <c r="E55" s="577">
        <v>11500</v>
      </c>
      <c r="F55" s="578">
        <v>11500</v>
      </c>
      <c r="G55" s="577">
        <f t="shared" ca="1" si="6"/>
        <v>0</v>
      </c>
      <c r="H55" s="582">
        <f t="shared" ca="1" si="4"/>
        <v>11500</v>
      </c>
      <c r="I55" s="579" t="s">
        <v>533</v>
      </c>
      <c r="J55" s="577" t="s">
        <v>571</v>
      </c>
      <c r="K55" s="556"/>
      <c r="L55" s="556"/>
      <c r="M55" s="556"/>
      <c r="N55" s="556"/>
      <c r="O55" s="556"/>
      <c r="P55" s="556"/>
      <c r="Q55" s="556"/>
      <c r="R55" s="556"/>
      <c r="S55" s="556"/>
      <c r="T55" s="556"/>
      <c r="U55" s="556"/>
      <c r="V55" s="582"/>
      <c r="W55" s="578"/>
      <c r="X55" s="556"/>
      <c r="Y55" s="556"/>
      <c r="Z55" s="556"/>
      <c r="AA55" s="556"/>
      <c r="AB55" s="556"/>
      <c r="AC55" s="556"/>
      <c r="AD55" s="556"/>
      <c r="AE55" s="556"/>
      <c r="AF55" s="556"/>
      <c r="AG55" s="556"/>
      <c r="AH55" s="582"/>
      <c r="AI55" s="578"/>
      <c r="AJ55" s="556"/>
      <c r="AK55" s="556"/>
      <c r="AL55" s="556"/>
      <c r="AM55" s="556"/>
      <c r="AN55" s="556"/>
      <c r="AO55" s="556"/>
      <c r="AP55" s="556"/>
      <c r="AQ55" s="556"/>
      <c r="AR55" s="556"/>
      <c r="AS55" s="556"/>
      <c r="AT55" s="582"/>
      <c r="AU55" s="578"/>
      <c r="AV55" s="556"/>
      <c r="AW55" s="556"/>
      <c r="AX55" s="556"/>
      <c r="AY55" s="556"/>
      <c r="AZ55" s="556"/>
      <c r="BA55" s="556"/>
      <c r="BB55" s="556"/>
      <c r="BC55" s="556"/>
      <c r="BD55" s="556"/>
      <c r="BE55" s="556"/>
      <c r="BF55" s="588"/>
      <c r="BR55" s="588"/>
    </row>
    <row r="56" spans="2:70" x14ac:dyDescent="0.25">
      <c r="B56" s="617"/>
      <c r="C56" s="555" t="s">
        <v>572</v>
      </c>
      <c r="D56" s="577">
        <v>336000</v>
      </c>
      <c r="E56" s="577">
        <v>498000</v>
      </c>
      <c r="F56" s="577">
        <v>498000</v>
      </c>
      <c r="G56" s="578">
        <f ca="1">SUMIF($AN$3:$BK$3,"&lt;"&amp;TODAY(),$AN56:$BK56)</f>
        <v>158039.10999999999</v>
      </c>
      <c r="H56" s="577">
        <f t="shared" ca="1" si="4"/>
        <v>339960.89</v>
      </c>
      <c r="I56" s="579" t="s">
        <v>333</v>
      </c>
      <c r="J56" s="577" t="s">
        <v>573</v>
      </c>
      <c r="K56" s="556"/>
      <c r="L56" s="556"/>
      <c r="M56" s="556"/>
      <c r="N56" s="556"/>
      <c r="O56" s="556"/>
      <c r="P56" s="556"/>
      <c r="Q56" s="556"/>
      <c r="R56" s="556"/>
      <c r="S56" s="556"/>
      <c r="T56" s="556"/>
      <c r="U56" s="556"/>
      <c r="V56" s="582"/>
      <c r="W56" s="578"/>
      <c r="X56" s="556"/>
      <c r="Y56" s="556"/>
      <c r="Z56" s="556"/>
      <c r="AA56" s="556"/>
      <c r="AB56" s="556"/>
      <c r="AC56" s="556"/>
      <c r="AD56" s="556"/>
      <c r="AE56" s="556"/>
      <c r="AF56" s="556"/>
      <c r="AG56" s="556"/>
      <c r="AH56" s="582"/>
      <c r="AI56" s="578"/>
      <c r="AJ56" s="556"/>
      <c r="AK56" s="556"/>
      <c r="AL56" s="556"/>
      <c r="AM56" s="556"/>
      <c r="AN56" s="556"/>
      <c r="AO56" s="556"/>
      <c r="AP56" s="581">
        <v>2145</v>
      </c>
      <c r="AQ56" s="581">
        <v>10088</v>
      </c>
      <c r="AR56" s="614">
        <v>5399.29</v>
      </c>
      <c r="AS56" s="581">
        <v>6735.29</v>
      </c>
      <c r="AT56" s="581">
        <v>12515</v>
      </c>
      <c r="AU56" s="604">
        <v>2957.7</v>
      </c>
      <c r="AV56" s="581">
        <v>3404.25</v>
      </c>
      <c r="AW56" s="581">
        <v>34645.519999999997</v>
      </c>
      <c r="AX56" s="288">
        <v>27991.55</v>
      </c>
      <c r="AY56" s="288">
        <v>39896.01</v>
      </c>
      <c r="AZ56" s="288">
        <v>1130.75</v>
      </c>
      <c r="BA56" s="288">
        <v>11130.75</v>
      </c>
      <c r="BB56" s="556"/>
      <c r="BC56" s="556"/>
      <c r="BD56" s="556"/>
      <c r="BE56" s="556"/>
      <c r="BF56" s="588"/>
      <c r="BR56" s="588"/>
    </row>
    <row r="57" spans="2:70" x14ac:dyDescent="0.25">
      <c r="B57" s="617"/>
      <c r="C57" s="555" t="s">
        <v>574</v>
      </c>
      <c r="D57" s="577">
        <v>120000</v>
      </c>
      <c r="E57" s="577"/>
      <c r="F57" s="577"/>
      <c r="G57" s="578">
        <f t="shared" ca="1" si="6"/>
        <v>0</v>
      </c>
      <c r="H57" s="577">
        <f t="shared" ca="1" si="4"/>
        <v>0</v>
      </c>
      <c r="I57" s="577" t="s">
        <v>528</v>
      </c>
      <c r="J57" s="577"/>
      <c r="K57" s="556"/>
      <c r="L57" s="556"/>
      <c r="M57" s="556"/>
      <c r="N57" s="556"/>
      <c r="O57" s="556"/>
      <c r="P57" s="556"/>
      <c r="Q57" s="556"/>
      <c r="R57" s="556"/>
      <c r="S57" s="556"/>
      <c r="T57" s="556"/>
      <c r="U57" s="556"/>
      <c r="V57" s="582"/>
      <c r="W57" s="578"/>
      <c r="X57" s="556"/>
      <c r="Y57" s="556"/>
      <c r="Z57" s="556"/>
      <c r="AA57" s="556"/>
      <c r="AB57" s="556"/>
      <c r="AC57" s="556"/>
      <c r="AD57" s="556"/>
      <c r="AE57" s="556"/>
      <c r="AF57" s="556"/>
      <c r="AG57" s="556"/>
      <c r="AH57" s="582"/>
      <c r="AI57" s="578"/>
      <c r="AJ57" s="556"/>
      <c r="AK57" s="556"/>
      <c r="AL57" s="556"/>
      <c r="AM57" s="556"/>
      <c r="AN57" s="556"/>
      <c r="AO57" s="556"/>
      <c r="AP57" s="556"/>
      <c r="AQ57" s="556"/>
      <c r="AR57" s="556"/>
      <c r="AT57" s="582"/>
      <c r="AU57" s="578"/>
      <c r="AV57" s="556"/>
      <c r="AW57" s="556"/>
      <c r="AX57" s="556"/>
      <c r="AY57" s="556"/>
      <c r="AZ57" s="556"/>
      <c r="BA57" s="556"/>
      <c r="BB57" s="556"/>
      <c r="BC57" s="556"/>
      <c r="BD57" s="556"/>
      <c r="BE57" s="556"/>
      <c r="BF57" s="588"/>
      <c r="BR57" s="588"/>
    </row>
    <row r="58" spans="2:70" x14ac:dyDescent="0.25">
      <c r="B58" s="617"/>
      <c r="C58" s="555" t="s">
        <v>91</v>
      </c>
      <c r="D58" s="577">
        <v>650000</v>
      </c>
      <c r="E58" s="577"/>
      <c r="F58" s="577"/>
      <c r="G58" s="578">
        <f t="shared" ca="1" si="6"/>
        <v>0</v>
      </c>
      <c r="H58" s="577">
        <f t="shared" ca="1" si="4"/>
        <v>0</v>
      </c>
      <c r="I58" s="577" t="s">
        <v>528</v>
      </c>
      <c r="J58" s="577"/>
      <c r="K58" s="556"/>
      <c r="L58" s="556"/>
      <c r="M58" s="556"/>
      <c r="N58" s="556"/>
      <c r="O58" s="556"/>
      <c r="P58" s="556"/>
      <c r="Q58" s="556"/>
      <c r="R58" s="556"/>
      <c r="S58" s="556"/>
      <c r="T58" s="556"/>
      <c r="U58" s="556"/>
      <c r="V58" s="582"/>
      <c r="W58" s="578"/>
      <c r="X58" s="556"/>
      <c r="Y58" s="556"/>
      <c r="Z58" s="556"/>
      <c r="AA58" s="556"/>
      <c r="AB58" s="556"/>
      <c r="AC58" s="556"/>
      <c r="AD58" s="556"/>
      <c r="AE58" s="556"/>
      <c r="AF58" s="556"/>
      <c r="AG58" s="556"/>
      <c r="AH58" s="582"/>
      <c r="AI58" s="578"/>
      <c r="AJ58" s="556"/>
      <c r="AK58" s="556"/>
      <c r="AL58" s="556"/>
      <c r="AM58" s="556"/>
      <c r="AN58" s="556"/>
      <c r="AO58" s="556"/>
      <c r="AP58" s="556"/>
      <c r="AQ58" s="556"/>
      <c r="AR58" s="556"/>
      <c r="AS58" s="556"/>
      <c r="AT58" s="582"/>
      <c r="AU58" s="578"/>
      <c r="AV58" s="556"/>
      <c r="AW58" s="556"/>
      <c r="AX58" s="556"/>
      <c r="AY58" s="556"/>
      <c r="AZ58" s="556"/>
      <c r="BA58" s="556"/>
      <c r="BB58" s="556"/>
      <c r="BC58" s="556"/>
      <c r="BD58" s="556"/>
      <c r="BE58" s="556"/>
      <c r="BF58" s="588"/>
      <c r="BR58" s="588"/>
    </row>
    <row r="59" spans="2:70" x14ac:dyDescent="0.25">
      <c r="B59" s="617"/>
      <c r="C59" s="555" t="s">
        <v>92</v>
      </c>
      <c r="D59" s="606">
        <v>100000</v>
      </c>
      <c r="E59" s="606"/>
      <c r="F59" s="610"/>
      <c r="G59" s="606">
        <f t="shared" ca="1" si="6"/>
        <v>0</v>
      </c>
      <c r="H59" s="606">
        <f t="shared" ca="1" si="4"/>
        <v>0</v>
      </c>
      <c r="I59" s="577" t="s">
        <v>528</v>
      </c>
      <c r="J59" s="577"/>
      <c r="K59" s="556"/>
      <c r="L59" s="556"/>
      <c r="M59" s="556"/>
      <c r="N59" s="556"/>
      <c r="O59" s="556"/>
      <c r="P59" s="556"/>
      <c r="Q59" s="556"/>
      <c r="R59" s="556"/>
      <c r="S59" s="556"/>
      <c r="T59" s="556"/>
      <c r="U59" s="556"/>
      <c r="V59" s="582"/>
      <c r="W59" s="578"/>
      <c r="X59" s="556"/>
      <c r="Y59" s="556"/>
      <c r="Z59" s="556"/>
      <c r="AA59" s="556"/>
      <c r="AB59" s="556"/>
      <c r="AC59" s="556"/>
      <c r="AD59" s="556"/>
      <c r="AE59" s="556"/>
      <c r="AF59" s="556"/>
      <c r="AG59" s="556"/>
      <c r="AH59" s="582"/>
      <c r="AI59" s="578"/>
      <c r="AJ59" s="556"/>
      <c r="AK59" s="556"/>
      <c r="AL59" s="556"/>
      <c r="AM59" s="618"/>
      <c r="AN59" s="618"/>
      <c r="AO59" s="556"/>
      <c r="AP59" s="556"/>
      <c r="AQ59" s="556"/>
      <c r="AR59" s="556"/>
      <c r="AS59" s="556"/>
      <c r="AT59" s="582"/>
      <c r="AU59" s="578"/>
      <c r="AV59" s="556"/>
      <c r="AW59" s="556"/>
      <c r="AX59" s="556"/>
      <c r="AY59" s="556"/>
      <c r="AZ59" s="556"/>
      <c r="BA59" s="556"/>
      <c r="BB59" s="556"/>
      <c r="BC59" s="556"/>
      <c r="BD59" s="556"/>
      <c r="BE59" s="556"/>
      <c r="BF59" s="588"/>
      <c r="BR59" s="588"/>
    </row>
    <row r="60" spans="2:70" x14ac:dyDescent="0.25">
      <c r="B60" s="593" t="s">
        <v>93</v>
      </c>
      <c r="C60" s="594" t="s">
        <v>94</v>
      </c>
      <c r="D60" s="606">
        <f>SUM(D10:D45)*0.1</f>
        <v>500942.56500000006</v>
      </c>
      <c r="E60" s="606">
        <f ca="1">SUMIF($AN$3:$BK$3,"&gt;"&amp;TODAY(),$AN$60:$BK$60)</f>
        <v>0</v>
      </c>
      <c r="F60" s="606"/>
      <c r="G60" s="619" t="s">
        <v>199</v>
      </c>
      <c r="H60" s="595"/>
      <c r="I60" s="892" t="s">
        <v>199</v>
      </c>
      <c r="J60" s="595"/>
      <c r="K60" s="620">
        <f t="shared" ref="K60:AP60" si="7">SUM(K10:K55)*0.1</f>
        <v>0</v>
      </c>
      <c r="L60" s="620">
        <f t="shared" si="7"/>
        <v>0</v>
      </c>
      <c r="M60" s="620">
        <f t="shared" si="7"/>
        <v>0</v>
      </c>
      <c r="N60" s="620">
        <f t="shared" si="7"/>
        <v>0</v>
      </c>
      <c r="O60" s="620">
        <f t="shared" si="7"/>
        <v>0</v>
      </c>
      <c r="P60" s="620">
        <f t="shared" si="7"/>
        <v>0</v>
      </c>
      <c r="Q60" s="620">
        <f t="shared" si="7"/>
        <v>0</v>
      </c>
      <c r="R60" s="620">
        <f t="shared" si="7"/>
        <v>0</v>
      </c>
      <c r="S60" s="620">
        <f t="shared" si="7"/>
        <v>0</v>
      </c>
      <c r="T60" s="620">
        <f t="shared" si="7"/>
        <v>0</v>
      </c>
      <c r="U60" s="620">
        <f t="shared" si="7"/>
        <v>0</v>
      </c>
      <c r="V60" s="621">
        <f t="shared" si="7"/>
        <v>0</v>
      </c>
      <c r="W60" s="622">
        <f t="shared" si="7"/>
        <v>0</v>
      </c>
      <c r="X60" s="620">
        <f t="shared" si="7"/>
        <v>0</v>
      </c>
      <c r="Y60" s="620">
        <f t="shared" si="7"/>
        <v>0</v>
      </c>
      <c r="Z60" s="620">
        <f t="shared" si="7"/>
        <v>0</v>
      </c>
      <c r="AA60" s="620">
        <f t="shared" si="7"/>
        <v>0</v>
      </c>
      <c r="AB60" s="620">
        <f t="shared" si="7"/>
        <v>0</v>
      </c>
      <c r="AC60" s="620">
        <f t="shared" si="7"/>
        <v>0</v>
      </c>
      <c r="AD60" s="620">
        <f t="shared" si="7"/>
        <v>0</v>
      </c>
      <c r="AE60" s="620">
        <f t="shared" si="7"/>
        <v>0</v>
      </c>
      <c r="AF60" s="620">
        <f t="shared" si="7"/>
        <v>0</v>
      </c>
      <c r="AG60" s="620">
        <f t="shared" si="7"/>
        <v>0</v>
      </c>
      <c r="AH60" s="621">
        <f t="shared" si="7"/>
        <v>0</v>
      </c>
      <c r="AI60" s="622">
        <f t="shared" si="7"/>
        <v>0</v>
      </c>
      <c r="AJ60" s="620">
        <f t="shared" si="7"/>
        <v>0</v>
      </c>
      <c r="AK60" s="620">
        <f t="shared" si="7"/>
        <v>0</v>
      </c>
      <c r="AL60" s="620">
        <f t="shared" si="7"/>
        <v>0</v>
      </c>
      <c r="AM60" s="620">
        <f t="shared" si="7"/>
        <v>0</v>
      </c>
      <c r="AN60" s="620">
        <f t="shared" si="7"/>
        <v>5030.5</v>
      </c>
      <c r="AO60" s="620">
        <f t="shared" si="7"/>
        <v>4505.25</v>
      </c>
      <c r="AP60" s="620">
        <f t="shared" si="7"/>
        <v>5395.05</v>
      </c>
      <c r="AQ60" s="620">
        <f t="shared" ref="AQ60:BK60" si="8">SUM(AQ10:AQ55)*0.1</f>
        <v>10780.093000000001</v>
      </c>
      <c r="AR60" s="620">
        <f t="shared" si="8"/>
        <v>11541.738000000001</v>
      </c>
      <c r="AS60" s="620">
        <f t="shared" si="8"/>
        <v>15759.668999999998</v>
      </c>
      <c r="AT60" s="621">
        <f t="shared" si="8"/>
        <v>10598.683000000001</v>
      </c>
      <c r="AU60" s="622">
        <f t="shared" si="8"/>
        <v>17529.473999999998</v>
      </c>
      <c r="AV60" s="620">
        <f t="shared" si="8"/>
        <v>15781.041000000001</v>
      </c>
      <c r="AW60" s="620">
        <f t="shared" si="8"/>
        <v>9693.5220000000008</v>
      </c>
      <c r="AX60" s="620">
        <f t="shared" si="8"/>
        <v>14607.735999999999</v>
      </c>
      <c r="AY60" s="620">
        <f t="shared" si="8"/>
        <v>20259.347000000002</v>
      </c>
      <c r="AZ60" s="620">
        <f t="shared" si="8"/>
        <v>16043.604000000001</v>
      </c>
      <c r="BA60" s="620">
        <f t="shared" si="8"/>
        <v>13611.737999999998</v>
      </c>
      <c r="BB60" s="620">
        <f t="shared" si="8"/>
        <v>0</v>
      </c>
      <c r="BC60" s="620">
        <f t="shared" si="8"/>
        <v>0</v>
      </c>
      <c r="BD60" s="620">
        <f t="shared" si="8"/>
        <v>0</v>
      </c>
      <c r="BE60" s="620">
        <f t="shared" si="8"/>
        <v>0</v>
      </c>
      <c r="BF60" s="621">
        <f t="shared" si="8"/>
        <v>0</v>
      </c>
      <c r="BG60" s="620">
        <f t="shared" si="8"/>
        <v>0</v>
      </c>
      <c r="BH60" s="620">
        <f t="shared" si="8"/>
        <v>0</v>
      </c>
      <c r="BI60" s="620">
        <f t="shared" si="8"/>
        <v>0</v>
      </c>
      <c r="BJ60" s="620">
        <f t="shared" si="8"/>
        <v>0</v>
      </c>
      <c r="BK60" s="620">
        <f t="shared" si="8"/>
        <v>0</v>
      </c>
      <c r="BL60" s="623"/>
      <c r="BM60" s="623"/>
      <c r="BN60" s="623"/>
      <c r="BO60" s="623"/>
      <c r="BP60" s="623"/>
      <c r="BQ60" s="623"/>
      <c r="BR60" s="624"/>
    </row>
    <row r="61" spans="2:70" x14ac:dyDescent="0.25">
      <c r="B61" s="593" t="s">
        <v>148</v>
      </c>
      <c r="C61" s="594"/>
      <c r="D61" s="595">
        <v>200000</v>
      </c>
      <c r="E61" s="595">
        <f>SUM(AN61:BK61)</f>
        <v>0</v>
      </c>
      <c r="F61" s="595"/>
      <c r="G61" s="610">
        <f ca="1">SUMIF($AN$3:$BK$3,"&lt;"&amp;TODAY(),$AN61:$BK61)</f>
        <v>0</v>
      </c>
      <c r="H61" s="595"/>
      <c r="I61" s="619" t="s">
        <v>199</v>
      </c>
      <c r="J61" s="606"/>
      <c r="K61" s="556"/>
      <c r="L61" s="556"/>
      <c r="M61" s="556"/>
      <c r="N61" s="556"/>
      <c r="O61" s="556"/>
      <c r="P61" s="556"/>
      <c r="Q61" s="556"/>
      <c r="R61" s="556"/>
      <c r="S61" s="556"/>
      <c r="T61" s="556"/>
      <c r="U61" s="556"/>
      <c r="V61" s="582"/>
      <c r="W61" s="578"/>
      <c r="X61" s="556"/>
      <c r="Y61" s="556"/>
      <c r="Z61" s="556"/>
      <c r="AA61" s="556"/>
      <c r="AB61" s="556"/>
      <c r="AC61" s="556"/>
      <c r="AD61" s="556"/>
      <c r="AE61" s="556"/>
      <c r="AF61" s="556"/>
      <c r="AG61" s="556"/>
      <c r="AH61" s="582"/>
      <c r="AI61" s="578"/>
      <c r="AJ61" s="556"/>
      <c r="AK61" s="556"/>
      <c r="AL61" s="556"/>
      <c r="AM61" s="556"/>
      <c r="AN61" s="556"/>
      <c r="AO61" s="556"/>
      <c r="AP61" s="556"/>
      <c r="AQ61" s="556"/>
      <c r="AR61" s="556"/>
      <c r="AS61" s="556"/>
      <c r="AT61" s="582"/>
      <c r="AU61" s="578"/>
      <c r="AV61" s="556"/>
      <c r="AW61" s="556"/>
      <c r="AX61" s="556"/>
      <c r="AY61" s="556"/>
      <c r="AZ61" s="556"/>
      <c r="BA61" s="556"/>
      <c r="BB61" s="556"/>
      <c r="BC61" s="556"/>
      <c r="BD61" s="556"/>
      <c r="BE61" s="556"/>
      <c r="BF61" s="588"/>
      <c r="BR61" s="588"/>
    </row>
    <row r="62" spans="2:70" x14ac:dyDescent="0.25">
      <c r="B62" s="593" t="s">
        <v>95</v>
      </c>
      <c r="C62" s="594"/>
      <c r="D62" s="595">
        <v>30000</v>
      </c>
      <c r="E62" s="595">
        <v>30000</v>
      </c>
      <c r="F62" s="595"/>
      <c r="G62" s="610">
        <f ca="1">SUMIF($AN$3:$BK$3,"&lt;"&amp;TODAY(),$AN62:$BK62)</f>
        <v>0</v>
      </c>
      <c r="H62" s="595"/>
      <c r="I62" s="619" t="s">
        <v>199</v>
      </c>
      <c r="J62" s="595"/>
      <c r="K62" s="556"/>
      <c r="L62" s="556"/>
      <c r="M62" s="556"/>
      <c r="N62" s="556"/>
      <c r="P62" s="556"/>
      <c r="Q62" s="556"/>
      <c r="R62" s="556"/>
      <c r="S62" s="556"/>
      <c r="T62" s="556"/>
      <c r="U62" s="556"/>
      <c r="V62" s="582"/>
      <c r="W62" s="578"/>
      <c r="X62" s="556"/>
      <c r="Y62" s="556"/>
      <c r="Z62" s="556"/>
      <c r="AB62" s="556"/>
      <c r="AC62" s="556"/>
      <c r="AD62" s="556"/>
      <c r="AE62" s="556"/>
      <c r="AF62" s="556"/>
      <c r="AG62" s="556"/>
      <c r="AH62" s="582"/>
      <c r="AI62" s="578"/>
      <c r="AJ62" s="556"/>
      <c r="AK62" s="556"/>
      <c r="AL62" s="556"/>
      <c r="AN62" s="556"/>
      <c r="AO62" s="556"/>
      <c r="AP62" s="556"/>
      <c r="AQ62" s="556"/>
      <c r="AR62" s="556"/>
      <c r="AS62" s="556"/>
      <c r="AT62" s="582"/>
      <c r="AU62" s="578"/>
      <c r="AV62" s="556"/>
      <c r="AW62" s="556"/>
      <c r="AX62" s="556"/>
      <c r="BB62" s="556"/>
      <c r="BC62" s="556"/>
      <c r="BD62" s="556"/>
      <c r="BE62" s="556"/>
      <c r="BF62" s="582"/>
      <c r="BG62" s="556"/>
      <c r="BR62" s="588"/>
    </row>
    <row r="63" spans="2:70" x14ac:dyDescent="0.25">
      <c r="B63" s="600" t="s">
        <v>149</v>
      </c>
      <c r="D63" s="577">
        <v>20000</v>
      </c>
      <c r="E63" s="577">
        <v>20000</v>
      </c>
      <c r="F63" s="577"/>
      <c r="G63" s="610"/>
      <c r="H63" s="595"/>
      <c r="I63" s="619" t="s">
        <v>199</v>
      </c>
      <c r="J63" s="577"/>
      <c r="K63" s="556"/>
      <c r="L63" s="556"/>
      <c r="M63" s="556"/>
      <c r="N63" s="556"/>
      <c r="P63" s="556"/>
      <c r="Q63" s="556"/>
      <c r="R63" s="556"/>
      <c r="S63" s="556"/>
      <c r="T63" s="556"/>
      <c r="U63" s="556"/>
      <c r="V63" s="582"/>
      <c r="W63" s="578"/>
      <c r="X63" s="556"/>
      <c r="Y63" s="556"/>
      <c r="Z63" s="556"/>
      <c r="AB63" s="556"/>
      <c r="AC63" s="556"/>
      <c r="AD63" s="556"/>
      <c r="AE63" s="556"/>
      <c r="AF63" s="556"/>
      <c r="AG63" s="556"/>
      <c r="AH63" s="582"/>
      <c r="AI63" s="578"/>
      <c r="AJ63" s="556"/>
      <c r="AK63" s="556"/>
      <c r="AL63" s="556"/>
      <c r="AN63" s="556"/>
      <c r="AO63" s="556"/>
      <c r="AP63" s="556"/>
      <c r="AQ63" s="556"/>
      <c r="AR63" s="556"/>
      <c r="AS63" s="556"/>
      <c r="AT63" s="582"/>
      <c r="AU63" s="578"/>
      <c r="AV63" s="556"/>
      <c r="AW63" s="556"/>
      <c r="AX63" s="556"/>
      <c r="BB63" s="556"/>
      <c r="BC63" s="556"/>
      <c r="BD63" s="556"/>
      <c r="BE63" s="556"/>
      <c r="BF63" s="582"/>
      <c r="BG63" s="556"/>
      <c r="BR63" s="588"/>
    </row>
    <row r="64" spans="2:70" ht="15.75" thickBot="1" x14ac:dyDescent="0.3">
      <c r="B64" s="625" t="s">
        <v>97</v>
      </c>
      <c r="C64" s="626"/>
      <c r="D64" s="627">
        <v>30000</v>
      </c>
      <c r="E64" s="627">
        <v>30000</v>
      </c>
      <c r="F64" s="627"/>
      <c r="G64" s="610">
        <f ca="1">SUMIF($AN$3:$BK$3,"&lt;"&amp;TODAY(),$AN64:$BK64)</f>
        <v>0</v>
      </c>
      <c r="H64" s="597"/>
      <c r="I64" s="619" t="s">
        <v>199</v>
      </c>
      <c r="J64" s="577"/>
      <c r="K64" s="556"/>
      <c r="L64" s="556"/>
      <c r="M64" s="556"/>
      <c r="N64" s="556"/>
      <c r="P64" s="556"/>
      <c r="Q64" s="556"/>
      <c r="R64" s="556"/>
      <c r="S64" s="556"/>
      <c r="T64" s="556"/>
      <c r="U64" s="556"/>
      <c r="V64" s="582"/>
      <c r="W64" s="578"/>
      <c r="X64" s="556"/>
      <c r="Y64" s="556"/>
      <c r="Z64" s="556"/>
      <c r="AB64" s="556"/>
      <c r="AC64" s="556"/>
      <c r="AD64" s="556"/>
      <c r="AE64" s="556"/>
      <c r="AF64" s="556"/>
      <c r="AG64" s="556"/>
      <c r="AH64" s="582"/>
      <c r="AI64" s="578"/>
      <c r="AJ64" s="556"/>
      <c r="AK64" s="556"/>
      <c r="AL64" s="556"/>
      <c r="AN64" s="556"/>
      <c r="AO64" s="556"/>
      <c r="AP64" s="556"/>
      <c r="AQ64" s="556"/>
      <c r="AR64" s="556"/>
      <c r="AS64" s="556"/>
      <c r="AT64" s="582"/>
      <c r="AU64" s="578"/>
      <c r="AV64" s="556"/>
      <c r="AW64" s="556"/>
      <c r="AX64" s="556"/>
      <c r="BB64" s="556"/>
      <c r="BC64" s="556"/>
      <c r="BD64" s="556"/>
      <c r="BE64" s="556"/>
      <c r="BF64" s="582"/>
      <c r="BG64" s="556"/>
      <c r="BR64" s="588"/>
    </row>
    <row r="65" spans="2:70" ht="21.75" thickBot="1" x14ac:dyDescent="0.4">
      <c r="B65" s="628" t="s">
        <v>98</v>
      </c>
      <c r="C65" s="629"/>
      <c r="D65" s="630">
        <f>SUM(D4:D64)</f>
        <v>8490511.2149999999</v>
      </c>
      <c r="E65" s="631">
        <f ca="1">SUM(E4:E64)</f>
        <v>4487324.4000000004</v>
      </c>
      <c r="F65" s="631">
        <f>SUM(F4:F59)</f>
        <v>5338543.01</v>
      </c>
      <c r="G65" s="622">
        <f ca="1">SUM(G20:G59)</f>
        <v>1413198.62</v>
      </c>
      <c r="H65" s="622"/>
      <c r="I65" s="631"/>
      <c r="J65" s="631"/>
      <c r="K65" s="620">
        <f t="shared" ref="K65:AP65" si="9">SUM(K4:K64)</f>
        <v>0</v>
      </c>
      <c r="L65" s="620">
        <f t="shared" si="9"/>
        <v>0</v>
      </c>
      <c r="M65" s="620">
        <f t="shared" si="9"/>
        <v>59300</v>
      </c>
      <c r="N65" s="620">
        <f t="shared" si="9"/>
        <v>0</v>
      </c>
      <c r="O65" s="620">
        <f t="shared" si="9"/>
        <v>0</v>
      </c>
      <c r="P65" s="620">
        <f t="shared" si="9"/>
        <v>0</v>
      </c>
      <c r="Q65" s="620">
        <f t="shared" si="9"/>
        <v>0</v>
      </c>
      <c r="R65" s="620">
        <f t="shared" si="9"/>
        <v>0</v>
      </c>
      <c r="S65" s="620">
        <f t="shared" si="9"/>
        <v>77274.38</v>
      </c>
      <c r="T65" s="620">
        <f t="shared" si="9"/>
        <v>0</v>
      </c>
      <c r="U65" s="620">
        <f t="shared" si="9"/>
        <v>0</v>
      </c>
      <c r="V65" s="621">
        <f t="shared" si="9"/>
        <v>0</v>
      </c>
      <c r="W65" s="622">
        <f t="shared" si="9"/>
        <v>0</v>
      </c>
      <c r="X65" s="620">
        <f t="shared" si="9"/>
        <v>0</v>
      </c>
      <c r="Y65" s="620">
        <f t="shared" si="9"/>
        <v>206809.25</v>
      </c>
      <c r="Z65" s="620">
        <f t="shared" si="9"/>
        <v>0</v>
      </c>
      <c r="AA65" s="620">
        <f t="shared" si="9"/>
        <v>0</v>
      </c>
      <c r="AB65" s="620">
        <f t="shared" si="9"/>
        <v>0</v>
      </c>
      <c r="AC65" s="620">
        <f t="shared" si="9"/>
        <v>0</v>
      </c>
      <c r="AD65" s="620">
        <f t="shared" si="9"/>
        <v>0</v>
      </c>
      <c r="AE65" s="620">
        <f t="shared" si="9"/>
        <v>253569.98</v>
      </c>
      <c r="AF65" s="620">
        <f t="shared" si="9"/>
        <v>0</v>
      </c>
      <c r="AG65" s="620">
        <f t="shared" si="9"/>
        <v>0</v>
      </c>
      <c r="AH65" s="621">
        <f t="shared" si="9"/>
        <v>0</v>
      </c>
      <c r="AI65" s="622">
        <f t="shared" si="9"/>
        <v>0</v>
      </c>
      <c r="AJ65" s="620">
        <f t="shared" si="9"/>
        <v>0</v>
      </c>
      <c r="AK65" s="620">
        <f t="shared" si="9"/>
        <v>142268.39000000001</v>
      </c>
      <c r="AL65" s="620">
        <f t="shared" si="9"/>
        <v>0</v>
      </c>
      <c r="AM65" s="620">
        <f t="shared" si="9"/>
        <v>0</v>
      </c>
      <c r="AN65" s="620">
        <f t="shared" si="9"/>
        <v>56680.75</v>
      </c>
      <c r="AO65" s="620">
        <f t="shared" si="9"/>
        <v>49557.75</v>
      </c>
      <c r="AP65" s="620">
        <f t="shared" si="9"/>
        <v>75681.55</v>
      </c>
      <c r="AQ65" s="620">
        <f t="shared" ref="AQ65:BK65" si="10">SUM(AQ4:AQ64)</f>
        <v>195141.29499999987</v>
      </c>
      <c r="AR65" s="620">
        <f t="shared" si="10"/>
        <v>132358.408</v>
      </c>
      <c r="AS65" s="620">
        <f t="shared" si="10"/>
        <v>180091.64899999998</v>
      </c>
      <c r="AT65" s="621">
        <f t="shared" si="10"/>
        <v>129100.51300000001</v>
      </c>
      <c r="AU65" s="622">
        <f t="shared" si="10"/>
        <v>195781.91399999999</v>
      </c>
      <c r="AV65" s="620">
        <f t="shared" si="10"/>
        <v>176995.701</v>
      </c>
      <c r="AW65" s="620">
        <f t="shared" si="10"/>
        <v>182571.02599999995</v>
      </c>
      <c r="AX65" s="620">
        <f t="shared" si="10"/>
        <v>188676.64599999998</v>
      </c>
      <c r="AY65" s="620">
        <f t="shared" si="10"/>
        <v>321398.82699999999</v>
      </c>
      <c r="AZ65" s="620">
        <f t="shared" si="10"/>
        <v>177610.394</v>
      </c>
      <c r="BA65" s="620">
        <f t="shared" si="10"/>
        <v>160859.86799999996</v>
      </c>
      <c r="BB65" s="620">
        <f t="shared" si="10"/>
        <v>0</v>
      </c>
      <c r="BC65" s="620">
        <f t="shared" si="10"/>
        <v>21228.900000000023</v>
      </c>
      <c r="BD65" s="620">
        <f t="shared" si="10"/>
        <v>0</v>
      </c>
      <c r="BE65" s="620">
        <f t="shared" si="10"/>
        <v>0</v>
      </c>
      <c r="BF65" s="621">
        <f t="shared" si="10"/>
        <v>0</v>
      </c>
      <c r="BG65" s="620">
        <f t="shared" si="10"/>
        <v>0</v>
      </c>
      <c r="BH65" s="620">
        <f t="shared" si="10"/>
        <v>0</v>
      </c>
      <c r="BI65" s="620">
        <f t="shared" si="10"/>
        <v>822.98400000005495</v>
      </c>
      <c r="BJ65" s="620">
        <f t="shared" si="10"/>
        <v>0</v>
      </c>
      <c r="BK65" s="620">
        <f t="shared" si="10"/>
        <v>0</v>
      </c>
      <c r="BL65" s="623"/>
      <c r="BM65" s="623"/>
      <c r="BN65" s="623"/>
      <c r="BO65" s="623"/>
      <c r="BP65" s="623"/>
      <c r="BQ65" s="623"/>
      <c r="BR65" s="624"/>
    </row>
    <row r="66" spans="2:70" ht="15.75" thickBot="1" x14ac:dyDescent="0.3">
      <c r="B66" s="632" t="s">
        <v>176</v>
      </c>
      <c r="C66" s="633">
        <v>550</v>
      </c>
      <c r="D66" s="634"/>
      <c r="E66" s="634"/>
      <c r="F66" s="634"/>
      <c r="G66" s="635"/>
      <c r="H66" s="631"/>
      <c r="I66" s="634"/>
      <c r="J66" s="634"/>
      <c r="K66" s="556"/>
      <c r="L66" s="556"/>
      <c r="M66" s="556"/>
      <c r="N66" s="556"/>
      <c r="O66" s="556"/>
      <c r="P66" s="556"/>
      <c r="Q66" s="556"/>
      <c r="R66" s="556"/>
      <c r="S66" s="556"/>
      <c r="T66" s="556"/>
      <c r="U66" s="556"/>
      <c r="V66" s="582"/>
      <c r="W66" s="578"/>
      <c r="X66" s="556"/>
      <c r="Y66" s="556"/>
      <c r="Z66" s="556"/>
      <c r="AA66" s="556"/>
      <c r="AB66" s="556"/>
      <c r="AC66" s="556"/>
      <c r="AD66" s="556"/>
      <c r="AE66" s="556"/>
      <c r="AF66" s="556"/>
      <c r="AG66" s="556"/>
      <c r="AH66" s="582"/>
      <c r="AI66" s="578"/>
      <c r="AJ66" s="556"/>
      <c r="AK66" s="556"/>
      <c r="AL66" s="556"/>
      <c r="AM66" s="556"/>
      <c r="AN66" s="556"/>
      <c r="AO66" s="556"/>
      <c r="AP66" s="556"/>
      <c r="AQ66" s="556"/>
      <c r="AR66" s="556"/>
      <c r="AS66" s="556"/>
      <c r="AT66" s="582"/>
      <c r="AU66" s="578"/>
      <c r="AV66" s="556"/>
      <c r="AW66" s="556"/>
      <c r="AX66" s="556"/>
      <c r="AY66" s="556"/>
      <c r="AZ66" s="556"/>
      <c r="BA66" s="556"/>
      <c r="BB66" s="556"/>
      <c r="BC66" s="556"/>
      <c r="BD66" s="556"/>
      <c r="BE66" s="556"/>
      <c r="BF66" s="588"/>
      <c r="BR66" s="588"/>
    </row>
    <row r="67" spans="2:70" x14ac:dyDescent="0.25">
      <c r="B67" s="636" t="s">
        <v>100</v>
      </c>
      <c r="C67" s="637"/>
      <c r="D67" s="638">
        <f>D65/$C$66</f>
        <v>15437.293118181818</v>
      </c>
      <c r="E67" s="638">
        <f ca="1">E65/$C$66</f>
        <v>8158.7716363636373</v>
      </c>
      <c r="F67" s="638">
        <f>F65/$C$66</f>
        <v>9706.441836363636</v>
      </c>
      <c r="G67" s="639">
        <f ca="1">G65/$C$66</f>
        <v>2569.4520363636366</v>
      </c>
      <c r="H67" s="634"/>
      <c r="I67" s="634"/>
      <c r="J67" s="638"/>
      <c r="K67" s="637"/>
      <c r="L67" s="637"/>
      <c r="M67" s="637"/>
      <c r="N67" s="637"/>
      <c r="O67" s="637"/>
      <c r="P67" s="637"/>
      <c r="Q67" s="637"/>
      <c r="R67" s="637"/>
      <c r="S67" s="637"/>
      <c r="T67" s="637"/>
      <c r="U67" s="637"/>
      <c r="V67" s="640"/>
      <c r="W67" s="632"/>
      <c r="X67" s="637"/>
      <c r="Y67" s="637"/>
      <c r="Z67" s="637"/>
      <c r="AA67" s="637"/>
      <c r="AB67" s="637"/>
      <c r="AC67" s="637"/>
      <c r="AD67" s="637"/>
      <c r="AE67" s="637"/>
      <c r="AF67" s="637"/>
      <c r="AG67" s="637"/>
      <c r="AH67" s="640"/>
      <c r="AI67" s="632"/>
      <c r="AJ67" s="637"/>
      <c r="AK67" s="637"/>
      <c r="AL67" s="637"/>
      <c r="AM67" s="637"/>
      <c r="AN67" s="637"/>
      <c r="AO67" s="637"/>
      <c r="AP67" s="637"/>
      <c r="AQ67" s="637"/>
      <c r="AR67" s="637"/>
      <c r="AS67" s="637"/>
      <c r="AT67" s="640"/>
      <c r="AU67" s="632"/>
      <c r="AV67" s="637"/>
      <c r="AW67" s="637"/>
      <c r="AX67" s="637"/>
      <c r="AY67" s="637"/>
      <c r="AZ67" s="637"/>
      <c r="BA67" s="637"/>
      <c r="BB67" s="637"/>
      <c r="BC67" s="637"/>
      <c r="BD67" s="637"/>
      <c r="BE67" s="637"/>
      <c r="BF67" s="640"/>
      <c r="BG67" s="637"/>
      <c r="BH67" s="637"/>
      <c r="BI67" s="637"/>
      <c r="BJ67" s="637"/>
      <c r="BK67" s="637"/>
      <c r="BL67" s="637"/>
      <c r="BM67" s="637"/>
      <c r="BN67" s="637"/>
      <c r="BO67" s="637"/>
      <c r="BP67" s="637"/>
      <c r="BQ67" s="637"/>
      <c r="BR67" s="640"/>
    </row>
    <row r="68" spans="2:70" x14ac:dyDescent="0.25">
      <c r="BR68" s="588"/>
    </row>
    <row r="69" spans="2:70" x14ac:dyDescent="0.25">
      <c r="C69" s="555" t="s">
        <v>575</v>
      </c>
      <c r="D69" s="883">
        <f>D65-D5</f>
        <v>7680768.2149999999</v>
      </c>
    </row>
  </sheetData>
  <conditionalFormatting sqref="D69">
    <cfRule type="cellIs" dxfId="2" priority="1" operator="lessThan">
      <formula>8000000</formula>
    </cfRule>
    <cfRule type="cellIs" dxfId="1" priority="2" operator="greaterThan">
      <formula>8000000</formula>
    </cfRule>
  </conditionalFormatting>
  <conditionalFormatting sqref="H1:H64 H66:H1048576">
    <cfRule type="cellIs" dxfId="0" priority="3" operator="lessThan">
      <formula>0</formula>
    </cfRule>
  </conditionalFormatting>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68A5B-20D2-4F44-8966-13EBB4742B95}">
  <dimension ref="B2:DW76"/>
  <sheetViews>
    <sheetView zoomScale="70" zoomScaleNormal="70" workbookViewId="0">
      <pane xSplit="45" ySplit="3" topLeftCell="BA26" activePane="bottomRight" state="frozen"/>
      <selection pane="topRight"/>
      <selection pane="bottomLeft"/>
      <selection pane="bottomRight" activeCell="I46" sqref="I46"/>
    </sheetView>
  </sheetViews>
  <sheetFormatPr defaultRowHeight="15" x14ac:dyDescent="0.25"/>
  <cols>
    <col min="1" max="1" width="4.42578125" customWidth="1"/>
    <col min="2" max="2" width="23.42578125" customWidth="1"/>
    <col min="3" max="3" width="34.7109375" customWidth="1"/>
    <col min="4" max="9" width="16.5703125" style="429" customWidth="1"/>
    <col min="10" max="12" width="11.42578125" style="429" customWidth="1"/>
    <col min="13" max="13" width="11.28515625" customWidth="1"/>
    <col min="14" max="14" width="9" customWidth="1"/>
    <col min="15" max="15" width="16.5703125" customWidth="1"/>
    <col min="16" max="16" width="27.42578125" customWidth="1"/>
    <col min="17" max="45" width="9.28515625" hidden="1" customWidth="1"/>
    <col min="57" max="57" width="8.28515625" bestFit="1" customWidth="1"/>
    <col min="58" max="58" width="11.28515625" bestFit="1" customWidth="1"/>
    <col min="77" max="78" width="0" hidden="1" customWidth="1"/>
    <col min="79" max="79" width="14.5703125" hidden="1" customWidth="1"/>
    <col min="80" max="84" width="0" hidden="1" customWidth="1"/>
    <col min="85" max="85" width="13.5703125" hidden="1" customWidth="1"/>
    <col min="86" max="90" width="0" hidden="1" customWidth="1"/>
    <col min="91" max="91" width="13.42578125" hidden="1" customWidth="1"/>
    <col min="92" max="96" width="0" hidden="1" customWidth="1"/>
    <col min="97" max="97" width="11.5703125" hidden="1" customWidth="1"/>
    <col min="98" max="102" width="0" hidden="1" customWidth="1"/>
    <col min="103" max="103" width="14.5703125" hidden="1" customWidth="1"/>
    <col min="104" max="108" width="0" hidden="1" customWidth="1"/>
    <col min="109" max="109" width="15.42578125" hidden="1" customWidth="1"/>
    <col min="110" max="114" width="0" hidden="1" customWidth="1"/>
    <col min="115" max="115" width="14.42578125" hidden="1" customWidth="1"/>
    <col min="116" max="120" width="0" hidden="1" customWidth="1"/>
    <col min="121" max="121" width="16.5703125" hidden="1" customWidth="1"/>
    <col min="122" max="126" width="0" hidden="1" customWidth="1"/>
    <col min="127" max="127" width="3.42578125" customWidth="1"/>
  </cols>
  <sheetData>
    <row r="2" spans="2:127" ht="15.75" thickBot="1" x14ac:dyDescent="0.3">
      <c r="B2" s="1" t="s">
        <v>576</v>
      </c>
      <c r="J2" s="745" t="s">
        <v>577</v>
      </c>
      <c r="Q2" s="147"/>
      <c r="R2" s="150"/>
      <c r="S2" s="146"/>
      <c r="T2" s="146"/>
      <c r="U2" s="146"/>
      <c r="V2" s="146"/>
      <c r="W2" s="146"/>
      <c r="X2" s="146"/>
      <c r="Y2" s="146"/>
      <c r="Z2" s="232" t="s">
        <v>321</v>
      </c>
      <c r="AA2" s="146"/>
      <c r="AB2" s="230"/>
      <c r="AC2" s="146"/>
      <c r="AD2" s="150"/>
      <c r="AE2" s="146"/>
      <c r="AF2" s="146"/>
      <c r="AG2" s="146"/>
      <c r="AH2" s="147"/>
      <c r="AI2" s="146"/>
      <c r="AJ2" s="146"/>
      <c r="AK2" s="146"/>
      <c r="AL2" s="232" t="s">
        <v>321</v>
      </c>
      <c r="AM2" s="146"/>
      <c r="AN2" s="146"/>
      <c r="AO2" s="146"/>
      <c r="AP2" s="150"/>
      <c r="AQ2" s="146"/>
      <c r="AR2" s="146"/>
      <c r="AS2" s="146"/>
      <c r="AT2" s="147"/>
      <c r="AU2" s="146"/>
      <c r="AV2" s="146"/>
      <c r="AW2" s="146"/>
      <c r="AX2" s="232" t="s">
        <v>321</v>
      </c>
      <c r="AY2" s="146"/>
      <c r="AZ2" s="146"/>
      <c r="BA2" s="146"/>
      <c r="BB2" s="150"/>
      <c r="BC2" s="146"/>
      <c r="BD2" s="146"/>
      <c r="BE2" s="146"/>
      <c r="BF2" s="146"/>
      <c r="BG2" s="146"/>
      <c r="BH2" s="146"/>
      <c r="BI2" s="146"/>
      <c r="BJ2" s="146"/>
      <c r="BK2" s="146"/>
      <c r="BL2" s="232"/>
      <c r="BM2" s="146"/>
      <c r="BN2" s="232" t="s">
        <v>527</v>
      </c>
      <c r="BO2" s="146"/>
      <c r="BP2" s="150"/>
      <c r="BQ2" s="146"/>
      <c r="BR2" s="146"/>
      <c r="BS2" s="146"/>
      <c r="BT2" s="146"/>
      <c r="BU2" s="146"/>
      <c r="BV2" s="146"/>
      <c r="BW2" s="146"/>
      <c r="BX2" s="279" t="s">
        <v>323</v>
      </c>
      <c r="BY2" s="146"/>
      <c r="BZ2" s="232"/>
      <c r="CA2" s="146"/>
      <c r="CB2" s="150"/>
      <c r="CC2" s="146"/>
      <c r="CD2" s="146"/>
      <c r="CE2" s="146"/>
      <c r="CF2" s="146"/>
      <c r="CG2" s="146"/>
      <c r="CH2" s="146"/>
      <c r="CI2" s="146"/>
      <c r="CJ2" s="279"/>
      <c r="CK2" s="146"/>
      <c r="CL2" s="232"/>
      <c r="CM2" s="146"/>
      <c r="CN2" s="150"/>
      <c r="CO2" s="146"/>
      <c r="CP2" s="146"/>
      <c r="CQ2" s="146"/>
      <c r="CR2" s="146"/>
      <c r="CS2" s="146"/>
      <c r="CT2" s="146"/>
      <c r="CU2" s="146"/>
      <c r="CV2" s="279"/>
      <c r="CW2" s="146"/>
      <c r="CX2" s="232"/>
      <c r="CY2" s="146"/>
      <c r="CZ2" s="150"/>
      <c r="DA2" s="146"/>
      <c r="DB2" s="146"/>
      <c r="DC2" s="146"/>
      <c r="DD2" s="146"/>
      <c r="DE2" s="146"/>
      <c r="DF2" s="146"/>
      <c r="DG2" s="146"/>
      <c r="DH2" s="279"/>
      <c r="DI2" s="146"/>
      <c r="DJ2" s="232"/>
      <c r="DK2" s="146"/>
      <c r="DL2" s="150"/>
      <c r="DM2" s="146"/>
      <c r="DN2" s="146"/>
      <c r="DO2" s="146"/>
      <c r="DP2" s="146"/>
      <c r="DQ2" s="146"/>
      <c r="DR2" s="146"/>
      <c r="DS2" s="146"/>
      <c r="DT2" s="279"/>
      <c r="DU2" s="146"/>
      <c r="DV2" s="232"/>
      <c r="DW2" s="146"/>
    </row>
    <row r="3" spans="2:127" ht="60.75" thickBot="1" x14ac:dyDescent="0.3">
      <c r="B3" s="39" t="s">
        <v>16</v>
      </c>
      <c r="C3" s="40" t="s">
        <v>17</v>
      </c>
      <c r="D3" s="746" t="s">
        <v>184</v>
      </c>
      <c r="E3" s="747" t="s">
        <v>185</v>
      </c>
      <c r="F3" s="748" t="s">
        <v>578</v>
      </c>
      <c r="G3" s="748" t="s">
        <v>579</v>
      </c>
      <c r="H3" s="748" t="s">
        <v>580</v>
      </c>
      <c r="I3" s="748" t="s">
        <v>581</v>
      </c>
      <c r="J3" s="747" t="s">
        <v>582</v>
      </c>
      <c r="K3" s="749" t="s">
        <v>583</v>
      </c>
      <c r="L3" s="750" t="s">
        <v>584</v>
      </c>
      <c r="M3" s="723" t="s">
        <v>585</v>
      </c>
      <c r="N3" s="441" t="s">
        <v>586</v>
      </c>
      <c r="O3" s="449" t="s">
        <v>187</v>
      </c>
      <c r="P3" s="299" t="s">
        <v>111</v>
      </c>
      <c r="Q3" s="270">
        <v>44197</v>
      </c>
      <c r="R3" s="270">
        <v>44228</v>
      </c>
      <c r="S3" s="270">
        <v>44256</v>
      </c>
      <c r="T3" s="270">
        <v>44287</v>
      </c>
      <c r="U3" s="270">
        <v>44317</v>
      </c>
      <c r="V3" s="270">
        <v>44348</v>
      </c>
      <c r="W3" s="270">
        <v>44378</v>
      </c>
      <c r="X3" s="270">
        <v>44409</v>
      </c>
      <c r="Y3" s="270">
        <v>44440</v>
      </c>
      <c r="Z3" s="270">
        <v>44470</v>
      </c>
      <c r="AA3" s="270">
        <v>44501</v>
      </c>
      <c r="AB3" s="270">
        <v>44531</v>
      </c>
      <c r="AC3" s="172">
        <v>44562</v>
      </c>
      <c r="AD3" s="171">
        <v>44593</v>
      </c>
      <c r="AE3" s="171">
        <v>44621</v>
      </c>
      <c r="AF3" s="171">
        <v>44652</v>
      </c>
      <c r="AG3" s="171">
        <v>44682</v>
      </c>
      <c r="AH3" s="171">
        <v>44713</v>
      </c>
      <c r="AI3" s="171">
        <v>44743</v>
      </c>
      <c r="AJ3" s="171">
        <v>44774</v>
      </c>
      <c r="AK3" s="171">
        <v>44805</v>
      </c>
      <c r="AL3" s="171">
        <v>44835</v>
      </c>
      <c r="AM3" s="171">
        <v>44866</v>
      </c>
      <c r="AN3" s="171">
        <v>44896</v>
      </c>
      <c r="AO3" s="171">
        <v>44927</v>
      </c>
      <c r="AP3" s="171">
        <v>44958</v>
      </c>
      <c r="AQ3" s="171">
        <v>44986</v>
      </c>
      <c r="AR3" s="171">
        <v>45017</v>
      </c>
      <c r="AS3" s="171">
        <v>45047</v>
      </c>
      <c r="AT3" s="171">
        <v>45078</v>
      </c>
      <c r="AU3" s="171">
        <v>45108</v>
      </c>
      <c r="AV3" s="171">
        <v>45139</v>
      </c>
      <c r="AW3" s="171">
        <v>45170</v>
      </c>
      <c r="AX3" s="171">
        <v>45200</v>
      </c>
      <c r="AY3" s="171">
        <v>45231</v>
      </c>
      <c r="AZ3" s="171">
        <v>45261</v>
      </c>
      <c r="BA3" s="171">
        <v>45292</v>
      </c>
      <c r="BB3" s="171">
        <v>45323</v>
      </c>
      <c r="BC3" s="171">
        <v>45352</v>
      </c>
      <c r="BD3" s="171">
        <v>45383</v>
      </c>
      <c r="BE3" s="171">
        <v>45413</v>
      </c>
      <c r="BF3" s="171">
        <v>45444</v>
      </c>
      <c r="BG3" s="171">
        <v>45474</v>
      </c>
      <c r="BH3" s="171">
        <v>45505</v>
      </c>
      <c r="BI3" s="171">
        <v>45536</v>
      </c>
      <c r="BJ3" s="171">
        <v>45566</v>
      </c>
      <c r="BK3" s="171">
        <v>45597</v>
      </c>
      <c r="BL3" s="171">
        <v>45627</v>
      </c>
      <c r="BM3" s="171">
        <v>45658</v>
      </c>
      <c r="BN3" s="171">
        <v>45689</v>
      </c>
      <c r="BO3" s="171">
        <v>45717</v>
      </c>
      <c r="BP3" s="171">
        <v>45748</v>
      </c>
      <c r="BQ3" s="171">
        <v>45778</v>
      </c>
      <c r="BR3" s="142">
        <v>45809</v>
      </c>
      <c r="BS3" s="142">
        <v>45839</v>
      </c>
      <c r="BT3" s="142">
        <v>45870</v>
      </c>
      <c r="BU3" s="142">
        <v>45901</v>
      </c>
      <c r="BV3" s="142">
        <v>45931</v>
      </c>
      <c r="BW3" s="142">
        <v>45962</v>
      </c>
      <c r="BX3" s="270">
        <v>45992</v>
      </c>
      <c r="BY3" s="171">
        <v>46023</v>
      </c>
      <c r="BZ3" s="171">
        <v>46054</v>
      </c>
      <c r="CA3" s="171">
        <v>46082</v>
      </c>
      <c r="CB3" s="171">
        <v>46113</v>
      </c>
      <c r="CC3" s="171">
        <v>46143</v>
      </c>
      <c r="CD3" s="142">
        <v>46174</v>
      </c>
      <c r="CE3" s="142">
        <v>46204</v>
      </c>
      <c r="CF3" s="142">
        <v>46235</v>
      </c>
      <c r="CG3" s="142">
        <v>46266</v>
      </c>
      <c r="CH3" s="142">
        <v>46296</v>
      </c>
      <c r="CI3" s="142">
        <v>46327</v>
      </c>
      <c r="CJ3" s="270">
        <v>46357</v>
      </c>
      <c r="CK3" s="171">
        <v>46388</v>
      </c>
      <c r="CL3" s="171">
        <v>46419</v>
      </c>
      <c r="CM3" s="171">
        <v>46447</v>
      </c>
      <c r="CN3" s="171">
        <v>46478</v>
      </c>
      <c r="CO3" s="171">
        <v>46508</v>
      </c>
      <c r="CP3" s="142">
        <v>46539</v>
      </c>
      <c r="CQ3" s="142">
        <v>46569</v>
      </c>
      <c r="CR3" s="142">
        <v>46600</v>
      </c>
      <c r="CS3" s="142">
        <v>46631</v>
      </c>
      <c r="CT3" s="142">
        <v>46661</v>
      </c>
      <c r="CU3" s="142">
        <v>46692</v>
      </c>
      <c r="CV3" s="270">
        <v>46722</v>
      </c>
      <c r="CW3" s="171">
        <v>46753</v>
      </c>
      <c r="CX3" s="171">
        <v>46784</v>
      </c>
      <c r="CY3" s="171">
        <v>46813</v>
      </c>
      <c r="CZ3" s="171">
        <v>46844</v>
      </c>
      <c r="DA3" s="171">
        <v>46874</v>
      </c>
      <c r="DB3" s="142">
        <v>46905</v>
      </c>
      <c r="DC3" s="142">
        <v>46935</v>
      </c>
      <c r="DD3" s="142">
        <v>46966</v>
      </c>
      <c r="DE3" s="142">
        <v>46997</v>
      </c>
      <c r="DF3" s="142">
        <v>47027</v>
      </c>
      <c r="DG3" s="142">
        <v>47058</v>
      </c>
      <c r="DH3" s="270">
        <v>47088</v>
      </c>
      <c r="DI3" s="171">
        <v>47119</v>
      </c>
      <c r="DJ3" s="171">
        <v>47150</v>
      </c>
      <c r="DK3" s="171">
        <v>47178</v>
      </c>
      <c r="DL3" s="171">
        <v>47209</v>
      </c>
      <c r="DM3" s="171">
        <v>47239</v>
      </c>
      <c r="DN3" s="142">
        <v>47270</v>
      </c>
      <c r="DO3" s="142">
        <v>47300</v>
      </c>
      <c r="DP3" s="142">
        <v>47331</v>
      </c>
      <c r="DQ3" s="142">
        <v>47362</v>
      </c>
      <c r="DR3" s="142">
        <v>47392</v>
      </c>
      <c r="DS3" s="142">
        <v>47423</v>
      </c>
      <c r="DT3" s="270">
        <v>47453</v>
      </c>
      <c r="DU3" s="171"/>
      <c r="DV3" s="171"/>
      <c r="DW3" s="171"/>
    </row>
    <row r="4" spans="2:127" x14ac:dyDescent="0.25">
      <c r="B4" s="8" t="s">
        <v>29</v>
      </c>
      <c r="C4" t="s">
        <v>30</v>
      </c>
      <c r="D4" s="751">
        <f>SUM(Q4:BX4)</f>
        <v>120950</v>
      </c>
      <c r="E4" s="751">
        <f t="shared" ref="E4:E5" si="0">SUM(Q4:DT4)</f>
        <v>120950</v>
      </c>
      <c r="F4" s="751">
        <f>SUM(Q4:BX4)</f>
        <v>120950</v>
      </c>
      <c r="G4" s="751">
        <f>SUM(Q4:BX4)</f>
        <v>120950</v>
      </c>
      <c r="H4" s="751">
        <f>SUM(Q4:BX4)</f>
        <v>120950</v>
      </c>
      <c r="I4" s="751"/>
      <c r="J4" s="752"/>
      <c r="K4" s="753"/>
      <c r="M4" s="499"/>
      <c r="N4" s="442"/>
      <c r="O4" s="2">
        <f t="shared" ref="O4:O11" ca="1" si="1">SUMIF($AT$3:$BQ$3,"&lt;"&amp;TODAY(),$AT4:$BQ4)</f>
        <v>61650</v>
      </c>
      <c r="P4" s="300"/>
      <c r="Q4" s="295">
        <v>59300</v>
      </c>
      <c r="R4" s="2"/>
      <c r="U4" s="2"/>
      <c r="W4" s="2"/>
      <c r="X4" s="2"/>
      <c r="Y4" s="2"/>
      <c r="Z4" s="2"/>
      <c r="AA4" s="2"/>
      <c r="AB4" s="76"/>
      <c r="AC4" s="173"/>
      <c r="AD4" s="174"/>
      <c r="AE4" s="174"/>
      <c r="AF4" s="174"/>
      <c r="AG4" s="295">
        <v>70350</v>
      </c>
      <c r="AH4" s="174"/>
      <c r="AI4" s="174"/>
      <c r="AJ4" s="174"/>
      <c r="AK4" s="174"/>
      <c r="AL4" s="174"/>
      <c r="AM4" s="174"/>
      <c r="AN4" s="269"/>
      <c r="AO4" s="173"/>
      <c r="AP4" s="295">
        <v>-70350</v>
      </c>
      <c r="AQ4" s="174"/>
      <c r="AR4" s="174"/>
      <c r="AS4" s="174"/>
      <c r="AT4" s="174"/>
      <c r="AU4" s="174"/>
      <c r="AV4" s="174"/>
      <c r="AW4" s="174"/>
      <c r="AX4" s="174"/>
      <c r="AY4" s="174"/>
      <c r="AZ4" s="269"/>
      <c r="BA4" s="173"/>
      <c r="BB4" s="174"/>
      <c r="BC4" s="295">
        <v>3000</v>
      </c>
      <c r="BD4" s="174"/>
      <c r="BE4" s="295">
        <v>58650</v>
      </c>
      <c r="BF4" s="174"/>
      <c r="BG4" s="174"/>
      <c r="BH4" s="174"/>
      <c r="BI4" s="174"/>
      <c r="BJ4" s="174"/>
      <c r="BK4" s="174"/>
      <c r="BL4" s="175"/>
      <c r="BM4" s="118"/>
      <c r="BN4" s="118"/>
      <c r="BO4" s="118"/>
      <c r="BP4" s="118"/>
      <c r="BQ4" s="118"/>
      <c r="BX4" s="131"/>
      <c r="BY4" s="118"/>
      <c r="BZ4" s="118"/>
      <c r="CA4" s="118"/>
      <c r="CB4" s="118"/>
      <c r="CC4" s="118"/>
      <c r="CJ4" s="131"/>
      <c r="CK4" s="118"/>
      <c r="CL4" s="118"/>
      <c r="CM4" s="118"/>
      <c r="CN4" s="118"/>
      <c r="CO4" s="118"/>
      <c r="CV4" s="131"/>
      <c r="CW4" s="118"/>
      <c r="CX4" s="118"/>
      <c r="CY4" s="118"/>
      <c r="CZ4" s="118"/>
      <c r="DA4" s="118"/>
      <c r="DH4" s="131"/>
      <c r="DI4" s="118"/>
      <c r="DJ4" s="118"/>
      <c r="DK4" s="118"/>
      <c r="DL4" s="118"/>
      <c r="DM4" s="118"/>
      <c r="DT4" s="131"/>
      <c r="DU4" s="118"/>
      <c r="DV4" s="118"/>
      <c r="DW4" s="118"/>
    </row>
    <row r="5" spans="2:127" x14ac:dyDescent="0.25">
      <c r="B5" s="8"/>
      <c r="C5" t="s">
        <v>31</v>
      </c>
      <c r="D5" s="751">
        <f>SUM(Q5:BX5)</f>
        <v>1800</v>
      </c>
      <c r="E5" s="751">
        <f t="shared" si="0"/>
        <v>1800</v>
      </c>
      <c r="F5" s="751">
        <f t="shared" ref="F5:G6" si="2">SUM(R5:DU5)</f>
        <v>1800</v>
      </c>
      <c r="G5" s="751">
        <f t="shared" si="2"/>
        <v>1800</v>
      </c>
      <c r="H5" s="751">
        <f>SUM(U5:CB5)</f>
        <v>1800</v>
      </c>
      <c r="I5" s="751"/>
      <c r="J5" s="752"/>
      <c r="K5" s="753"/>
      <c r="M5" s="499"/>
      <c r="N5" s="442"/>
      <c r="O5" s="2">
        <f t="shared" ca="1" si="1"/>
        <v>0</v>
      </c>
      <c r="P5" s="301"/>
      <c r="Q5" s="2"/>
      <c r="R5" s="2"/>
      <c r="S5" s="2"/>
      <c r="T5" s="2"/>
      <c r="U5" s="2"/>
      <c r="V5" s="2"/>
      <c r="W5" s="2"/>
      <c r="X5" s="2"/>
      <c r="Y5" s="2"/>
      <c r="Z5" s="2"/>
      <c r="AA5" s="2"/>
      <c r="AB5" s="76"/>
      <c r="AC5" s="78"/>
      <c r="AD5" s="2"/>
      <c r="AE5" s="2"/>
      <c r="AF5" s="2"/>
      <c r="AG5" s="288">
        <v>1800</v>
      </c>
      <c r="AH5" s="2"/>
      <c r="AI5" s="2"/>
      <c r="AJ5" s="2"/>
      <c r="AK5" s="2"/>
      <c r="AL5" s="2"/>
      <c r="AM5" s="2"/>
      <c r="AN5" s="76"/>
      <c r="AO5" s="78"/>
      <c r="AP5" s="2"/>
      <c r="AQ5" s="2"/>
      <c r="AR5" s="2"/>
      <c r="AS5" s="2"/>
      <c r="AT5" s="2"/>
      <c r="AU5" s="2"/>
      <c r="AV5" s="2"/>
      <c r="AW5" s="2"/>
      <c r="AX5" s="2"/>
      <c r="AY5" s="2"/>
      <c r="AZ5" s="76"/>
      <c r="BA5" s="78"/>
      <c r="BB5" s="2"/>
      <c r="BC5" s="2"/>
      <c r="BD5" s="2"/>
      <c r="BE5" s="2"/>
      <c r="BF5" s="2"/>
      <c r="BG5" s="2"/>
      <c r="BH5" s="2"/>
      <c r="BI5" s="2"/>
      <c r="BJ5" s="2"/>
      <c r="BK5" s="2"/>
      <c r="BL5" s="131"/>
      <c r="BX5" s="131"/>
      <c r="CJ5" s="131"/>
      <c r="CV5" s="131"/>
      <c r="DH5" s="131"/>
      <c r="DT5" s="131"/>
    </row>
    <row r="6" spans="2:127" x14ac:dyDescent="0.25">
      <c r="B6" s="8"/>
      <c r="C6" t="s">
        <v>32</v>
      </c>
      <c r="D6" s="751">
        <f>SUM(Q6:BX6)</f>
        <v>0</v>
      </c>
      <c r="E6" s="751">
        <f>SUM(Q6:DT6)</f>
        <v>1062356.9376000001</v>
      </c>
      <c r="F6" s="751">
        <f t="shared" si="2"/>
        <v>1062356.9376000001</v>
      </c>
      <c r="G6" s="751">
        <f t="shared" si="2"/>
        <v>1062356.9376000001</v>
      </c>
      <c r="H6" s="751">
        <f>SUM(T6:DW6)</f>
        <v>1062356.9376000001</v>
      </c>
      <c r="I6" s="751"/>
      <c r="J6" s="752"/>
      <c r="K6" s="753"/>
      <c r="M6" s="499"/>
      <c r="N6" s="442"/>
      <c r="O6" s="2">
        <f t="shared" ca="1" si="1"/>
        <v>0</v>
      </c>
      <c r="P6" s="301"/>
      <c r="Q6" s="298"/>
      <c r="R6" s="291"/>
      <c r="S6" s="291"/>
      <c r="T6" s="291"/>
      <c r="U6" s="291"/>
      <c r="V6" s="291"/>
      <c r="W6" s="291"/>
      <c r="X6" s="291"/>
      <c r="Y6" s="291"/>
      <c r="Z6" s="291"/>
      <c r="AA6" s="291"/>
      <c r="AB6" s="292"/>
      <c r="AC6" s="290"/>
      <c r="AD6" s="291"/>
      <c r="AE6" s="291"/>
      <c r="AF6" s="291"/>
      <c r="AG6" s="291"/>
      <c r="AH6" s="291"/>
      <c r="AI6" s="291"/>
      <c r="AJ6" s="291"/>
      <c r="AK6" s="291"/>
      <c r="AL6" s="291"/>
      <c r="AM6" s="291"/>
      <c r="AN6" s="292"/>
      <c r="AO6" s="290"/>
      <c r="AP6" s="291"/>
      <c r="AQ6" s="291"/>
      <c r="AR6" s="291"/>
      <c r="AS6" s="291"/>
      <c r="AT6" s="291"/>
      <c r="AU6" s="291"/>
      <c r="AV6" s="291"/>
      <c r="AW6" s="291"/>
      <c r="AX6" s="291"/>
      <c r="AY6" s="291"/>
      <c r="AZ6" s="292"/>
      <c r="BA6" s="290"/>
      <c r="BB6" s="291"/>
      <c r="BC6" s="293"/>
      <c r="BD6" s="293"/>
      <c r="BE6" s="293"/>
      <c r="BF6" s="293"/>
      <c r="BG6" s="293"/>
      <c r="BH6" s="293"/>
      <c r="BI6" s="293"/>
      <c r="BJ6" s="293"/>
      <c r="BK6" s="293"/>
      <c r="BL6" s="294"/>
      <c r="BM6" s="293"/>
      <c r="BN6" s="293"/>
      <c r="BO6" s="293"/>
      <c r="BP6" s="293"/>
      <c r="BQ6" s="293"/>
      <c r="BR6" s="293"/>
      <c r="BS6" s="293"/>
      <c r="BT6" s="293"/>
      <c r="BU6" s="293"/>
      <c r="BV6" s="293"/>
      <c r="BW6" s="293"/>
      <c r="BX6" s="294"/>
      <c r="BY6" s="293"/>
      <c r="BZ6" s="293"/>
      <c r="CA6" s="293">
        <v>16202.2248</v>
      </c>
      <c r="CB6" s="293"/>
      <c r="CC6" s="293"/>
      <c r="CD6" s="293"/>
      <c r="CE6" s="293"/>
      <c r="CF6" s="293"/>
      <c r="CG6" s="293">
        <v>19572.4584</v>
      </c>
      <c r="CH6" s="293"/>
      <c r="CI6" s="293"/>
      <c r="CJ6" s="294"/>
      <c r="CK6" s="293"/>
      <c r="CL6" s="293"/>
      <c r="CM6" s="293">
        <v>27641.002800000002</v>
      </c>
      <c r="CN6" s="293"/>
      <c r="CO6" s="293"/>
      <c r="CP6" s="293"/>
      <c r="CQ6" s="293"/>
      <c r="CR6" s="293"/>
      <c r="CS6" s="293">
        <v>14977.514399999985</v>
      </c>
      <c r="CT6" s="293"/>
      <c r="CU6" s="293"/>
      <c r="CV6" s="294"/>
      <c r="CW6" s="293"/>
      <c r="CX6" s="293"/>
      <c r="CY6" s="293">
        <v>531548.70000000007</v>
      </c>
      <c r="CZ6" s="293"/>
      <c r="DA6" s="293"/>
      <c r="DB6" s="293"/>
      <c r="DC6" s="293"/>
      <c r="DD6" s="293"/>
      <c r="DE6" s="293">
        <v>351353.61</v>
      </c>
      <c r="DF6" s="293"/>
      <c r="DG6" s="293"/>
      <c r="DH6" s="294"/>
      <c r="DI6" s="293"/>
      <c r="DJ6" s="291"/>
      <c r="DK6" s="293">
        <v>87720.988800000167</v>
      </c>
      <c r="DL6" s="293"/>
      <c r="DM6" s="293"/>
      <c r="DN6" s="293"/>
      <c r="DO6" s="293"/>
      <c r="DP6" s="293"/>
      <c r="DQ6" s="293">
        <v>13340.438399999868</v>
      </c>
      <c r="DR6" s="293"/>
      <c r="DT6" s="131"/>
      <c r="DW6" s="289"/>
    </row>
    <row r="7" spans="2:127" x14ac:dyDescent="0.25">
      <c r="B7" s="8"/>
      <c r="C7" t="s">
        <v>33</v>
      </c>
      <c r="D7" s="751"/>
      <c r="E7" s="751"/>
      <c r="F7" s="751"/>
      <c r="G7" s="752"/>
      <c r="H7" s="752"/>
      <c r="I7" s="752"/>
      <c r="J7" s="752"/>
      <c r="K7" s="753"/>
      <c r="M7" s="499"/>
      <c r="N7" s="442"/>
      <c r="O7" s="2">
        <f t="shared" ca="1" si="1"/>
        <v>0</v>
      </c>
      <c r="P7" s="301"/>
      <c r="Q7" s="2"/>
      <c r="R7" s="2"/>
      <c r="S7" s="2"/>
      <c r="T7" s="2"/>
      <c r="U7" s="2"/>
      <c r="V7" s="2"/>
      <c r="W7" s="2"/>
      <c r="X7" s="2"/>
      <c r="Y7" s="2"/>
      <c r="Z7" s="2"/>
      <c r="AA7" s="2"/>
      <c r="AB7" s="76"/>
      <c r="AC7" s="78"/>
      <c r="AD7" s="2"/>
      <c r="AE7" s="2"/>
      <c r="AF7" s="2"/>
      <c r="AG7" s="2"/>
      <c r="AH7" s="2"/>
      <c r="AI7" s="2"/>
      <c r="AJ7" s="2"/>
      <c r="AK7" s="2"/>
      <c r="AL7" s="2"/>
      <c r="AM7" s="2"/>
      <c r="AN7" s="76"/>
      <c r="AO7" s="78"/>
      <c r="AP7" s="2"/>
      <c r="AQ7" s="2"/>
      <c r="AR7" s="2"/>
      <c r="AS7" s="2"/>
      <c r="AT7" s="2"/>
      <c r="AU7" s="2"/>
      <c r="AV7" s="2"/>
      <c r="AW7" s="2"/>
      <c r="AX7" s="2"/>
      <c r="AY7" s="2"/>
      <c r="AZ7" s="76"/>
      <c r="BA7" s="78"/>
      <c r="BB7" s="2"/>
      <c r="BC7" s="2"/>
      <c r="BD7" s="2"/>
      <c r="BE7" s="2"/>
      <c r="BF7" s="2"/>
      <c r="BG7" s="2"/>
      <c r="BH7" s="2"/>
      <c r="BI7" s="2"/>
      <c r="BJ7" s="2"/>
      <c r="BK7" s="2"/>
      <c r="BL7" s="131"/>
      <c r="BX7" s="131"/>
      <c r="CJ7" s="131"/>
      <c r="CV7" s="131"/>
      <c r="DH7" s="131"/>
      <c r="DT7" s="131"/>
    </row>
    <row r="8" spans="2:127" x14ac:dyDescent="0.25">
      <c r="B8" s="8"/>
      <c r="C8" t="s">
        <v>34</v>
      </c>
      <c r="D8" s="751"/>
      <c r="E8" s="751"/>
      <c r="F8" s="752"/>
      <c r="G8" s="752"/>
      <c r="H8" s="752"/>
      <c r="I8" s="752"/>
      <c r="J8" s="752"/>
      <c r="K8" s="753"/>
      <c r="M8" s="499"/>
      <c r="N8" s="442"/>
      <c r="O8" s="76">
        <f t="shared" ca="1" si="1"/>
        <v>0</v>
      </c>
      <c r="P8" s="301"/>
      <c r="Q8" s="2"/>
      <c r="R8" s="2"/>
      <c r="S8" s="2"/>
      <c r="T8" s="2"/>
      <c r="U8" s="2"/>
      <c r="V8" s="2"/>
      <c r="W8" s="2"/>
      <c r="X8" s="2"/>
      <c r="Y8" s="2"/>
      <c r="Z8" s="2"/>
      <c r="AA8" s="2"/>
      <c r="AB8" s="76"/>
      <c r="AC8" s="78"/>
      <c r="AD8" s="2"/>
      <c r="AE8" s="2"/>
      <c r="AF8" s="2"/>
      <c r="AG8" s="2"/>
      <c r="AH8" s="2"/>
      <c r="AI8" s="2"/>
      <c r="AJ8" s="2"/>
      <c r="AK8" s="2"/>
      <c r="AL8" s="2"/>
      <c r="AM8" s="2"/>
      <c r="AN8" s="76"/>
      <c r="AO8" s="78"/>
      <c r="AP8" s="2"/>
      <c r="AQ8" s="2"/>
      <c r="AR8" s="2"/>
      <c r="AS8" s="2"/>
      <c r="AT8" s="2"/>
      <c r="AU8" s="2"/>
      <c r="AV8" s="2"/>
      <c r="AW8" s="2"/>
      <c r="AX8" s="2"/>
      <c r="AY8" s="2"/>
      <c r="AZ8" s="76"/>
      <c r="BA8" s="78"/>
      <c r="BB8" s="2"/>
      <c r="BC8" s="2"/>
      <c r="BD8" s="2"/>
      <c r="BE8" s="2"/>
      <c r="BF8" s="2"/>
      <c r="BG8" s="2"/>
      <c r="BH8" s="2"/>
      <c r="BI8" s="2"/>
      <c r="BJ8" s="2"/>
      <c r="BK8" s="2"/>
      <c r="BL8" s="131"/>
      <c r="BX8" s="131"/>
      <c r="CJ8" s="131"/>
      <c r="CV8" s="131"/>
      <c r="DH8" s="131"/>
      <c r="DT8" s="131"/>
    </row>
    <row r="9" spans="2:127" x14ac:dyDescent="0.25">
      <c r="B9" s="547" t="s">
        <v>35</v>
      </c>
      <c r="C9" s="548"/>
      <c r="D9" s="754"/>
      <c r="E9" s="754"/>
      <c r="F9" s="754"/>
      <c r="G9" s="755"/>
      <c r="H9" s="755">
        <v>321253.39</v>
      </c>
      <c r="I9" s="755"/>
      <c r="J9" s="755"/>
      <c r="K9" s="756"/>
      <c r="L9" s="757"/>
      <c r="M9" s="724"/>
      <c r="N9" s="549"/>
      <c r="O9" s="550">
        <f t="shared" ca="1" si="1"/>
        <v>10350</v>
      </c>
      <c r="P9" s="551" t="s">
        <v>587</v>
      </c>
      <c r="Q9" s="2"/>
      <c r="R9" s="2"/>
      <c r="S9" s="2"/>
      <c r="T9" s="2"/>
      <c r="U9" s="2"/>
      <c r="V9" s="2"/>
      <c r="W9" s="2"/>
      <c r="X9" s="2"/>
      <c r="Y9" s="2"/>
      <c r="Z9" s="2"/>
      <c r="AA9" s="2"/>
      <c r="AB9" s="76"/>
      <c r="AC9" s="78"/>
      <c r="AD9" s="2"/>
      <c r="AE9" s="2"/>
      <c r="AF9" s="2"/>
      <c r="AG9" s="2"/>
      <c r="AH9" s="2"/>
      <c r="AI9" s="2"/>
      <c r="AJ9" s="2"/>
      <c r="AK9" s="2"/>
      <c r="AL9" s="2"/>
      <c r="AM9" s="2"/>
      <c r="AN9" s="76"/>
      <c r="AO9" s="78"/>
      <c r="AP9" s="2"/>
      <c r="AQ9" s="2"/>
      <c r="AR9" s="2"/>
      <c r="AS9" s="2"/>
      <c r="AT9" s="2"/>
      <c r="AU9" s="312">
        <v>10000</v>
      </c>
      <c r="AV9" s="2"/>
      <c r="AW9" s="2"/>
      <c r="AX9" s="28">
        <v>350</v>
      </c>
      <c r="AY9" s="2"/>
      <c r="AZ9" s="76"/>
      <c r="BA9" s="78"/>
      <c r="BB9" s="2"/>
      <c r="BC9" s="2"/>
      <c r="BD9" s="2"/>
      <c r="BE9" s="2"/>
      <c r="BF9" s="2"/>
      <c r="BG9" s="2"/>
      <c r="BH9" s="2"/>
      <c r="BI9" s="2"/>
      <c r="BJ9" s="2"/>
      <c r="BK9" s="2"/>
      <c r="BL9" s="131"/>
      <c r="BX9" s="131"/>
      <c r="CJ9" s="131"/>
      <c r="CV9" s="131"/>
      <c r="DH9" s="131"/>
      <c r="DT9" s="131"/>
    </row>
    <row r="10" spans="2:127" x14ac:dyDescent="0.25">
      <c r="B10" s="8"/>
      <c r="C10" t="s">
        <v>588</v>
      </c>
      <c r="D10" s="751"/>
      <c r="E10" s="751"/>
      <c r="F10" s="751">
        <v>15000</v>
      </c>
      <c r="G10" s="751">
        <v>15000</v>
      </c>
      <c r="H10" s="751">
        <v>15000</v>
      </c>
      <c r="I10" s="751">
        <v>10000</v>
      </c>
      <c r="J10" s="752"/>
      <c r="K10" s="753"/>
      <c r="M10" s="499"/>
      <c r="N10" s="442"/>
      <c r="O10" s="2"/>
      <c r="P10" s="301"/>
      <c r="Q10" s="2"/>
      <c r="R10" s="2"/>
      <c r="S10" s="2"/>
      <c r="T10" s="2"/>
      <c r="U10" s="2"/>
      <c r="V10" s="2"/>
      <c r="W10" s="2"/>
      <c r="X10" s="2"/>
      <c r="Y10" s="2"/>
      <c r="Z10" s="2"/>
      <c r="AA10" s="2"/>
      <c r="AB10" s="76"/>
      <c r="AC10" s="78"/>
      <c r="AD10" s="2"/>
      <c r="AE10" s="2"/>
      <c r="AF10" s="2"/>
      <c r="AG10" s="2"/>
      <c r="AH10" s="2"/>
      <c r="AI10" s="2"/>
      <c r="AJ10" s="2"/>
      <c r="AK10" s="2"/>
      <c r="AL10" s="2"/>
      <c r="AM10" s="2"/>
      <c r="AN10" s="76"/>
      <c r="AO10" s="78"/>
      <c r="AP10" s="2"/>
      <c r="AQ10" s="2"/>
      <c r="AR10" s="2"/>
      <c r="AS10" s="2"/>
      <c r="AT10" s="2"/>
      <c r="AU10" s="312"/>
      <c r="AV10" s="2"/>
      <c r="AW10" s="2"/>
      <c r="AX10" s="28"/>
      <c r="AY10" s="2"/>
      <c r="AZ10" s="76"/>
      <c r="BA10" s="78"/>
      <c r="BB10" s="2"/>
      <c r="BC10" s="2"/>
      <c r="BD10" s="2"/>
      <c r="BE10" s="2"/>
      <c r="BF10" s="2"/>
      <c r="BG10" s="2"/>
      <c r="BH10" s="2"/>
      <c r="BI10" s="2"/>
      <c r="BJ10" s="2"/>
      <c r="BK10" s="2"/>
      <c r="BL10" s="131"/>
      <c r="BX10" s="131"/>
      <c r="CJ10" s="131"/>
      <c r="CV10" s="131"/>
      <c r="DH10" s="131"/>
      <c r="DT10" s="131"/>
    </row>
    <row r="11" spans="2:127" x14ac:dyDescent="0.25">
      <c r="B11" s="14" t="s">
        <v>205</v>
      </c>
      <c r="C11" s="15"/>
      <c r="D11" s="758"/>
      <c r="E11" s="758"/>
      <c r="F11" s="759"/>
      <c r="G11" s="760"/>
      <c r="H11" s="760"/>
      <c r="I11" s="760"/>
      <c r="J11" s="760"/>
      <c r="K11" s="761"/>
      <c r="L11" s="762"/>
      <c r="M11" s="725"/>
      <c r="N11" s="443"/>
      <c r="O11" s="376">
        <f t="shared" ca="1" si="1"/>
        <v>0</v>
      </c>
      <c r="P11" s="274"/>
      <c r="Q11" s="2"/>
      <c r="R11" s="2"/>
      <c r="S11" s="2"/>
      <c r="T11" s="2"/>
      <c r="U11" s="2"/>
      <c r="V11" s="2"/>
      <c r="W11" s="2"/>
      <c r="X11" s="2"/>
      <c r="Y11" s="2"/>
      <c r="Z11" s="2"/>
      <c r="AA11" s="2"/>
      <c r="AB11" s="76"/>
      <c r="AC11" s="78"/>
      <c r="AD11" s="2"/>
      <c r="AE11" s="2"/>
      <c r="AF11" s="2"/>
      <c r="AG11" s="2"/>
      <c r="AH11" s="2"/>
      <c r="AI11" s="2"/>
      <c r="AJ11" s="2"/>
      <c r="AK11" s="2"/>
      <c r="AL11" s="2"/>
      <c r="AM11" s="2"/>
      <c r="AN11" s="76"/>
      <c r="AO11" s="78"/>
      <c r="AP11" s="2"/>
      <c r="AQ11" s="2"/>
      <c r="AR11" s="2"/>
      <c r="AS11" s="2"/>
      <c r="AT11" s="2"/>
      <c r="AU11" s="2"/>
      <c r="AV11" s="2"/>
      <c r="AX11" s="2"/>
      <c r="AY11" s="2"/>
      <c r="AZ11" s="76"/>
      <c r="BA11" s="78"/>
      <c r="BB11" s="2"/>
      <c r="BC11" s="2"/>
      <c r="BD11" s="2"/>
      <c r="BE11" s="2"/>
      <c r="BF11" s="2"/>
      <c r="BG11" s="2"/>
      <c r="BH11" s="2"/>
      <c r="BI11" s="2"/>
      <c r="BJ11" s="2"/>
      <c r="BK11" s="2"/>
      <c r="BL11" s="131"/>
      <c r="BX11" s="131"/>
      <c r="CJ11" s="131"/>
      <c r="CV11" s="131"/>
      <c r="DH11" s="131"/>
      <c r="DT11" s="131"/>
    </row>
    <row r="12" spans="2:127" x14ac:dyDescent="0.25">
      <c r="B12" s="14" t="s">
        <v>40</v>
      </c>
      <c r="C12" s="15"/>
      <c r="D12" s="758">
        <v>658100</v>
      </c>
      <c r="E12" s="758">
        <v>658100</v>
      </c>
      <c r="F12" s="759">
        <v>658100</v>
      </c>
      <c r="G12" s="759">
        <v>637100</v>
      </c>
      <c r="H12" s="759">
        <f>G12+174036</f>
        <v>811136</v>
      </c>
      <c r="I12" s="759">
        <f>H12+14905.27</f>
        <v>826041.27</v>
      </c>
      <c r="J12" s="763">
        <v>450000</v>
      </c>
      <c r="K12" s="764"/>
      <c r="L12" s="765">
        <v>489968</v>
      </c>
      <c r="M12" s="696" t="s">
        <v>589</v>
      </c>
      <c r="N12" s="697" t="s">
        <v>590</v>
      </c>
      <c r="O12" s="140">
        <f ca="1">SUMIF($AT$3:$BQ$3,"&lt;"&amp;TODAY(),$AT12:$BQ12)</f>
        <v>476008.24</v>
      </c>
      <c r="P12" s="274" t="s">
        <v>105</v>
      </c>
      <c r="Q12" s="2"/>
      <c r="R12" s="2"/>
      <c r="S12" s="2"/>
      <c r="T12" s="2"/>
      <c r="U12" s="2"/>
      <c r="V12" s="2"/>
      <c r="W12" s="2"/>
      <c r="Y12" s="2"/>
      <c r="Z12" s="2"/>
      <c r="AA12" s="2"/>
      <c r="AB12" s="76"/>
      <c r="AC12" s="78"/>
      <c r="AD12" s="2"/>
      <c r="AE12" s="2"/>
      <c r="AF12" s="2"/>
      <c r="AG12" s="2"/>
      <c r="AH12" s="2"/>
      <c r="AI12" s="2"/>
      <c r="AK12" s="2"/>
      <c r="AL12" s="2"/>
      <c r="AM12" s="2"/>
      <c r="AN12" s="76"/>
      <c r="AO12" s="78"/>
      <c r="AP12" s="2"/>
      <c r="AQ12" s="2"/>
      <c r="AR12" s="2"/>
      <c r="AS12" s="2"/>
      <c r="AT12" s="288">
        <v>1638.75</v>
      </c>
      <c r="AU12" s="297">
        <v>11473</v>
      </c>
      <c r="AV12" s="288">
        <v>18641.45</v>
      </c>
      <c r="AW12" s="288">
        <v>20380</v>
      </c>
      <c r="AX12" s="288">
        <f>5005+20380</f>
        <v>25385</v>
      </c>
      <c r="AY12" s="354">
        <f>34807.14 + 5750</f>
        <v>40557.14</v>
      </c>
      <c r="AZ12" s="365">
        <v>34807</v>
      </c>
      <c r="BA12" s="28">
        <v>35089.43</v>
      </c>
      <c r="BB12" s="28">
        <v>44543.14</v>
      </c>
      <c r="BC12" s="28">
        <v>42153.64</v>
      </c>
      <c r="BD12" s="28">
        <f>42153.64+4755</f>
        <v>46908.639999999999</v>
      </c>
      <c r="BE12" s="323">
        <f>6500+42153.64+4755</f>
        <v>53408.639999999999</v>
      </c>
      <c r="BF12" s="28">
        <f>4253+1000+750+4500+34807.14+14905.27</f>
        <v>60215.41</v>
      </c>
      <c r="BG12" s="2">
        <v>40807</v>
      </c>
      <c r="BH12" s="2"/>
      <c r="BI12" s="2"/>
      <c r="BJ12" s="2"/>
      <c r="BK12" s="2"/>
      <c r="BL12" s="76"/>
      <c r="BM12" s="2"/>
      <c r="BN12" s="2"/>
      <c r="BX12" s="131"/>
      <c r="BY12" s="2"/>
      <c r="BZ12" s="2"/>
      <c r="CJ12" s="131"/>
      <c r="CK12" s="2"/>
      <c r="CL12" s="2"/>
      <c r="CV12" s="131"/>
      <c r="CW12" s="2"/>
      <c r="CX12" s="2"/>
      <c r="DH12" s="131"/>
      <c r="DI12" s="2"/>
      <c r="DJ12" s="2"/>
      <c r="DT12" s="131"/>
      <c r="DU12" s="2"/>
      <c r="DV12" s="2"/>
    </row>
    <row r="13" spans="2:127" x14ac:dyDescent="0.25">
      <c r="B13" s="24" t="s">
        <v>37</v>
      </c>
      <c r="C13" s="265" t="s">
        <v>212</v>
      </c>
      <c r="D13" s="766">
        <v>180000</v>
      </c>
      <c r="E13" s="766"/>
      <c r="F13" s="766">
        <v>31351</v>
      </c>
      <c r="G13" s="751"/>
      <c r="H13" s="766">
        <v>31351</v>
      </c>
      <c r="I13" s="751"/>
      <c r="J13" s="752">
        <v>36341</v>
      </c>
      <c r="K13" s="753"/>
      <c r="M13" s="499"/>
      <c r="N13" s="442"/>
      <c r="O13" s="76">
        <f ca="1">SUMIF($AT$3:$BQ$3,"&lt;"&amp;TODAY(),$AT13:$BQ13)</f>
        <v>0</v>
      </c>
      <c r="P13" s="302" t="s">
        <v>591</v>
      </c>
      <c r="Q13" s="2"/>
      <c r="R13" s="2"/>
      <c r="S13" s="2"/>
      <c r="T13" s="2"/>
      <c r="U13" s="2"/>
      <c r="V13" s="2"/>
      <c r="W13" s="2"/>
      <c r="Y13" s="2"/>
      <c r="Z13" s="2"/>
      <c r="AA13" s="2"/>
      <c r="AB13" s="76"/>
      <c r="AC13" s="78"/>
      <c r="AD13" s="2"/>
      <c r="AE13" s="2"/>
      <c r="AF13" s="2"/>
      <c r="AG13" s="2"/>
      <c r="AH13" s="2"/>
      <c r="AI13" s="2"/>
      <c r="AK13" s="2"/>
      <c r="AL13" s="2"/>
      <c r="AM13" s="2"/>
      <c r="AN13" s="76"/>
      <c r="AO13" s="78"/>
      <c r="AP13" s="2"/>
      <c r="AQ13" s="2"/>
      <c r="AR13" s="2"/>
      <c r="AS13" s="2"/>
      <c r="AT13" s="2"/>
      <c r="AU13" s="2"/>
      <c r="AW13" s="2"/>
      <c r="AX13" s="2"/>
      <c r="AY13" s="2"/>
      <c r="AZ13" s="76"/>
      <c r="BA13" s="78"/>
      <c r="BB13" s="2"/>
      <c r="BC13" s="2"/>
      <c r="BD13" s="2"/>
      <c r="BE13" s="2"/>
      <c r="BF13" s="2"/>
      <c r="BG13" s="2"/>
      <c r="BH13" s="2"/>
      <c r="BI13" s="2"/>
      <c r="BJ13" s="2"/>
      <c r="BK13" s="2"/>
      <c r="BL13" s="131"/>
      <c r="BX13" s="131"/>
      <c r="CJ13" s="131"/>
      <c r="CV13" s="131"/>
      <c r="DH13" s="131"/>
      <c r="DT13" s="131"/>
    </row>
    <row r="14" spans="2:127" x14ac:dyDescent="0.25">
      <c r="B14" s="8"/>
      <c r="C14" s="265" t="s">
        <v>212</v>
      </c>
      <c r="D14" s="751"/>
      <c r="E14" s="751"/>
      <c r="F14" s="752"/>
      <c r="G14" s="752"/>
      <c r="H14" s="751"/>
      <c r="I14" s="752"/>
      <c r="J14" s="745">
        <v>70000</v>
      </c>
      <c r="K14" s="753"/>
      <c r="M14" s="499"/>
      <c r="N14" s="442"/>
      <c r="O14" s="76"/>
      <c r="P14" s="307" t="s">
        <v>592</v>
      </c>
      <c r="Q14" s="2"/>
      <c r="R14" s="2"/>
      <c r="S14" s="2"/>
      <c r="T14" s="2"/>
      <c r="U14" s="2"/>
      <c r="V14" s="2"/>
      <c r="W14" s="2"/>
      <c r="Y14" s="2"/>
      <c r="Z14" s="2"/>
      <c r="AA14" s="2"/>
      <c r="AB14" s="76"/>
      <c r="AC14" s="78"/>
      <c r="AD14" s="2"/>
      <c r="AE14" s="2"/>
      <c r="AF14" s="2"/>
      <c r="AG14" s="2"/>
      <c r="AH14" s="2"/>
      <c r="AI14" s="2"/>
      <c r="AK14" s="2"/>
      <c r="AL14" s="2"/>
      <c r="AM14" s="2"/>
      <c r="AN14" s="76"/>
      <c r="AO14" s="78"/>
      <c r="AP14" s="2"/>
      <c r="AQ14" s="2"/>
      <c r="AR14" s="2"/>
      <c r="AS14" s="2"/>
      <c r="AT14" s="2"/>
      <c r="AU14" s="2"/>
      <c r="AW14" s="2"/>
      <c r="AX14" s="2"/>
      <c r="AY14" s="2"/>
      <c r="AZ14" s="76"/>
      <c r="BA14" s="78"/>
      <c r="BB14" s="2"/>
      <c r="BC14" s="2"/>
      <c r="BD14" s="2"/>
      <c r="BE14" s="2"/>
      <c r="BF14" s="2"/>
      <c r="BG14" s="2"/>
      <c r="BH14" s="2"/>
      <c r="BI14" s="2"/>
      <c r="BJ14" s="2"/>
      <c r="BK14" s="2"/>
      <c r="BL14" s="131"/>
      <c r="BX14" s="131"/>
      <c r="CJ14" s="131"/>
      <c r="CV14" s="131"/>
      <c r="DH14" s="131"/>
      <c r="DT14" s="131"/>
    </row>
    <row r="15" spans="2:127" x14ac:dyDescent="0.25">
      <c r="B15" s="8"/>
      <c r="C15" s="265" t="s">
        <v>212</v>
      </c>
      <c r="D15" s="751"/>
      <c r="E15" s="751"/>
      <c r="F15" s="752"/>
      <c r="G15" s="752"/>
      <c r="H15" s="751"/>
      <c r="I15" s="752"/>
      <c r="J15" s="745">
        <v>70000</v>
      </c>
      <c r="K15" s="753"/>
      <c r="M15" s="499"/>
      <c r="N15" s="442"/>
      <c r="O15" s="76"/>
      <c r="P15" s="307" t="s">
        <v>593</v>
      </c>
      <c r="Q15" s="2"/>
      <c r="R15" s="2"/>
      <c r="S15" s="2"/>
      <c r="T15" s="2"/>
      <c r="U15" s="2"/>
      <c r="V15" s="2"/>
      <c r="W15" s="2"/>
      <c r="Y15" s="2"/>
      <c r="Z15" s="2"/>
      <c r="AA15" s="2"/>
      <c r="AB15" s="76"/>
      <c r="AC15" s="78"/>
      <c r="AD15" s="2"/>
      <c r="AE15" s="2"/>
      <c r="AF15" s="2"/>
      <c r="AG15" s="2"/>
      <c r="AH15" s="2"/>
      <c r="AI15" s="2"/>
      <c r="AK15" s="2"/>
      <c r="AL15" s="2"/>
      <c r="AM15" s="2"/>
      <c r="AN15" s="76"/>
      <c r="AO15" s="78"/>
      <c r="AP15" s="2"/>
      <c r="AQ15" s="2"/>
      <c r="AR15" s="2"/>
      <c r="AS15" s="2"/>
      <c r="AT15" s="2"/>
      <c r="AU15" s="2"/>
      <c r="AW15" s="2"/>
      <c r="AX15" s="2"/>
      <c r="AY15" s="2"/>
      <c r="AZ15" s="76"/>
      <c r="BA15" s="78"/>
      <c r="BB15" s="2"/>
      <c r="BC15" s="2"/>
      <c r="BD15" s="2"/>
      <c r="BE15" s="2"/>
      <c r="BF15" s="2"/>
      <c r="BG15" s="2"/>
      <c r="BH15" s="2"/>
      <c r="BI15" s="2"/>
      <c r="BJ15" s="2"/>
      <c r="BK15" s="2"/>
      <c r="BL15" s="131"/>
      <c r="BX15" s="131"/>
      <c r="CJ15" s="131"/>
      <c r="CV15" s="131"/>
      <c r="DH15" s="131"/>
      <c r="DT15" s="131"/>
    </row>
    <row r="16" spans="2:127" x14ac:dyDescent="0.25">
      <c r="B16" s="13"/>
      <c r="C16" s="264" t="s">
        <v>39</v>
      </c>
      <c r="D16" s="767">
        <v>600000</v>
      </c>
      <c r="E16" s="767"/>
      <c r="F16" s="768"/>
      <c r="G16" s="768"/>
      <c r="H16" s="767">
        <v>600000</v>
      </c>
      <c r="I16" s="768"/>
      <c r="J16" s="768"/>
      <c r="K16" s="769"/>
      <c r="L16" s="770"/>
      <c r="M16" s="542"/>
      <c r="N16" s="445"/>
      <c r="O16" s="374">
        <f ca="1">SUMIF($AT$3:$BQ$3,"&lt;"&amp;TODAY(),$AT16:$BQ16)</f>
        <v>0</v>
      </c>
      <c r="P16" s="307" t="s">
        <v>39</v>
      </c>
      <c r="Q16" s="2"/>
      <c r="R16" s="2"/>
      <c r="S16" s="2"/>
      <c r="T16" s="2"/>
      <c r="U16" s="2"/>
      <c r="V16" s="2"/>
      <c r="W16" s="2"/>
      <c r="Y16" s="2"/>
      <c r="Z16" s="2"/>
      <c r="AA16" s="2"/>
      <c r="AB16" s="76"/>
      <c r="AC16" s="78"/>
      <c r="AD16" s="2"/>
      <c r="AE16" s="2"/>
      <c r="AF16" s="2"/>
      <c r="AG16" s="2"/>
      <c r="AH16" s="2"/>
      <c r="AI16" s="2"/>
      <c r="AK16" s="2"/>
      <c r="AL16" s="2"/>
      <c r="AM16" s="2"/>
      <c r="AN16" s="76"/>
      <c r="AO16" s="78"/>
      <c r="AP16" s="2"/>
      <c r="AQ16" s="2"/>
      <c r="AR16" s="2"/>
      <c r="AS16" s="2"/>
      <c r="AT16" s="2"/>
      <c r="AU16" s="2"/>
      <c r="AW16" s="2"/>
      <c r="AX16" s="2"/>
      <c r="AY16" s="2"/>
      <c r="AZ16" s="76"/>
      <c r="BA16" s="78"/>
      <c r="BB16" s="2"/>
      <c r="BC16" s="2"/>
      <c r="BD16" s="2"/>
      <c r="BE16" s="2"/>
      <c r="BF16" s="2"/>
      <c r="BG16" s="2"/>
      <c r="BH16" s="2"/>
      <c r="BI16" s="2"/>
      <c r="BJ16" s="2"/>
      <c r="BK16" s="2"/>
      <c r="BL16" s="131"/>
      <c r="BX16" s="131"/>
      <c r="CJ16" s="131"/>
      <c r="CV16" s="131"/>
      <c r="DH16" s="131"/>
      <c r="DT16" s="131"/>
    </row>
    <row r="17" spans="2:124" x14ac:dyDescent="0.25">
      <c r="B17" s="8" t="s">
        <v>288</v>
      </c>
      <c r="C17" t="s">
        <v>542</v>
      </c>
      <c r="D17" s="766">
        <v>1152</v>
      </c>
      <c r="E17" s="766">
        <v>1152</v>
      </c>
      <c r="F17" s="766">
        <v>1152</v>
      </c>
      <c r="G17" s="751"/>
      <c r="H17" s="766">
        <v>1152</v>
      </c>
      <c r="I17" s="751"/>
      <c r="J17" s="752"/>
      <c r="K17" s="753"/>
      <c r="M17" s="499"/>
      <c r="N17" s="442"/>
      <c r="O17" s="76">
        <f ca="1">SUMIF($AT$3:$BQ$3,"&lt;"&amp;TODAY(),$AT17:$BQ17)</f>
        <v>0</v>
      </c>
      <c r="P17" s="302" t="s">
        <v>543</v>
      </c>
      <c r="Q17" s="2"/>
      <c r="R17" s="2"/>
      <c r="S17" s="2"/>
      <c r="T17" s="2"/>
      <c r="U17" s="2"/>
      <c r="V17" s="2"/>
      <c r="W17" s="2"/>
      <c r="Y17" s="2"/>
      <c r="Z17" s="2"/>
      <c r="AA17" s="2"/>
      <c r="AB17" s="76"/>
      <c r="AC17" s="78"/>
      <c r="AD17" s="2"/>
      <c r="AE17" s="2"/>
      <c r="AF17" s="2"/>
      <c r="AG17" s="2"/>
      <c r="AH17" s="2"/>
      <c r="AI17" s="2"/>
      <c r="AK17" s="2"/>
      <c r="AL17" s="2"/>
      <c r="AM17" s="2"/>
      <c r="AN17" s="76"/>
      <c r="AO17" s="78"/>
      <c r="AP17" s="2"/>
      <c r="AQ17" s="2"/>
      <c r="AR17" s="2"/>
      <c r="AS17" s="2"/>
      <c r="AT17" s="2"/>
      <c r="AU17" s="2"/>
      <c r="AW17" s="2"/>
      <c r="AX17" s="2"/>
      <c r="AY17" s="2"/>
      <c r="AZ17" s="76"/>
      <c r="BA17" s="78"/>
      <c r="BB17" s="2"/>
      <c r="BC17" s="2"/>
      <c r="BD17" s="2"/>
      <c r="BE17" s="2"/>
      <c r="BF17" s="2"/>
      <c r="BG17" s="2"/>
      <c r="BH17" s="2"/>
      <c r="BI17" s="2"/>
      <c r="BJ17" s="2"/>
      <c r="BK17" s="2"/>
      <c r="BL17" s="131"/>
      <c r="BX17" s="131"/>
      <c r="CJ17" s="131"/>
      <c r="CV17" s="131"/>
      <c r="DH17" s="131"/>
      <c r="DT17" s="131"/>
    </row>
    <row r="18" spans="2:124" x14ac:dyDescent="0.25">
      <c r="B18" s="8"/>
      <c r="C18" t="s">
        <v>515</v>
      </c>
      <c r="D18" s="751">
        <v>10000</v>
      </c>
      <c r="E18" s="751">
        <v>8331.5</v>
      </c>
      <c r="F18" s="751">
        <v>8331.5</v>
      </c>
      <c r="G18" s="751"/>
      <c r="H18" s="751">
        <v>8331.5</v>
      </c>
      <c r="I18" s="751"/>
      <c r="J18" s="752"/>
      <c r="K18" s="753"/>
      <c r="M18" s="499"/>
      <c r="N18" s="442"/>
      <c r="O18" s="76"/>
      <c r="P18" s="5" t="s">
        <v>569</v>
      </c>
      <c r="Q18" s="2"/>
      <c r="R18" s="2"/>
      <c r="S18" s="2"/>
      <c r="T18" s="2"/>
      <c r="U18" s="2"/>
      <c r="V18" s="2"/>
      <c r="W18" s="2"/>
      <c r="Y18" s="2"/>
      <c r="Z18" s="2"/>
      <c r="AA18" s="2"/>
      <c r="AB18" s="76"/>
      <c r="AC18" s="78"/>
      <c r="AD18" s="2"/>
      <c r="AE18" s="2"/>
      <c r="AF18" s="2"/>
      <c r="AG18" s="2"/>
      <c r="AH18" s="2"/>
      <c r="AI18" s="2"/>
      <c r="AK18" s="2"/>
      <c r="AL18" s="2"/>
      <c r="AM18" s="2"/>
      <c r="AN18" s="76"/>
      <c r="AO18" s="78"/>
      <c r="AP18" s="2"/>
      <c r="AQ18" s="2"/>
      <c r="AR18" s="2"/>
      <c r="AS18" s="2"/>
      <c r="AT18" s="2"/>
      <c r="AU18" s="312">
        <v>8331.5</v>
      </c>
      <c r="AW18" s="2"/>
      <c r="AX18" s="2"/>
      <c r="AY18" s="2"/>
      <c r="AZ18" s="76"/>
      <c r="BA18" s="78"/>
      <c r="BB18" s="2"/>
      <c r="BC18" s="2"/>
      <c r="BD18" s="2"/>
      <c r="BE18" s="2"/>
      <c r="BF18" s="2"/>
      <c r="BG18" s="2"/>
      <c r="BH18" s="2"/>
      <c r="BI18" s="2"/>
      <c r="BJ18" s="2"/>
      <c r="BK18" s="2"/>
      <c r="BL18" s="131"/>
      <c r="BX18" s="131"/>
      <c r="CJ18" s="131"/>
      <c r="CV18" s="131"/>
      <c r="DH18" s="131"/>
      <c r="DT18" s="131"/>
    </row>
    <row r="19" spans="2:124" x14ac:dyDescent="0.25">
      <c r="B19" s="17"/>
      <c r="C19" s="6" t="s">
        <v>86</v>
      </c>
      <c r="D19" s="767">
        <v>1908</v>
      </c>
      <c r="E19" s="767">
        <v>1908</v>
      </c>
      <c r="F19" s="768">
        <f>1908+438.31</f>
        <v>2346.31</v>
      </c>
      <c r="G19" s="768"/>
      <c r="H19" s="768">
        <f>1908+438.31</f>
        <v>2346.31</v>
      </c>
      <c r="I19" s="768"/>
      <c r="J19" s="768"/>
      <c r="K19" s="769"/>
      <c r="L19" s="770"/>
      <c r="M19" s="542"/>
      <c r="N19" s="445"/>
      <c r="O19" s="374">
        <f ca="1">SUMIF($AT$3:$BQ$3,"&lt;"&amp;TODAY(),$AT19:$BQ19)</f>
        <v>10420.049999999999</v>
      </c>
      <c r="P19" s="275" t="s">
        <v>594</v>
      </c>
      <c r="Q19" s="2"/>
      <c r="R19" s="2"/>
      <c r="S19" s="2"/>
      <c r="T19" s="2"/>
      <c r="U19" s="2"/>
      <c r="V19" s="2"/>
      <c r="W19" s="2"/>
      <c r="Y19" s="2"/>
      <c r="Z19" s="2"/>
      <c r="AA19" s="2"/>
      <c r="AB19" s="76"/>
      <c r="AC19" s="78"/>
      <c r="AD19" s="2"/>
      <c r="AE19" s="2"/>
      <c r="AF19" s="2"/>
      <c r="AG19" s="2"/>
      <c r="AH19" s="2"/>
      <c r="AI19" s="2"/>
      <c r="AK19" s="2"/>
      <c r="AL19" s="2"/>
      <c r="AM19" s="2"/>
      <c r="AN19" s="76"/>
      <c r="AO19" s="78"/>
      <c r="AP19" s="2"/>
      <c r="AQ19" s="2"/>
      <c r="AR19" s="2"/>
      <c r="AS19" s="2"/>
      <c r="AT19" s="2"/>
      <c r="AU19" s="2"/>
      <c r="AW19" s="288">
        <v>660.05</v>
      </c>
      <c r="AX19" s="288">
        <v>9760</v>
      </c>
      <c r="AY19" s="2"/>
      <c r="AZ19" s="76"/>
      <c r="BA19" s="78"/>
      <c r="BB19" s="2"/>
      <c r="BC19" s="2"/>
      <c r="BD19" s="2"/>
      <c r="BE19" s="2"/>
      <c r="BF19" s="2"/>
      <c r="BG19" s="2"/>
      <c r="BH19" s="2"/>
      <c r="BI19" s="2"/>
      <c r="BJ19" s="2"/>
      <c r="BK19" s="2"/>
      <c r="BL19" s="131"/>
      <c r="BX19" s="131"/>
      <c r="CJ19" s="131"/>
      <c r="CV19" s="131"/>
      <c r="DH19" s="131"/>
      <c r="DT19" s="131"/>
    </row>
    <row r="20" spans="2:124" x14ac:dyDescent="0.25">
      <c r="B20" s="8" t="s">
        <v>42</v>
      </c>
      <c r="C20" t="s">
        <v>46</v>
      </c>
      <c r="D20" s="751">
        <v>100000</v>
      </c>
      <c r="E20" s="751"/>
      <c r="F20" s="751">
        <f>6750+3000+4500+4500+7500+2250+25440</f>
        <v>53940</v>
      </c>
      <c r="G20" s="751">
        <f>6750+3000+4500+4500+7500+2250+25440</f>
        <v>53940</v>
      </c>
      <c r="H20" s="751">
        <f>G20+8750</f>
        <v>62690</v>
      </c>
      <c r="I20" s="751">
        <f>H20+4590</f>
        <v>67280</v>
      </c>
      <c r="J20" s="752" t="s">
        <v>595</v>
      </c>
      <c r="K20" s="753"/>
      <c r="M20" s="696" t="s">
        <v>596</v>
      </c>
      <c r="N20" s="698" t="s">
        <v>597</v>
      </c>
      <c r="O20" s="76">
        <f ca="1">SUMIF($AT$3:$BQ$3,"&lt;"&amp;TODAY(),$AT20:$BQ20)</f>
        <v>34075</v>
      </c>
      <c r="P20" s="301" t="s">
        <v>545</v>
      </c>
      <c r="Q20" s="2"/>
      <c r="R20" s="2"/>
      <c r="S20" s="2"/>
      <c r="T20" s="2"/>
      <c r="U20" s="2"/>
      <c r="V20" s="2"/>
      <c r="W20" s="2"/>
      <c r="Y20" s="2"/>
      <c r="Z20" s="2"/>
      <c r="AA20" s="2"/>
      <c r="AB20" s="76"/>
      <c r="AC20" s="78"/>
      <c r="AD20" s="2"/>
      <c r="AE20" s="2"/>
      <c r="AF20" s="2"/>
      <c r="AG20" s="2"/>
      <c r="AH20" s="2"/>
      <c r="AI20" s="2"/>
      <c r="AK20" s="2"/>
      <c r="AL20" s="2"/>
      <c r="AM20" s="2"/>
      <c r="AN20" s="76"/>
      <c r="AO20" s="78"/>
      <c r="AP20" s="2"/>
      <c r="AQ20" s="2"/>
      <c r="AR20" s="2"/>
      <c r="AS20" s="2"/>
      <c r="AT20" s="2"/>
      <c r="AU20" s="2"/>
      <c r="AW20" s="2"/>
      <c r="AX20" s="2"/>
      <c r="AY20" s="2"/>
      <c r="AZ20" s="357">
        <f>3430+255</f>
        <v>3685</v>
      </c>
      <c r="BA20" s="78"/>
      <c r="BB20" s="28">
        <v>25440</v>
      </c>
      <c r="BC20" s="2"/>
      <c r="BD20" s="2"/>
      <c r="BE20" s="2"/>
      <c r="BF20" s="28">
        <v>4950</v>
      </c>
      <c r="BG20" s="2"/>
      <c r="BH20" s="2"/>
      <c r="BI20" s="2"/>
      <c r="BJ20" s="2"/>
      <c r="BK20" s="2"/>
      <c r="BL20" s="131"/>
      <c r="BX20" s="131"/>
      <c r="CJ20" s="131"/>
      <c r="CV20" s="131"/>
      <c r="DH20" s="131"/>
      <c r="DT20" s="131"/>
    </row>
    <row r="21" spans="2:124" x14ac:dyDescent="0.25">
      <c r="B21" s="8"/>
      <c r="C21" t="s">
        <v>48</v>
      </c>
      <c r="D21" s="751">
        <v>189000</v>
      </c>
      <c r="E21" s="751">
        <v>189000</v>
      </c>
      <c r="F21" s="751">
        <v>189000</v>
      </c>
      <c r="G21" s="751">
        <v>161325</v>
      </c>
      <c r="H21" s="759">
        <f>G21+38250</f>
        <v>199575</v>
      </c>
      <c r="I21" s="752">
        <f>H21+14421</f>
        <v>213996</v>
      </c>
      <c r="J21" s="752"/>
      <c r="K21" s="753"/>
      <c r="L21" s="429">
        <v>149658</v>
      </c>
      <c r="M21" s="726" t="s">
        <v>598</v>
      </c>
      <c r="N21" s="697" t="s">
        <v>590</v>
      </c>
      <c r="O21" s="76">
        <f ca="1">SUMIF($AT$3:$BQ$3,"&lt;"&amp;TODAY(),$AT21:$BQ21)</f>
        <v>141507.25</v>
      </c>
      <c r="P21" s="301" t="s">
        <v>105</v>
      </c>
      <c r="Q21" s="2"/>
      <c r="R21" s="2"/>
      <c r="S21" s="2"/>
      <c r="T21" s="2"/>
      <c r="U21" s="2"/>
      <c r="V21" s="2"/>
      <c r="W21" s="2"/>
      <c r="Y21" s="2"/>
      <c r="Z21" s="2"/>
      <c r="AA21" s="2"/>
      <c r="AB21" s="76"/>
      <c r="AC21" s="78"/>
      <c r="AD21" s="2"/>
      <c r="AE21" s="2"/>
      <c r="AF21" s="2"/>
      <c r="AG21" s="2"/>
      <c r="AH21" s="2"/>
      <c r="AI21" s="2"/>
      <c r="AK21" s="2"/>
      <c r="AL21" s="2"/>
      <c r="AM21" s="2"/>
      <c r="AN21" s="76"/>
      <c r="AO21" s="78"/>
      <c r="AP21" s="2"/>
      <c r="AQ21" s="2"/>
      <c r="AR21" s="2"/>
      <c r="AS21" s="2"/>
      <c r="AT21" s="2"/>
      <c r="AU21" s="2"/>
      <c r="AW21" s="2"/>
      <c r="AX21" s="288">
        <v>36609.75</v>
      </c>
      <c r="AY21" s="28">
        <v>160</v>
      </c>
      <c r="AZ21" s="76"/>
      <c r="BA21" s="78"/>
      <c r="BB21" s="28">
        <v>13950</v>
      </c>
      <c r="BC21" s="28">
        <v>6750</v>
      </c>
      <c r="BD21" s="28">
        <v>24075</v>
      </c>
      <c r="BE21" s="28">
        <f>24300+20812.5</f>
        <v>45112.5</v>
      </c>
      <c r="BF21" s="28">
        <f>13950+900</f>
        <v>14850</v>
      </c>
      <c r="BG21" s="2"/>
      <c r="BH21" s="2"/>
      <c r="BI21" s="2"/>
      <c r="BJ21" s="2"/>
      <c r="BK21" s="2"/>
      <c r="BL21" s="131"/>
      <c r="BX21" s="131"/>
      <c r="CJ21" s="131"/>
      <c r="CV21" s="131"/>
      <c r="DH21" s="131"/>
      <c r="DT21" s="131"/>
    </row>
    <row r="22" spans="2:124" x14ac:dyDescent="0.25">
      <c r="B22" s="8"/>
      <c r="C22" t="s">
        <v>548</v>
      </c>
      <c r="D22" s="751">
        <v>100000</v>
      </c>
      <c r="E22" s="751"/>
      <c r="F22" s="751">
        <v>100000</v>
      </c>
      <c r="G22" s="751">
        <v>100000</v>
      </c>
      <c r="H22" s="751">
        <v>100000</v>
      </c>
      <c r="I22" s="751">
        <v>100000</v>
      </c>
      <c r="J22" s="752"/>
      <c r="K22" s="753"/>
      <c r="M22" s="499" t="s">
        <v>373</v>
      </c>
      <c r="N22" s="442" t="s">
        <v>373</v>
      </c>
      <c r="O22" s="76">
        <f ca="1">SUMIF($AT$3:$BQ$3,"&lt;"&amp;TODAY(),$AT22:$BQ22)</f>
        <v>0</v>
      </c>
      <c r="P22" s="301" t="s">
        <v>549</v>
      </c>
      <c r="Q22" s="2"/>
      <c r="R22" s="2"/>
      <c r="S22" s="2"/>
      <c r="T22" s="2"/>
      <c r="U22" s="2"/>
      <c r="V22" s="2"/>
      <c r="W22" s="2"/>
      <c r="Y22" s="2"/>
      <c r="Z22" s="2"/>
      <c r="AA22" s="2"/>
      <c r="AB22" s="76"/>
      <c r="AC22" s="78"/>
      <c r="AD22" s="2"/>
      <c r="AE22" s="2"/>
      <c r="AF22" s="2"/>
      <c r="AG22" s="2"/>
      <c r="AH22" s="2"/>
      <c r="AI22" s="2"/>
      <c r="AK22" s="2"/>
      <c r="AL22" s="2"/>
      <c r="AM22" s="2"/>
      <c r="AN22" s="76"/>
      <c r="AO22" s="78"/>
      <c r="AP22" s="2"/>
      <c r="AQ22" s="2"/>
      <c r="AR22" s="2"/>
      <c r="AS22" s="2"/>
      <c r="AT22" s="2"/>
      <c r="AU22" s="2"/>
      <c r="AW22" s="2"/>
      <c r="AX22" s="2"/>
      <c r="AY22" s="2"/>
      <c r="AZ22" s="76"/>
      <c r="BA22" s="78"/>
      <c r="BB22" s="2"/>
      <c r="BC22" s="2"/>
      <c r="BD22" s="2"/>
      <c r="BE22" s="2"/>
      <c r="BF22" s="2"/>
      <c r="BG22" s="2"/>
      <c r="BH22" s="2"/>
      <c r="BI22" s="2"/>
      <c r="BJ22" s="2"/>
      <c r="BK22" s="2"/>
      <c r="BL22" s="131"/>
      <c r="BX22" s="131"/>
      <c r="CJ22" s="131"/>
      <c r="CV22" s="131"/>
      <c r="DH22" s="131"/>
      <c r="DT22" s="131"/>
    </row>
    <row r="23" spans="2:124" x14ac:dyDescent="0.25">
      <c r="B23" s="8"/>
      <c r="C23" t="s">
        <v>599</v>
      </c>
      <c r="D23" s="751"/>
      <c r="E23" s="751"/>
      <c r="F23" s="751"/>
      <c r="G23" s="751"/>
      <c r="H23" s="751"/>
      <c r="I23" s="751"/>
      <c r="J23" s="752"/>
      <c r="K23" s="753"/>
      <c r="M23" s="499"/>
      <c r="N23" s="442"/>
      <c r="O23" s="76"/>
      <c r="P23" s="301"/>
      <c r="Q23" s="2"/>
      <c r="R23" s="2"/>
      <c r="S23" s="2"/>
      <c r="T23" s="2"/>
      <c r="U23" s="2"/>
      <c r="V23" s="2"/>
      <c r="W23" s="2"/>
      <c r="Y23" s="2"/>
      <c r="Z23" s="2"/>
      <c r="AA23" s="2"/>
      <c r="AB23" s="76"/>
      <c r="AC23" s="78"/>
      <c r="AD23" s="2"/>
      <c r="AE23" s="2"/>
      <c r="AF23" s="2"/>
      <c r="AG23" s="2"/>
      <c r="AH23" s="2"/>
      <c r="AI23" s="2"/>
      <c r="AK23" s="2"/>
      <c r="AL23" s="2"/>
      <c r="AM23" s="2"/>
      <c r="AN23" s="76"/>
      <c r="AO23" s="78"/>
      <c r="AP23" s="2"/>
      <c r="AQ23" s="2"/>
      <c r="AR23" s="2"/>
      <c r="AS23" s="2"/>
      <c r="AT23" s="2"/>
      <c r="AU23" s="2"/>
      <c r="AW23" s="2"/>
      <c r="AX23" s="2"/>
      <c r="AY23" s="2"/>
      <c r="AZ23" s="76"/>
      <c r="BA23" s="78"/>
      <c r="BB23" s="2"/>
      <c r="BC23" s="2"/>
      <c r="BD23" s="2"/>
      <c r="BE23" s="2"/>
      <c r="BF23" s="2"/>
      <c r="BG23" s="2"/>
      <c r="BH23" s="2"/>
      <c r="BI23" s="2"/>
      <c r="BJ23" s="2"/>
      <c r="BK23" s="2"/>
      <c r="BL23" s="131"/>
      <c r="BX23" s="131"/>
      <c r="CJ23" s="131"/>
      <c r="CV23" s="131"/>
      <c r="DH23" s="131"/>
      <c r="DT23" s="131"/>
    </row>
    <row r="24" spans="2:124" x14ac:dyDescent="0.25">
      <c r="B24" s="8"/>
      <c r="C24" t="s">
        <v>53</v>
      </c>
      <c r="D24" s="751">
        <v>45000</v>
      </c>
      <c r="E24" s="751">
        <v>45000</v>
      </c>
      <c r="F24" s="751">
        <v>45000</v>
      </c>
      <c r="G24" s="751">
        <v>51920</v>
      </c>
      <c r="H24" s="751">
        <f>G24+4320</f>
        <v>56240</v>
      </c>
      <c r="I24" s="751">
        <f>H24+1495</f>
        <v>57735</v>
      </c>
      <c r="J24" s="752"/>
      <c r="K24" s="753"/>
      <c r="L24" s="429">
        <v>37109</v>
      </c>
      <c r="M24" s="726" t="s">
        <v>600</v>
      </c>
      <c r="N24" s="697" t="s">
        <v>590</v>
      </c>
      <c r="O24" s="76">
        <f ca="1">SUMIF($AT$3:$BQ$3,"&lt;"&amp;TODAY(),$AT24:$BQ24)</f>
        <v>37624.33</v>
      </c>
      <c r="P24" s="301" t="s">
        <v>105</v>
      </c>
      <c r="Q24" s="2"/>
      <c r="R24" s="2"/>
      <c r="S24" s="2"/>
      <c r="T24" s="2"/>
      <c r="U24" s="2"/>
      <c r="V24" s="2"/>
      <c r="W24" s="2"/>
      <c r="Y24" s="2"/>
      <c r="Z24" s="2"/>
      <c r="AA24" s="2"/>
      <c r="AB24" s="76"/>
      <c r="AC24" s="78"/>
      <c r="AD24" s="2"/>
      <c r="AE24" s="2"/>
      <c r="AF24" s="2"/>
      <c r="AG24" s="2"/>
      <c r="AH24" s="2"/>
      <c r="AI24" s="2"/>
      <c r="AK24" s="2"/>
      <c r="AL24" s="2"/>
      <c r="AM24" s="2"/>
      <c r="AN24" s="76"/>
      <c r="AO24" s="78"/>
      <c r="AP24" s="2"/>
      <c r="AQ24" s="2"/>
      <c r="AR24" s="2"/>
      <c r="AS24" s="2"/>
      <c r="AT24" s="2"/>
      <c r="AU24" s="2"/>
      <c r="AV24" s="297">
        <v>577</v>
      </c>
      <c r="AW24" s="288">
        <v>493.5</v>
      </c>
      <c r="AX24" s="2"/>
      <c r="AY24" s="288">
        <v>4574</v>
      </c>
      <c r="AZ24" s="354">
        <f>114+4664+2194.4</f>
        <v>6972.4</v>
      </c>
      <c r="BA24" s="411">
        <f>2194.4+1078.5</f>
        <v>3272.9</v>
      </c>
      <c r="BB24" s="28">
        <v>2295.5300000000002</v>
      </c>
      <c r="BC24" s="28">
        <f>7780+624</f>
        <v>8404</v>
      </c>
      <c r="BD24" s="28">
        <f>3890+1145</f>
        <v>5035</v>
      </c>
      <c r="BE24" s="28">
        <v>1000</v>
      </c>
      <c r="BF24" s="26">
        <f>3000+2000</f>
        <v>5000</v>
      </c>
      <c r="BG24" s="2"/>
      <c r="BH24" s="2"/>
      <c r="BI24" s="2"/>
      <c r="BJ24" s="2"/>
      <c r="BK24" s="2"/>
      <c r="BL24" s="131"/>
      <c r="BX24" s="131"/>
      <c r="CJ24" s="131"/>
      <c r="CV24" s="131"/>
      <c r="DH24" s="131"/>
      <c r="DT24" s="131"/>
    </row>
    <row r="25" spans="2:124" x14ac:dyDescent="0.25">
      <c r="B25" s="8"/>
      <c r="C25" t="s">
        <v>550</v>
      </c>
      <c r="D25" s="751">
        <v>300125</v>
      </c>
      <c r="E25" s="751">
        <v>273875</v>
      </c>
      <c r="F25" s="751">
        <v>273875</v>
      </c>
      <c r="G25" s="751">
        <v>273875</v>
      </c>
      <c r="H25" s="751">
        <f>G25+24530</f>
        <v>298405</v>
      </c>
      <c r="I25" s="751">
        <v>9485</v>
      </c>
      <c r="J25" s="745">
        <v>70000</v>
      </c>
      <c r="K25" s="753"/>
      <c r="L25" s="429">
        <v>151269</v>
      </c>
      <c r="M25" s="726" t="s">
        <v>598</v>
      </c>
      <c r="N25" s="697" t="s">
        <v>590</v>
      </c>
      <c r="O25" s="76">
        <f ca="1">SUMIF($AT$3:$BQ$3,"&lt;"&amp;TODAY(),$AT25:$BQ25)</f>
        <v>220311.02</v>
      </c>
      <c r="P25" s="301" t="s">
        <v>105</v>
      </c>
      <c r="Q25" s="2"/>
      <c r="R25" s="2"/>
      <c r="S25" s="2"/>
      <c r="T25" s="2"/>
      <c r="U25" s="2"/>
      <c r="V25" s="2"/>
      <c r="W25" s="2"/>
      <c r="Y25" s="2"/>
      <c r="Z25" s="2"/>
      <c r="AA25" s="2"/>
      <c r="AB25" s="76"/>
      <c r="AC25" s="78"/>
      <c r="AD25" s="2"/>
      <c r="AE25" s="2"/>
      <c r="AF25" s="2"/>
      <c r="AG25" s="2"/>
      <c r="AH25" s="2"/>
      <c r="AI25" s="2"/>
      <c r="AK25" s="2"/>
      <c r="AL25" s="2"/>
      <c r="AM25" s="2"/>
      <c r="AN25" s="76"/>
      <c r="AO25" s="78"/>
      <c r="AP25" s="2"/>
      <c r="AQ25" s="2"/>
      <c r="AR25" s="2"/>
      <c r="AS25" s="2"/>
      <c r="AT25" s="288">
        <v>4732.5</v>
      </c>
      <c r="AU25" s="297">
        <f>1985</f>
        <v>1985</v>
      </c>
      <c r="AV25" s="288">
        <v>11505</v>
      </c>
      <c r="AW25" s="288">
        <f>10593+5440.25</f>
        <v>16033.25</v>
      </c>
      <c r="AX25" s="288">
        <v>60860.61</v>
      </c>
      <c r="AY25" s="354">
        <f>13705+1200</f>
        <v>14905</v>
      </c>
      <c r="AZ25" s="365">
        <v>13785</v>
      </c>
      <c r="BA25" s="28">
        <v>15770.38</v>
      </c>
      <c r="BB25" s="28">
        <v>17090.5</v>
      </c>
      <c r="BC25" s="28">
        <f>2500+15485</f>
        <v>17985</v>
      </c>
      <c r="BD25" s="28">
        <f>2500+4000+2500</f>
        <v>9000</v>
      </c>
      <c r="BE25" s="26">
        <f>5357.5</f>
        <v>5357.5</v>
      </c>
      <c r="BF25" s="28">
        <f>2500+6950+10100+4801.28+6950</f>
        <v>31301.279999999999</v>
      </c>
      <c r="BG25" s="2"/>
      <c r="BH25" s="2"/>
      <c r="BI25" s="2"/>
      <c r="BJ25" s="2"/>
      <c r="BK25" s="2"/>
      <c r="BL25" s="131"/>
      <c r="BX25" s="131"/>
      <c r="CJ25" s="131"/>
      <c r="CV25" s="131"/>
      <c r="DH25" s="131"/>
      <c r="DT25" s="131"/>
    </row>
    <row r="26" spans="2:124" x14ac:dyDescent="0.25">
      <c r="B26" s="8"/>
      <c r="C26" t="s">
        <v>50</v>
      </c>
      <c r="D26" s="751">
        <v>500000</v>
      </c>
      <c r="E26" s="751"/>
      <c r="F26" s="751">
        <v>500000</v>
      </c>
      <c r="G26" s="751">
        <v>500000</v>
      </c>
      <c r="H26" s="751">
        <v>500000</v>
      </c>
      <c r="I26" s="751"/>
      <c r="J26" s="752"/>
      <c r="K26" s="753"/>
      <c r="L26" s="429">
        <f>68469+87400+9600+46813+3600+65438+6000</f>
        <v>287320</v>
      </c>
      <c r="M26" s="499"/>
      <c r="N26" s="698" t="s">
        <v>597</v>
      </c>
      <c r="O26" s="76">
        <f ca="1">SUMIF($AT$3:$BQ$3,"&lt;"&amp;TODAY(),$AU26:$BQ26)</f>
        <v>0</v>
      </c>
      <c r="P26" s="301" t="s">
        <v>601</v>
      </c>
      <c r="Q26" s="2"/>
      <c r="R26" s="2"/>
      <c r="S26" s="2"/>
      <c r="T26" s="2"/>
      <c r="U26" s="2"/>
      <c r="V26" s="2"/>
      <c r="W26" s="2"/>
      <c r="Y26" s="2"/>
      <c r="Z26" s="2"/>
      <c r="AA26" s="2"/>
      <c r="AB26" s="76"/>
      <c r="AC26" s="78"/>
      <c r="AD26" s="2"/>
      <c r="AE26" s="2"/>
      <c r="AF26" s="2"/>
      <c r="AG26" s="2"/>
      <c r="AH26" s="2"/>
      <c r="AI26" s="2"/>
      <c r="AK26" s="2"/>
      <c r="AL26" s="2"/>
      <c r="AM26" s="2"/>
      <c r="AN26" s="76"/>
      <c r="AO26" s="78"/>
      <c r="AP26" s="2"/>
      <c r="AQ26" s="2"/>
      <c r="AR26" s="2"/>
      <c r="AS26" s="2"/>
      <c r="AU26" s="2"/>
      <c r="AW26" s="2"/>
      <c r="AX26" s="2"/>
      <c r="AY26" s="2"/>
      <c r="AZ26" s="76"/>
      <c r="BA26" s="78"/>
      <c r="BB26" s="2"/>
      <c r="BC26" s="2"/>
      <c r="BD26" s="2"/>
      <c r="BE26" s="2"/>
      <c r="BF26" s="2"/>
      <c r="BG26" s="2"/>
      <c r="BH26" s="2"/>
      <c r="BI26" s="2"/>
      <c r="BJ26" s="2"/>
      <c r="BK26" s="2"/>
      <c r="BL26" s="131"/>
      <c r="BX26" s="131"/>
      <c r="CJ26" s="131"/>
      <c r="CV26" s="131"/>
      <c r="DH26" s="131"/>
      <c r="DT26" s="131"/>
    </row>
    <row r="27" spans="2:124" x14ac:dyDescent="0.25">
      <c r="B27" s="8"/>
      <c r="C27" t="s">
        <v>58</v>
      </c>
      <c r="D27" s="751">
        <v>290000</v>
      </c>
      <c r="E27" s="751">
        <v>290000</v>
      </c>
      <c r="F27" s="751">
        <v>290000</v>
      </c>
      <c r="G27" s="751">
        <v>333000</v>
      </c>
      <c r="H27" s="751">
        <f>G27+50500</f>
        <v>383500</v>
      </c>
      <c r="I27" s="751">
        <v>20500</v>
      </c>
      <c r="J27" s="745">
        <v>180500</v>
      </c>
      <c r="K27" s="753"/>
      <c r="L27" s="429">
        <v>284122</v>
      </c>
      <c r="M27" s="726" t="s">
        <v>602</v>
      </c>
      <c r="N27" s="697" t="s">
        <v>590</v>
      </c>
      <c r="O27" s="76">
        <f ca="1">SUMIF($AT$3:$BQ$3,"&lt;"&amp;TODAY(),$AU27:$BQ27)</f>
        <v>155239.15000000002</v>
      </c>
      <c r="P27" s="301" t="s">
        <v>105</v>
      </c>
      <c r="Q27" s="2"/>
      <c r="R27" s="2"/>
      <c r="S27" s="2"/>
      <c r="T27" s="2"/>
      <c r="U27" s="2"/>
      <c r="V27" s="2"/>
      <c r="W27" s="2"/>
      <c r="Y27" s="2"/>
      <c r="Z27" s="2"/>
      <c r="AA27" s="2"/>
      <c r="AB27" s="76"/>
      <c r="AC27" s="78"/>
      <c r="AD27" s="2"/>
      <c r="AE27" s="2"/>
      <c r="AF27" s="2"/>
      <c r="AG27" s="2"/>
      <c r="AH27" s="2"/>
      <c r="AI27" s="2"/>
      <c r="AK27" s="2"/>
      <c r="AL27" s="2"/>
      <c r="AM27" s="2"/>
      <c r="AN27" s="76"/>
      <c r="AO27" s="78"/>
      <c r="AP27" s="2"/>
      <c r="AQ27" s="2"/>
      <c r="AR27" s="2"/>
      <c r="AS27" s="2"/>
      <c r="AU27" s="288">
        <v>3634.5</v>
      </c>
      <c r="AV27" s="297">
        <v>3594</v>
      </c>
      <c r="AW27" s="288">
        <v>5780</v>
      </c>
      <c r="AX27" s="2"/>
      <c r="AY27" s="288">
        <f>20803.17+250</f>
        <v>21053.17</v>
      </c>
      <c r="AZ27" s="369">
        <f>4000+3080+4493-1000+500</f>
        <v>11073</v>
      </c>
      <c r="BA27" s="430">
        <f>4493-1000+500+2750+290</f>
        <v>7033</v>
      </c>
      <c r="BB27" s="28">
        <f>21435.93-BB28</f>
        <v>16685.93</v>
      </c>
      <c r="BC27" s="2"/>
      <c r="BD27" s="28">
        <f>1037.5+7630+2500+8300</f>
        <v>19467.5</v>
      </c>
      <c r="BE27" s="28">
        <f>1037.5+2500+13800+1038+4500+2500+4200+4905.05+2400</f>
        <v>36880.550000000003</v>
      </c>
      <c r="BF27" s="28">
        <f>2500+2000+1037.5+2000+4500+14000+4000</f>
        <v>30037.5</v>
      </c>
      <c r="BH27" s="2"/>
      <c r="BI27" s="2"/>
      <c r="BJ27" s="2"/>
      <c r="BK27" s="2"/>
      <c r="BL27" s="131"/>
      <c r="BX27" s="131"/>
      <c r="CJ27" s="131"/>
      <c r="CV27" s="131"/>
      <c r="DH27" s="131"/>
      <c r="DT27" s="131"/>
    </row>
    <row r="28" spans="2:124" x14ac:dyDescent="0.25">
      <c r="B28" s="8"/>
      <c r="C28" t="s">
        <v>57</v>
      </c>
      <c r="D28" s="751">
        <v>55000</v>
      </c>
      <c r="E28" s="751">
        <v>55000</v>
      </c>
      <c r="F28" s="751">
        <v>55000</v>
      </c>
      <c r="G28" s="751">
        <v>56100</v>
      </c>
      <c r="H28" s="751">
        <f>G28+12000</f>
        <v>68100</v>
      </c>
      <c r="I28" s="751">
        <v>5500</v>
      </c>
      <c r="J28" s="752"/>
      <c r="K28" s="753"/>
      <c r="M28" s="726" t="s">
        <v>602</v>
      </c>
      <c r="N28" s="697" t="s">
        <v>590</v>
      </c>
      <c r="O28" s="76">
        <f ca="1">SUMIF($AT$3:$BQ$3,"&lt;"&amp;TODAY(),$AT28:$BQ28)</f>
        <v>31750</v>
      </c>
      <c r="P28" s="301" t="s">
        <v>105</v>
      </c>
      <c r="Q28" s="2"/>
      <c r="R28" s="2"/>
      <c r="S28" s="2"/>
      <c r="T28" s="2"/>
      <c r="U28" s="2"/>
      <c r="V28" s="2"/>
      <c r="W28" s="2"/>
      <c r="Y28" s="2"/>
      <c r="Z28" s="2"/>
      <c r="AA28" s="2"/>
      <c r="AB28" s="76"/>
      <c r="AC28" s="78"/>
      <c r="AD28" s="2"/>
      <c r="AE28" s="2"/>
      <c r="AF28" s="2"/>
      <c r="AG28" s="2"/>
      <c r="AH28" s="2"/>
      <c r="AI28" s="2"/>
      <c r="AK28" s="2"/>
      <c r="AL28" s="2"/>
      <c r="AM28" s="2"/>
      <c r="AN28" s="76"/>
      <c r="AO28" s="78"/>
      <c r="AP28" s="2"/>
      <c r="AQ28" s="2"/>
      <c r="AR28" s="2"/>
      <c r="AS28" s="2"/>
      <c r="AT28" s="2"/>
      <c r="AU28" s="2"/>
      <c r="AW28" s="2"/>
      <c r="AX28" s="2"/>
      <c r="AY28" s="2"/>
      <c r="AZ28" s="369">
        <f>4000+1000+500</f>
        <v>5500</v>
      </c>
      <c r="BA28" s="130">
        <f>2250+5000</f>
        <v>7250</v>
      </c>
      <c r="BB28" s="28">
        <f>1250+1500+2000</f>
        <v>4750</v>
      </c>
      <c r="BC28" s="2"/>
      <c r="BD28" s="28">
        <f>2250+2500</f>
        <v>4750</v>
      </c>
      <c r="BE28" s="28">
        <f>3000+2000</f>
        <v>5000</v>
      </c>
      <c r="BF28" s="28">
        <f>2000+2500</f>
        <v>4500</v>
      </c>
      <c r="BG28" s="2"/>
      <c r="BH28" s="2"/>
      <c r="BI28" s="2"/>
      <c r="BJ28" s="2"/>
      <c r="BK28" s="2"/>
      <c r="BL28" s="131"/>
      <c r="BX28" s="131"/>
      <c r="CJ28" s="131"/>
      <c r="CV28" s="131"/>
      <c r="DH28" s="131"/>
      <c r="DT28" s="131"/>
    </row>
    <row r="29" spans="2:124" x14ac:dyDescent="0.25">
      <c r="B29" s="8"/>
      <c r="C29" t="s">
        <v>47</v>
      </c>
      <c r="D29" s="751">
        <v>15000</v>
      </c>
      <c r="E29" s="751">
        <v>14840</v>
      </c>
      <c r="F29" s="751">
        <f>4750+1920+3520+6000+880+2200+880</f>
        <v>20150</v>
      </c>
      <c r="G29" s="751">
        <f>3000+F29</f>
        <v>23150</v>
      </c>
      <c r="H29" s="751">
        <f>G29+3000</f>
        <v>26150</v>
      </c>
      <c r="I29" s="751">
        <f>H29+3000</f>
        <v>29150</v>
      </c>
      <c r="J29" s="752">
        <v>20000</v>
      </c>
      <c r="K29" s="753">
        <f>AT29+AY29</f>
        <v>7050</v>
      </c>
      <c r="L29" s="429">
        <v>27200</v>
      </c>
      <c r="M29" s="696" t="s">
        <v>603</v>
      </c>
      <c r="N29" s="698" t="s">
        <v>597</v>
      </c>
      <c r="O29" s="76">
        <f ca="1">SUMIF($AT$3:$BQ$3,"&lt;"&amp;TODAY(),$AT29:$BQ29)</f>
        <v>26131.84</v>
      </c>
      <c r="P29" s="301" t="s">
        <v>604</v>
      </c>
      <c r="Q29" s="2"/>
      <c r="R29" s="2"/>
      <c r="S29" s="2"/>
      <c r="T29" s="2"/>
      <c r="U29" s="2"/>
      <c r="V29" s="2"/>
      <c r="W29" s="2"/>
      <c r="Y29" s="2"/>
      <c r="Z29" s="2"/>
      <c r="AA29" s="2"/>
      <c r="AB29" s="76"/>
      <c r="AC29" s="78"/>
      <c r="AD29" s="2"/>
      <c r="AE29" s="2"/>
      <c r="AF29" s="2"/>
      <c r="AG29" s="2"/>
      <c r="AH29" s="2"/>
      <c r="AI29" s="2"/>
      <c r="AK29" s="2"/>
      <c r="AL29" s="2"/>
      <c r="AM29" s="2"/>
      <c r="AN29" s="76"/>
      <c r="AO29" s="78"/>
      <c r="AP29" s="2"/>
      <c r="AQ29" s="2"/>
      <c r="AR29" s="2"/>
      <c r="AS29" s="2"/>
      <c r="AT29" s="297">
        <v>2100</v>
      </c>
      <c r="AU29" s="2"/>
      <c r="AW29" s="2"/>
      <c r="AX29" s="2"/>
      <c r="AY29" s="288">
        <v>4950</v>
      </c>
      <c r="AZ29" s="76"/>
      <c r="BA29" s="78"/>
      <c r="BB29" s="28">
        <f>10720+2300</f>
        <v>13020</v>
      </c>
      <c r="BC29" s="28">
        <v>2670</v>
      </c>
      <c r="BD29" s="28">
        <f>237.5+1154.34</f>
        <v>1391.84</v>
      </c>
      <c r="BE29" s="28">
        <f>2000</f>
        <v>2000</v>
      </c>
      <c r="BF29" s="2"/>
      <c r="BG29" s="2"/>
      <c r="BH29" s="2"/>
      <c r="BI29" s="2"/>
      <c r="BJ29" s="2"/>
      <c r="BK29" s="2"/>
      <c r="BL29" s="131"/>
      <c r="BX29" s="131"/>
      <c r="CJ29" s="131"/>
      <c r="CV29" s="131"/>
      <c r="DH29" s="131"/>
      <c r="DT29" s="131"/>
    </row>
    <row r="30" spans="2:124" x14ac:dyDescent="0.25">
      <c r="B30" s="8"/>
      <c r="C30" t="s">
        <v>605</v>
      </c>
      <c r="D30" s="751"/>
      <c r="E30" s="751"/>
      <c r="F30" s="751">
        <f>4000+8720</f>
        <v>12720</v>
      </c>
      <c r="G30" s="751"/>
      <c r="H30" s="752"/>
      <c r="I30" s="786" t="s">
        <v>595</v>
      </c>
      <c r="J30" s="752"/>
      <c r="K30" s="753"/>
      <c r="M30" s="499" t="s">
        <v>606</v>
      </c>
      <c r="N30" s="698" t="s">
        <v>597</v>
      </c>
      <c r="O30" s="76">
        <f ca="1">SUMIF($AT$3:$BQ$3,"&lt;"&amp;TODAY(),$AT30:$BQ30)</f>
        <v>1500</v>
      </c>
      <c r="P30" s="301" t="s">
        <v>604</v>
      </c>
      <c r="Q30" s="2"/>
      <c r="R30" s="2"/>
      <c r="S30" s="2"/>
      <c r="T30" s="2"/>
      <c r="U30" s="2"/>
      <c r="V30" s="2"/>
      <c r="W30" s="2"/>
      <c r="Y30" s="2"/>
      <c r="Z30" s="2"/>
      <c r="AA30" s="2"/>
      <c r="AB30" s="76"/>
      <c r="AC30" s="78"/>
      <c r="AD30" s="2"/>
      <c r="AE30" s="2"/>
      <c r="AF30" s="2"/>
      <c r="AG30" s="2"/>
      <c r="AH30" s="2"/>
      <c r="AI30" s="2"/>
      <c r="AK30" s="2"/>
      <c r="AL30" s="2"/>
      <c r="AM30" s="2"/>
      <c r="AN30" s="76"/>
      <c r="AO30" s="78"/>
      <c r="AP30" s="2"/>
      <c r="AQ30" s="2"/>
      <c r="AR30" s="2"/>
      <c r="AS30" s="2"/>
      <c r="AU30" s="2"/>
      <c r="AW30" s="2"/>
      <c r="AX30" s="2"/>
      <c r="AY30" s="363"/>
      <c r="AZ30" s="76"/>
      <c r="BA30" s="78"/>
      <c r="BB30" s="2"/>
      <c r="BC30" s="2"/>
      <c r="BD30" s="2"/>
      <c r="BE30" s="2"/>
      <c r="BF30" s="28">
        <v>1500</v>
      </c>
      <c r="BG30" s="2"/>
      <c r="BH30" s="2"/>
      <c r="BI30" s="2"/>
      <c r="BJ30" s="2"/>
      <c r="BK30" s="2"/>
      <c r="BL30" s="131"/>
      <c r="BX30" s="131"/>
      <c r="CJ30" s="131"/>
      <c r="CV30" s="131"/>
      <c r="DH30" s="131"/>
      <c r="DT30" s="131"/>
    </row>
    <row r="31" spans="2:124" x14ac:dyDescent="0.25">
      <c r="B31" s="8"/>
      <c r="C31" t="s">
        <v>44</v>
      </c>
      <c r="D31" s="751">
        <v>51300</v>
      </c>
      <c r="E31" s="751">
        <v>51300</v>
      </c>
      <c r="F31" s="751">
        <v>51300</v>
      </c>
      <c r="G31" s="751">
        <f>143300+16100</f>
        <v>159400</v>
      </c>
      <c r="H31" s="759">
        <f>G31+25817+4288</f>
        <v>189505</v>
      </c>
      <c r="I31" s="752">
        <f>H31+14421</f>
        <v>203926</v>
      </c>
      <c r="J31" s="752">
        <f>10500+30100</f>
        <v>40600</v>
      </c>
      <c r="K31" s="753"/>
      <c r="M31" s="726" t="s">
        <v>607</v>
      </c>
      <c r="N31" s="697" t="s">
        <v>590</v>
      </c>
      <c r="O31" s="76">
        <f ca="1">SUMIF($AT$3:$BQ$3,"&lt;"&amp;TODAY(),$AT31:$BQ31)</f>
        <v>56629.75</v>
      </c>
      <c r="P31" s="301" t="s">
        <v>608</v>
      </c>
      <c r="Q31" s="2"/>
      <c r="R31" s="2"/>
      <c r="S31" s="2"/>
      <c r="T31" s="2"/>
      <c r="U31" s="2"/>
      <c r="V31" s="2"/>
      <c r="W31" s="2"/>
      <c r="Y31" s="2"/>
      <c r="Z31" s="2"/>
      <c r="AA31" s="2"/>
      <c r="AB31" s="76"/>
      <c r="AC31" s="78"/>
      <c r="AD31" s="2"/>
      <c r="AE31" s="2"/>
      <c r="AF31" s="2"/>
      <c r="AG31" s="2"/>
      <c r="AH31" s="2"/>
      <c r="AI31" s="2"/>
      <c r="AK31" s="2"/>
      <c r="AL31" s="2"/>
      <c r="AM31" s="2"/>
      <c r="AN31" s="76"/>
      <c r="AO31" s="78"/>
      <c r="AP31" s="2"/>
      <c r="AQ31" s="2"/>
      <c r="AR31" s="2"/>
      <c r="AS31" s="2"/>
      <c r="AT31" s="2"/>
      <c r="AU31" s="2"/>
      <c r="AW31" s="2"/>
      <c r="AX31" s="2"/>
      <c r="AY31" s="2"/>
      <c r="AZ31" s="76"/>
      <c r="BA31" s="78"/>
      <c r="BB31" s="28">
        <v>1869.92</v>
      </c>
      <c r="BC31" s="2"/>
      <c r="BD31" s="2"/>
      <c r="BE31" s="28">
        <f>15144.31+17088.83</f>
        <v>32233.14</v>
      </c>
      <c r="BF31" s="28">
        <v>22526.69</v>
      </c>
      <c r="BG31" s="2"/>
      <c r="BH31" s="2"/>
      <c r="BI31" s="2"/>
      <c r="BJ31" s="2"/>
      <c r="BK31" s="2"/>
      <c r="BL31" s="131"/>
      <c r="BX31" s="131"/>
      <c r="CJ31" s="131"/>
      <c r="CV31" s="131"/>
      <c r="DH31" s="131"/>
      <c r="DT31" s="131"/>
    </row>
    <row r="32" spans="2:124" x14ac:dyDescent="0.25">
      <c r="B32" s="8"/>
      <c r="C32" t="s">
        <v>609</v>
      </c>
      <c r="D32" s="751">
        <v>150000</v>
      </c>
      <c r="E32" s="751">
        <v>145260</v>
      </c>
      <c r="F32" s="751">
        <v>123420</v>
      </c>
      <c r="G32" s="751">
        <v>123420</v>
      </c>
      <c r="H32" s="751">
        <f>G32+9137</f>
        <v>132557</v>
      </c>
      <c r="I32" s="751">
        <f>H32+5798</f>
        <v>138355</v>
      </c>
      <c r="J32" s="752" t="s">
        <v>610</v>
      </c>
      <c r="K32" s="753"/>
      <c r="L32" s="429">
        <v>138355</v>
      </c>
      <c r="M32" s="696" t="s">
        <v>611</v>
      </c>
      <c r="N32" s="698" t="s">
        <v>597</v>
      </c>
      <c r="O32" s="76">
        <f t="shared" ref="O32:O44" ca="1" si="3">SUMIF($AT$3:$BQ$3,"&lt;"&amp;TODAY(),$AT32:$BQ32)</f>
        <v>24622.34</v>
      </c>
      <c r="P32" s="301" t="s">
        <v>612</v>
      </c>
      <c r="Q32" s="2"/>
      <c r="R32" s="2"/>
      <c r="S32" s="2"/>
      <c r="T32" s="2"/>
      <c r="U32" s="2"/>
      <c r="V32" s="2"/>
      <c r="W32" s="2"/>
      <c r="Y32" s="2"/>
      <c r="Z32" s="2"/>
      <c r="AA32" s="2"/>
      <c r="AB32" s="76"/>
      <c r="AC32" s="78"/>
      <c r="AD32" s="2"/>
      <c r="AE32" s="2"/>
      <c r="AF32" s="2"/>
      <c r="AG32" s="2"/>
      <c r="AH32" s="2"/>
      <c r="AI32" s="2"/>
      <c r="AK32" s="2"/>
      <c r="AL32" s="2"/>
      <c r="AM32" s="2"/>
      <c r="AN32" s="76"/>
      <c r="AO32" s="78"/>
      <c r="AP32" s="2"/>
      <c r="AQ32" s="2"/>
      <c r="AR32" s="2"/>
      <c r="AS32" s="2"/>
      <c r="AT32" s="2"/>
      <c r="AU32" s="2"/>
      <c r="AW32" s="2"/>
      <c r="AX32" s="2"/>
      <c r="AY32" s="2"/>
      <c r="AZ32" s="354">
        <f>3144.4+2560.19</f>
        <v>5704.59</v>
      </c>
      <c r="BA32" s="78"/>
      <c r="BB32" s="2"/>
      <c r="BC32" s="2"/>
      <c r="BD32" s="28">
        <v>13032.25</v>
      </c>
      <c r="BE32" s="26">
        <v>5885.5</v>
      </c>
      <c r="BG32" s="2"/>
      <c r="BH32" s="2"/>
      <c r="BI32" s="2"/>
      <c r="BJ32" s="2"/>
      <c r="BK32" s="2"/>
      <c r="BL32" s="131"/>
      <c r="BX32" s="131"/>
      <c r="CJ32" s="131"/>
      <c r="CV32" s="131"/>
      <c r="DH32" s="131"/>
      <c r="DT32" s="131"/>
    </row>
    <row r="33" spans="2:124" x14ac:dyDescent="0.25">
      <c r="B33" s="8"/>
      <c r="C33" t="s">
        <v>613</v>
      </c>
      <c r="D33" s="751"/>
      <c r="E33" s="751"/>
      <c r="F33" s="751"/>
      <c r="G33" s="751">
        <v>14000</v>
      </c>
      <c r="H33" s="751">
        <v>14450</v>
      </c>
      <c r="I33" s="786" t="s">
        <v>595</v>
      </c>
      <c r="J33" s="752"/>
      <c r="K33" s="753"/>
      <c r="L33" s="429">
        <v>17340</v>
      </c>
      <c r="M33" s="499" t="s">
        <v>614</v>
      </c>
      <c r="N33" s="698" t="s">
        <v>597</v>
      </c>
      <c r="O33" s="76"/>
      <c r="P33" s="301" t="s">
        <v>615</v>
      </c>
      <c r="Q33" s="2"/>
      <c r="R33" s="2"/>
      <c r="S33" s="2"/>
      <c r="T33" s="2"/>
      <c r="U33" s="2"/>
      <c r="V33" s="2"/>
      <c r="W33" s="2"/>
      <c r="Y33" s="2"/>
      <c r="Z33" s="2"/>
      <c r="AA33" s="2"/>
      <c r="AB33" s="76"/>
      <c r="AC33" s="78"/>
      <c r="AD33" s="2"/>
      <c r="AE33" s="2"/>
      <c r="AF33" s="2"/>
      <c r="AG33" s="2"/>
      <c r="AH33" s="2"/>
      <c r="AI33" s="2"/>
      <c r="AK33" s="2"/>
      <c r="AL33" s="2"/>
      <c r="AM33" s="2"/>
      <c r="AN33" s="76"/>
      <c r="AO33" s="78"/>
      <c r="AP33" s="2"/>
      <c r="AQ33" s="2"/>
      <c r="AR33" s="2"/>
      <c r="AS33" s="2"/>
      <c r="AT33" s="2"/>
      <c r="AU33" s="2"/>
      <c r="AW33" s="2"/>
      <c r="AX33" s="2"/>
      <c r="AY33" s="2"/>
      <c r="AZ33" s="354"/>
      <c r="BA33" s="78"/>
      <c r="BB33" s="2"/>
      <c r="BC33" s="2"/>
      <c r="BD33" s="2"/>
      <c r="BE33" s="2"/>
      <c r="BF33" s="2"/>
      <c r="BG33" s="2"/>
      <c r="BH33" s="2"/>
      <c r="BI33" s="2"/>
      <c r="BJ33" s="2"/>
      <c r="BK33" s="2"/>
      <c r="BL33" s="131"/>
      <c r="BX33" s="131"/>
      <c r="CJ33" s="131"/>
      <c r="CV33" s="131"/>
      <c r="DH33" s="131"/>
      <c r="DT33" s="131"/>
    </row>
    <row r="34" spans="2:124" x14ac:dyDescent="0.25">
      <c r="B34" s="8"/>
      <c r="C34" t="s">
        <v>616</v>
      </c>
      <c r="D34" s="751"/>
      <c r="E34" s="751"/>
      <c r="F34" s="751"/>
      <c r="G34" s="751">
        <v>17000</v>
      </c>
      <c r="H34" s="751">
        <v>17830</v>
      </c>
      <c r="I34" s="786" t="s">
        <v>595</v>
      </c>
      <c r="J34" s="752"/>
      <c r="K34" s="753"/>
      <c r="L34" s="429">
        <v>21396</v>
      </c>
      <c r="M34" s="499" t="s">
        <v>617</v>
      </c>
      <c r="N34" s="698" t="s">
        <v>597</v>
      </c>
      <c r="O34" s="76"/>
      <c r="P34" s="301" t="s">
        <v>618</v>
      </c>
      <c r="Q34" s="2"/>
      <c r="R34" s="2"/>
      <c r="S34" s="2"/>
      <c r="T34" s="2"/>
      <c r="U34" s="2"/>
      <c r="V34" s="2"/>
      <c r="W34" s="2"/>
      <c r="Y34" s="2"/>
      <c r="Z34" s="2"/>
      <c r="AA34" s="2"/>
      <c r="AB34" s="76"/>
      <c r="AC34" s="78"/>
      <c r="AD34" s="2"/>
      <c r="AE34" s="2"/>
      <c r="AF34" s="2"/>
      <c r="AG34" s="2"/>
      <c r="AH34" s="2"/>
      <c r="AI34" s="2"/>
      <c r="AK34" s="2"/>
      <c r="AL34" s="2"/>
      <c r="AM34" s="2"/>
      <c r="AN34" s="76"/>
      <c r="AO34" s="78"/>
      <c r="AP34" s="2"/>
      <c r="AQ34" s="2"/>
      <c r="AR34" s="2"/>
      <c r="AS34" s="2"/>
      <c r="AT34" s="2"/>
      <c r="AU34" s="2"/>
      <c r="AW34" s="2"/>
      <c r="AX34" s="2"/>
      <c r="AY34" s="2"/>
      <c r="AZ34" s="354"/>
      <c r="BA34" s="78"/>
      <c r="BB34" s="2"/>
      <c r="BC34" s="2"/>
      <c r="BD34" s="2"/>
      <c r="BE34" s="2"/>
      <c r="BF34" s="2"/>
      <c r="BG34" s="2"/>
      <c r="BH34" s="2"/>
      <c r="BI34" s="2"/>
      <c r="BJ34" s="2"/>
      <c r="BK34" s="2"/>
      <c r="BL34" s="131"/>
      <c r="BX34" s="131"/>
      <c r="CJ34" s="131"/>
      <c r="CV34" s="131"/>
      <c r="DH34" s="131"/>
      <c r="DT34" s="131"/>
    </row>
    <row r="35" spans="2:124" x14ac:dyDescent="0.25">
      <c r="B35" s="8"/>
      <c r="C35" t="s">
        <v>51</v>
      </c>
      <c r="D35" s="751">
        <v>65000</v>
      </c>
      <c r="E35" s="751"/>
      <c r="F35" s="751">
        <f>1600+5000+7300+15600+9000</f>
        <v>38500</v>
      </c>
      <c r="G35" s="751">
        <v>64800</v>
      </c>
      <c r="H35" s="751">
        <f>G35+550</f>
        <v>65350</v>
      </c>
      <c r="I35" s="751">
        <f>H35+550</f>
        <v>65900</v>
      </c>
      <c r="J35" s="771">
        <v>1500</v>
      </c>
      <c r="K35" s="772"/>
      <c r="L35" s="773"/>
      <c r="M35" s="726" t="s">
        <v>619</v>
      </c>
      <c r="N35" s="697" t="s">
        <v>590</v>
      </c>
      <c r="O35" s="76">
        <f t="shared" ca="1" si="3"/>
        <v>9060.41</v>
      </c>
      <c r="P35" s="318" t="s">
        <v>608</v>
      </c>
      <c r="Q35" s="2"/>
      <c r="R35" s="2"/>
      <c r="S35" s="2"/>
      <c r="T35" s="2"/>
      <c r="U35" s="2"/>
      <c r="V35" s="2"/>
      <c r="W35" s="2"/>
      <c r="Y35" s="2"/>
      <c r="Z35" s="2"/>
      <c r="AA35" s="2"/>
      <c r="AB35" s="76"/>
      <c r="AC35" s="78"/>
      <c r="AD35" s="2"/>
      <c r="AE35" s="2"/>
      <c r="AF35" s="2"/>
      <c r="AG35" s="2"/>
      <c r="AH35" s="2"/>
      <c r="AI35" s="2"/>
      <c r="AK35" s="2"/>
      <c r="AL35" s="2"/>
      <c r="AM35" s="2"/>
      <c r="AN35" s="76"/>
      <c r="AO35" s="78"/>
      <c r="AP35" s="2"/>
      <c r="AQ35" s="2"/>
      <c r="AR35" s="2"/>
      <c r="AS35" s="2"/>
      <c r="AT35" s="2"/>
      <c r="AU35" s="2"/>
      <c r="AW35" s="2"/>
      <c r="AX35" s="2"/>
      <c r="AY35" s="28">
        <v>1893.84</v>
      </c>
      <c r="AZ35" s="357">
        <v>849.16</v>
      </c>
      <c r="BA35" s="78"/>
      <c r="BB35" s="28">
        <f>295.36+700</f>
        <v>995.36</v>
      </c>
      <c r="BC35" s="28">
        <v>573.04</v>
      </c>
      <c r="BD35" s="28">
        <v>675.82</v>
      </c>
      <c r="BE35" s="28">
        <v>1534.26</v>
      </c>
      <c r="BF35" s="240">
        <v>2538.9299999999998</v>
      </c>
      <c r="BG35" s="2"/>
      <c r="BH35" s="2"/>
      <c r="BI35" s="2"/>
      <c r="BJ35" s="2"/>
      <c r="BK35" s="2"/>
      <c r="BL35" s="131"/>
      <c r="BX35" s="131"/>
      <c r="CJ35" s="131"/>
      <c r="CV35" s="131"/>
      <c r="DH35" s="131"/>
      <c r="DT35" s="131"/>
    </row>
    <row r="36" spans="2:124" x14ac:dyDescent="0.25">
      <c r="B36" s="8"/>
      <c r="C36" t="s">
        <v>126</v>
      </c>
      <c r="D36" s="751">
        <v>8250</v>
      </c>
      <c r="E36" s="751">
        <v>8250</v>
      </c>
      <c r="F36" s="751">
        <f>3000+2250+1750+500</f>
        <v>7500</v>
      </c>
      <c r="G36" s="751">
        <f>F36+500</f>
        <v>8000</v>
      </c>
      <c r="H36" s="751">
        <f>F36+1850</f>
        <v>9350</v>
      </c>
      <c r="I36" s="751">
        <f>H36+250</f>
        <v>9600</v>
      </c>
      <c r="J36" s="752"/>
      <c r="K36" s="753">
        <v>0</v>
      </c>
      <c r="L36" s="429">
        <f>I36-3420</f>
        <v>6180</v>
      </c>
      <c r="M36" s="696" t="s">
        <v>620</v>
      </c>
      <c r="N36" s="698" t="s">
        <v>597</v>
      </c>
      <c r="O36" s="76">
        <f t="shared" ca="1" si="3"/>
        <v>3420</v>
      </c>
      <c r="P36" s="301" t="s">
        <v>125</v>
      </c>
      <c r="Q36" s="2"/>
      <c r="R36" s="2"/>
      <c r="S36" s="2"/>
      <c r="T36" s="2"/>
      <c r="U36" s="2"/>
      <c r="V36" s="2"/>
      <c r="W36" s="2"/>
      <c r="Y36" s="2"/>
      <c r="Z36" s="2"/>
      <c r="AA36" s="2"/>
      <c r="AB36" s="76"/>
      <c r="AC36" s="78"/>
      <c r="AD36" s="2"/>
      <c r="AE36" s="2"/>
      <c r="AF36" s="2"/>
      <c r="AG36" s="2"/>
      <c r="AH36" s="2"/>
      <c r="AI36" s="2"/>
      <c r="AK36" s="2"/>
      <c r="AL36" s="2"/>
      <c r="AM36" s="2"/>
      <c r="AN36" s="76"/>
      <c r="AO36" s="78"/>
      <c r="AP36" s="2"/>
      <c r="AQ36" s="2"/>
      <c r="AR36" s="2"/>
      <c r="AS36" s="2"/>
      <c r="AT36" s="2"/>
      <c r="AU36" s="2"/>
      <c r="AW36" s="2"/>
      <c r="AX36" s="2"/>
      <c r="AY36" s="2"/>
      <c r="AZ36" s="76"/>
      <c r="BA36" s="78"/>
      <c r="BB36" s="2"/>
      <c r="BC36" s="2"/>
      <c r="BD36" s="28">
        <v>3420</v>
      </c>
      <c r="BE36" s="2"/>
      <c r="BF36" s="2"/>
      <c r="BG36" s="2"/>
      <c r="BH36" s="2"/>
      <c r="BI36" s="2"/>
      <c r="BJ36" s="2"/>
      <c r="BK36" s="2"/>
      <c r="BL36" s="131"/>
      <c r="BX36" s="131"/>
      <c r="CJ36" s="131"/>
      <c r="CV36" s="131"/>
      <c r="DH36" s="131"/>
      <c r="DT36" s="131"/>
    </row>
    <row r="37" spans="2:124" x14ac:dyDescent="0.25">
      <c r="B37" s="8"/>
      <c r="C37" t="s">
        <v>621</v>
      </c>
      <c r="D37" s="751">
        <v>18000</v>
      </c>
      <c r="E37" s="751">
        <v>18000</v>
      </c>
      <c r="F37" s="751">
        <f>1950+10000+3000+1750+800</f>
        <v>17500</v>
      </c>
      <c r="G37" s="751">
        <f>F37+8500</f>
        <v>26000</v>
      </c>
      <c r="H37" s="751">
        <f>G37+4000</f>
        <v>30000</v>
      </c>
      <c r="I37" s="751">
        <f>H37+3450</f>
        <v>33450</v>
      </c>
      <c r="J37" s="752"/>
      <c r="K37" s="753"/>
      <c r="L37" s="429">
        <v>30000</v>
      </c>
      <c r="M37" s="726" t="s">
        <v>622</v>
      </c>
      <c r="N37" s="698" t="s">
        <v>597</v>
      </c>
      <c r="O37" s="76">
        <f t="shared" ca="1" si="3"/>
        <v>15538.5</v>
      </c>
      <c r="P37" s="301" t="s">
        <v>135</v>
      </c>
      <c r="Q37" s="2"/>
      <c r="R37" s="2"/>
      <c r="S37" s="2"/>
      <c r="T37" s="2"/>
      <c r="U37" s="2"/>
      <c r="V37" s="2"/>
      <c r="W37" s="2"/>
      <c r="Y37" s="2"/>
      <c r="Z37" s="2"/>
      <c r="AA37" s="2"/>
      <c r="AB37" s="76"/>
      <c r="AC37" s="78"/>
      <c r="AD37" s="2"/>
      <c r="AE37" s="2"/>
      <c r="AF37" s="2"/>
      <c r="AG37" s="2"/>
      <c r="AH37" s="2"/>
      <c r="AI37" s="2"/>
      <c r="AK37" s="2"/>
      <c r="AL37" s="2"/>
      <c r="AM37" s="2"/>
      <c r="AN37" s="76"/>
      <c r="AO37" s="78"/>
      <c r="AP37" s="2"/>
      <c r="AQ37" s="2"/>
      <c r="AR37" s="2"/>
      <c r="AS37" s="2"/>
      <c r="AT37" s="2"/>
      <c r="AU37" s="2"/>
      <c r="AW37" s="329">
        <v>2095.5</v>
      </c>
      <c r="AX37" s="2"/>
      <c r="AY37" s="2"/>
      <c r="AZ37" s="357">
        <v>2693</v>
      </c>
      <c r="BA37" s="78"/>
      <c r="BB37" s="28">
        <v>8500</v>
      </c>
      <c r="BC37" s="28">
        <v>2250</v>
      </c>
      <c r="BD37" s="2"/>
      <c r="BE37" s="2"/>
      <c r="BF37" s="2"/>
      <c r="BG37" s="2"/>
      <c r="BH37" s="2"/>
      <c r="BI37" s="2"/>
      <c r="BJ37" s="2"/>
      <c r="BK37" s="2"/>
      <c r="BL37" s="131"/>
      <c r="BX37" s="131"/>
      <c r="CJ37" s="131"/>
      <c r="CV37" s="131"/>
      <c r="DH37" s="131"/>
      <c r="DT37" s="131"/>
    </row>
    <row r="38" spans="2:124" x14ac:dyDescent="0.25">
      <c r="B38" s="8"/>
      <c r="C38" t="s">
        <v>76</v>
      </c>
      <c r="D38" s="751">
        <v>13000</v>
      </c>
      <c r="E38" s="751">
        <v>12885</v>
      </c>
      <c r="F38" s="751">
        <f>225+1060+3630+3630+1200</f>
        <v>9745</v>
      </c>
      <c r="G38" s="751">
        <f>225+1060+3630+3630+1200</f>
        <v>9745</v>
      </c>
      <c r="H38" s="751">
        <f>G38</f>
        <v>9745</v>
      </c>
      <c r="I38" s="751">
        <v>0</v>
      </c>
      <c r="J38" s="752"/>
      <c r="K38" s="753"/>
      <c r="M38" s="726" t="s">
        <v>623</v>
      </c>
      <c r="N38" s="698" t="s">
        <v>597</v>
      </c>
      <c r="O38" s="76">
        <f t="shared" ca="1" si="3"/>
        <v>1155</v>
      </c>
      <c r="P38" s="301" t="s">
        <v>136</v>
      </c>
      <c r="Q38" s="2"/>
      <c r="R38" s="2"/>
      <c r="S38" s="2"/>
      <c r="T38" s="2"/>
      <c r="U38" s="2"/>
      <c r="V38" s="2"/>
      <c r="W38" s="2"/>
      <c r="Y38" s="2"/>
      <c r="Z38" s="2"/>
      <c r="AA38" s="2"/>
      <c r="AB38" s="76"/>
      <c r="AC38" s="78"/>
      <c r="AD38" s="2"/>
      <c r="AE38" s="2"/>
      <c r="AF38" s="2"/>
      <c r="AG38" s="2"/>
      <c r="AH38" s="2"/>
      <c r="AI38" s="2"/>
      <c r="AK38" s="2"/>
      <c r="AL38" s="2"/>
      <c r="AM38" s="2"/>
      <c r="AN38" s="76"/>
      <c r="AO38" s="78"/>
      <c r="AP38" s="2"/>
      <c r="AQ38" s="2"/>
      <c r="AR38" s="2"/>
      <c r="AS38" s="2"/>
      <c r="AT38" s="2"/>
      <c r="AU38" s="2"/>
      <c r="AW38" s="2"/>
      <c r="AX38" s="2"/>
      <c r="AY38" s="2"/>
      <c r="AZ38" s="76"/>
      <c r="BA38" s="78"/>
      <c r="BB38" s="2"/>
      <c r="BC38" s="28">
        <v>1155</v>
      </c>
      <c r="BD38" s="2"/>
      <c r="BE38" s="2"/>
      <c r="BF38" s="2"/>
      <c r="BG38" s="2"/>
      <c r="BH38" s="2"/>
      <c r="BI38" s="2"/>
      <c r="BJ38" s="2"/>
      <c r="BK38" s="2"/>
      <c r="BL38" s="131"/>
      <c r="BX38" s="131"/>
      <c r="CJ38" s="131"/>
      <c r="CV38" s="131"/>
      <c r="DH38" s="131"/>
      <c r="DT38" s="131"/>
    </row>
    <row r="39" spans="2:124" x14ac:dyDescent="0.25">
      <c r="B39" s="8"/>
      <c r="C39" s="131" t="s">
        <v>555</v>
      </c>
      <c r="D39" s="774">
        <v>15000</v>
      </c>
      <c r="E39" s="751">
        <v>14895</v>
      </c>
      <c r="F39" s="751">
        <v>14895</v>
      </c>
      <c r="G39" s="751">
        <v>14895</v>
      </c>
      <c r="H39" s="751">
        <v>14895</v>
      </c>
      <c r="I39" s="751">
        <v>0</v>
      </c>
      <c r="J39" s="752"/>
      <c r="K39" s="753"/>
      <c r="M39" s="499"/>
      <c r="N39" s="442"/>
      <c r="O39" s="76">
        <f t="shared" ca="1" si="3"/>
        <v>2830</v>
      </c>
      <c r="P39" s="301" t="s">
        <v>105</v>
      </c>
      <c r="Q39" s="2"/>
      <c r="R39" s="2"/>
      <c r="S39" s="2"/>
      <c r="T39" s="2"/>
      <c r="U39" s="2"/>
      <c r="V39" s="2"/>
      <c r="W39" s="2"/>
      <c r="Y39" s="2"/>
      <c r="Z39" s="2"/>
      <c r="AA39" s="2"/>
      <c r="AB39" s="76"/>
      <c r="AC39" s="78"/>
      <c r="AD39" s="2"/>
      <c r="AE39" s="2"/>
      <c r="AF39" s="2"/>
      <c r="AG39" s="2"/>
      <c r="AH39" s="2"/>
      <c r="AI39" s="2"/>
      <c r="AK39" s="2"/>
      <c r="AL39" s="2"/>
      <c r="AM39" s="2"/>
      <c r="AN39" s="76"/>
      <c r="AO39" s="78"/>
      <c r="AP39" s="2"/>
      <c r="AQ39" s="2"/>
      <c r="AR39" s="2"/>
      <c r="AS39" s="2"/>
      <c r="AT39" s="2"/>
      <c r="AU39" s="2"/>
      <c r="AW39" s="2"/>
      <c r="AX39" s="2"/>
      <c r="AY39" s="2"/>
      <c r="AZ39" s="76"/>
      <c r="BA39" s="78"/>
      <c r="BB39" s="2"/>
      <c r="BC39" s="2"/>
      <c r="BD39" s="28">
        <v>1080</v>
      </c>
      <c r="BE39" s="28">
        <v>1750</v>
      </c>
      <c r="BF39" s="2"/>
      <c r="BG39" s="2"/>
      <c r="BH39" s="2"/>
      <c r="BI39" s="2"/>
      <c r="BJ39" s="2"/>
      <c r="BK39" s="2"/>
      <c r="BL39" s="131"/>
      <c r="BX39" s="131"/>
      <c r="CJ39" s="131"/>
      <c r="CV39" s="131"/>
      <c r="DH39" s="131"/>
      <c r="DT39" s="131"/>
    </row>
    <row r="40" spans="2:124" x14ac:dyDescent="0.25">
      <c r="B40" s="8"/>
      <c r="C40" s="131" t="s">
        <v>556</v>
      </c>
      <c r="D40" s="774">
        <v>185000</v>
      </c>
      <c r="E40" s="751">
        <v>184100</v>
      </c>
      <c r="F40" s="751">
        <v>227010</v>
      </c>
      <c r="G40" s="751">
        <v>465862.5</v>
      </c>
      <c r="H40" s="429">
        <f>913288+4615</f>
        <v>917903</v>
      </c>
      <c r="I40" s="429">
        <v>975200</v>
      </c>
      <c r="J40" s="752"/>
      <c r="K40" s="753"/>
      <c r="L40" s="429">
        <v>600000</v>
      </c>
      <c r="M40" s="696" t="s">
        <v>624</v>
      </c>
      <c r="N40" s="697" t="s">
        <v>590</v>
      </c>
      <c r="O40" s="76">
        <f t="shared" ca="1" si="3"/>
        <v>400366</v>
      </c>
      <c r="P40" s="301" t="s">
        <v>129</v>
      </c>
      <c r="Q40" s="2"/>
      <c r="R40" s="2"/>
      <c r="S40" s="2"/>
      <c r="T40" s="2"/>
      <c r="U40" s="2"/>
      <c r="V40" s="2"/>
      <c r="W40" s="2"/>
      <c r="Y40" s="2"/>
      <c r="Z40" s="2"/>
      <c r="AA40" s="2"/>
      <c r="AB40" s="76"/>
      <c r="AC40" s="78"/>
      <c r="AD40" s="2"/>
      <c r="AE40" s="2"/>
      <c r="AF40" s="2"/>
      <c r="AG40" s="2"/>
      <c r="AH40" s="2"/>
      <c r="AI40" s="2"/>
      <c r="AK40" s="2"/>
      <c r="AL40" s="2"/>
      <c r="AM40" s="2"/>
      <c r="AN40" s="76"/>
      <c r="AO40" s="78"/>
      <c r="AP40" s="2"/>
      <c r="AQ40" s="2"/>
      <c r="AR40" s="2"/>
      <c r="AS40" s="2"/>
      <c r="AT40" s="2"/>
      <c r="AU40" s="2"/>
      <c r="AW40" s="2"/>
      <c r="AX40" s="2"/>
      <c r="AY40" s="28">
        <f>17244+15687.5+12000</f>
        <v>44931.5</v>
      </c>
      <c r="AZ40" s="357">
        <f>11532</f>
        <v>11532</v>
      </c>
      <c r="BA40" s="130">
        <v>17328</v>
      </c>
      <c r="BB40" s="28">
        <f>40306+100437</f>
        <v>140743</v>
      </c>
      <c r="BC40" s="28">
        <v>59780</v>
      </c>
      <c r="BD40" s="28">
        <v>78909.5</v>
      </c>
      <c r="BE40" s="28">
        <v>47142</v>
      </c>
      <c r="BF40" s="2"/>
      <c r="BG40" s="2"/>
      <c r="BH40" s="2"/>
      <c r="BI40" s="2"/>
      <c r="BJ40" s="2"/>
      <c r="BK40" s="2"/>
      <c r="BL40" s="131"/>
      <c r="BX40" s="131"/>
      <c r="CJ40" s="131"/>
      <c r="CV40" s="131"/>
      <c r="DH40" s="131"/>
      <c r="DT40" s="131"/>
    </row>
    <row r="41" spans="2:124" x14ac:dyDescent="0.25">
      <c r="B41" s="8"/>
      <c r="C41" s="131" t="s">
        <v>625</v>
      </c>
      <c r="D41" s="774"/>
      <c r="E41" s="751"/>
      <c r="F41" s="751"/>
      <c r="G41" s="751"/>
      <c r="H41" s="751">
        <v>10000</v>
      </c>
      <c r="I41" s="786" t="s">
        <v>595</v>
      </c>
      <c r="J41" s="752"/>
      <c r="K41" s="753"/>
      <c r="M41" s="499"/>
      <c r="N41" s="442"/>
      <c r="O41" s="76"/>
      <c r="P41" s="301" t="s">
        <v>626</v>
      </c>
      <c r="Q41" s="2"/>
      <c r="R41" s="2"/>
      <c r="S41" s="2"/>
      <c r="T41" s="2"/>
      <c r="U41" s="2"/>
      <c r="V41" s="2"/>
      <c r="W41" s="2"/>
      <c r="Y41" s="2"/>
      <c r="Z41" s="2"/>
      <c r="AA41" s="2"/>
      <c r="AB41" s="76"/>
      <c r="AC41" s="78"/>
      <c r="AD41" s="2"/>
      <c r="AE41" s="2"/>
      <c r="AF41" s="2"/>
      <c r="AG41" s="2"/>
      <c r="AH41" s="2"/>
      <c r="AI41" s="2"/>
      <c r="AK41" s="2"/>
      <c r="AL41" s="2"/>
      <c r="AM41" s="2"/>
      <c r="AN41" s="76"/>
      <c r="AO41" s="78"/>
      <c r="AP41" s="2"/>
      <c r="AQ41" s="2"/>
      <c r="AR41" s="2"/>
      <c r="AS41" s="2"/>
      <c r="AT41" s="2"/>
      <c r="AU41" s="2"/>
      <c r="AW41" s="2"/>
      <c r="AX41" s="2"/>
      <c r="AY41" s="2"/>
      <c r="AZ41" s="76"/>
      <c r="BA41" s="78"/>
      <c r="BB41" s="2"/>
      <c r="BC41" s="2"/>
      <c r="BD41" s="2"/>
      <c r="BE41" s="2"/>
      <c r="BF41" s="2"/>
      <c r="BG41" s="2"/>
      <c r="BH41" s="2"/>
      <c r="BI41" s="2"/>
      <c r="BJ41" s="2"/>
      <c r="BK41" s="2"/>
      <c r="BL41" s="131"/>
      <c r="BX41" s="131"/>
      <c r="CJ41" s="131"/>
      <c r="CV41" s="131"/>
      <c r="DH41" s="131"/>
      <c r="DT41" s="131"/>
    </row>
    <row r="42" spans="2:124" x14ac:dyDescent="0.25">
      <c r="B42" s="8"/>
      <c r="C42" t="s">
        <v>60</v>
      </c>
      <c r="D42" s="751">
        <v>27000</v>
      </c>
      <c r="E42" s="751">
        <v>26700</v>
      </c>
      <c r="F42" s="751">
        <v>26700</v>
      </c>
      <c r="G42" s="751">
        <f>2850+6650+8550+3750+1850+1850+2750+1950</f>
        <v>30200</v>
      </c>
      <c r="H42" s="751">
        <f>G42+1850</f>
        <v>32050</v>
      </c>
      <c r="I42" s="751">
        <f>1950+H42</f>
        <v>34000</v>
      </c>
      <c r="J42" s="745">
        <v>13000</v>
      </c>
      <c r="K42" s="753"/>
      <c r="M42" s="726" t="s">
        <v>627</v>
      </c>
      <c r="N42" s="697" t="s">
        <v>590</v>
      </c>
      <c r="O42" s="76">
        <f t="shared" ca="1" si="3"/>
        <v>6895</v>
      </c>
      <c r="P42" s="301" t="s">
        <v>124</v>
      </c>
      <c r="Q42" s="2"/>
      <c r="R42" s="2"/>
      <c r="S42" s="2"/>
      <c r="T42" s="2"/>
      <c r="U42" s="2"/>
      <c r="V42" s="2"/>
      <c r="W42" s="2"/>
      <c r="Y42" s="2"/>
      <c r="Z42" s="2"/>
      <c r="AA42" s="2"/>
      <c r="AB42" s="76"/>
      <c r="AC42" s="78"/>
      <c r="AD42" s="2"/>
      <c r="AE42" s="2"/>
      <c r="AF42" s="2"/>
      <c r="AG42" s="2"/>
      <c r="AH42" s="2"/>
      <c r="AI42" s="2"/>
      <c r="AK42" s="2"/>
      <c r="AL42" s="2"/>
      <c r="AM42" s="2"/>
      <c r="AN42" s="76"/>
      <c r="AO42" s="78"/>
      <c r="AP42" s="2"/>
      <c r="AQ42" s="2"/>
      <c r="AR42" s="2"/>
      <c r="AS42" s="2"/>
      <c r="AT42" s="2"/>
      <c r="AU42" s="2"/>
      <c r="AW42" s="2"/>
      <c r="AX42" s="2"/>
      <c r="AY42" s="2"/>
      <c r="AZ42" s="76"/>
      <c r="BA42" s="78"/>
      <c r="BB42" s="2"/>
      <c r="BC42" s="28">
        <v>1950</v>
      </c>
      <c r="BD42" s="28">
        <v>2995</v>
      </c>
      <c r="BE42" s="2"/>
      <c r="BF42" s="28">
        <v>1950</v>
      </c>
      <c r="BG42" s="2"/>
      <c r="BH42" s="2"/>
      <c r="BI42" s="2"/>
      <c r="BJ42" s="2"/>
      <c r="BK42" s="2"/>
      <c r="BL42" s="131"/>
      <c r="BX42" s="131"/>
      <c r="CJ42" s="131"/>
      <c r="CV42" s="131"/>
      <c r="DH42" s="131"/>
      <c r="DT42" s="131"/>
    </row>
    <row r="43" spans="2:124" x14ac:dyDescent="0.25">
      <c r="B43" s="8"/>
      <c r="C43" s="131" t="s">
        <v>64</v>
      </c>
      <c r="D43" s="751">
        <v>20000</v>
      </c>
      <c r="E43" s="751">
        <v>16980</v>
      </c>
      <c r="F43" s="751">
        <v>16980</v>
      </c>
      <c r="G43" s="751">
        <v>24450</v>
      </c>
      <c r="H43" s="751">
        <f>G43+3230</f>
        <v>27680</v>
      </c>
      <c r="I43" s="751">
        <f>H43+1250</f>
        <v>28930</v>
      </c>
      <c r="J43" s="745">
        <v>9000</v>
      </c>
      <c r="K43" s="753"/>
      <c r="L43" s="429">
        <v>16238</v>
      </c>
      <c r="M43" s="696" t="s">
        <v>606</v>
      </c>
      <c r="N43" s="442"/>
      <c r="O43" s="76">
        <f t="shared" ca="1" si="3"/>
        <v>15525</v>
      </c>
      <c r="P43" s="301" t="s">
        <v>604</v>
      </c>
      <c r="Q43" s="2"/>
      <c r="R43" s="2"/>
      <c r="S43" s="2"/>
      <c r="T43" s="2"/>
      <c r="U43" s="2"/>
      <c r="V43" s="2"/>
      <c r="W43" s="2"/>
      <c r="Y43" s="2"/>
      <c r="Z43" s="2"/>
      <c r="AA43" s="2"/>
      <c r="AB43" s="76"/>
      <c r="AC43" s="78"/>
      <c r="AD43" s="2"/>
      <c r="AE43" s="2"/>
      <c r="AF43" s="2"/>
      <c r="AG43" s="2"/>
      <c r="AH43" s="2"/>
      <c r="AI43" s="2"/>
      <c r="AK43" s="2"/>
      <c r="AL43" s="2"/>
      <c r="AM43" s="2"/>
      <c r="AN43" s="76"/>
      <c r="AO43" s="78"/>
      <c r="AP43" s="2"/>
      <c r="AQ43" s="2"/>
      <c r="AR43" s="2"/>
      <c r="AS43" s="2"/>
      <c r="AT43" s="2"/>
      <c r="AU43" s="2"/>
      <c r="AW43" s="2"/>
      <c r="AX43" s="2"/>
      <c r="AY43" s="288">
        <v>1150</v>
      </c>
      <c r="AZ43" s="369">
        <v>7062.5</v>
      </c>
      <c r="BA43" s="78"/>
      <c r="BB43" s="28">
        <v>3700</v>
      </c>
      <c r="BC43" s="28">
        <v>1500</v>
      </c>
      <c r="BD43" s="2"/>
      <c r="BE43" s="28">
        <v>1401.25</v>
      </c>
      <c r="BF43" s="28">
        <v>711.25</v>
      </c>
      <c r="BG43" s="2"/>
      <c r="BH43" s="2"/>
      <c r="BI43" s="2"/>
      <c r="BJ43" s="2"/>
      <c r="BK43" s="2"/>
      <c r="BL43" s="131"/>
      <c r="BX43" s="131"/>
      <c r="CJ43" s="131"/>
      <c r="CV43" s="131"/>
      <c r="DH43" s="131"/>
      <c r="DT43" s="131"/>
    </row>
    <row r="44" spans="2:124" x14ac:dyDescent="0.25">
      <c r="B44" s="13"/>
      <c r="C44" s="264" t="s">
        <v>560</v>
      </c>
      <c r="D44" s="768">
        <f>18640+33600+26980+4800</f>
        <v>84020</v>
      </c>
      <c r="E44" s="768">
        <f>18640+33600+26980+4800</f>
        <v>84020</v>
      </c>
      <c r="F44" s="768">
        <f>18640+33600+26980+4800</f>
        <v>84020</v>
      </c>
      <c r="G44" s="752">
        <v>83840</v>
      </c>
      <c r="H44" s="752">
        <f>G44+1980</f>
        <v>85820</v>
      </c>
      <c r="I44" s="752">
        <v>0</v>
      </c>
      <c r="J44" s="752"/>
      <c r="K44" s="753"/>
      <c r="M44" s="726" t="s">
        <v>628</v>
      </c>
      <c r="N44" s="697" t="s">
        <v>590</v>
      </c>
      <c r="O44" s="76">
        <f t="shared" ca="1" si="3"/>
        <v>32692.75</v>
      </c>
      <c r="P44" s="275" t="s">
        <v>105</v>
      </c>
      <c r="Q44" s="2"/>
      <c r="R44" s="2"/>
      <c r="S44" s="2"/>
      <c r="T44" s="2"/>
      <c r="U44" s="2"/>
      <c r="V44" s="2"/>
      <c r="W44" s="2"/>
      <c r="Y44" s="2"/>
      <c r="Z44" s="2"/>
      <c r="AA44" s="2"/>
      <c r="AB44" s="76"/>
      <c r="AC44" s="78"/>
      <c r="AD44" s="2"/>
      <c r="AE44" s="2"/>
      <c r="AF44" s="2"/>
      <c r="AG44" s="2"/>
      <c r="AH44" s="2"/>
      <c r="AI44" s="2"/>
      <c r="AK44" s="2"/>
      <c r="AL44" s="2"/>
      <c r="AM44" s="2"/>
      <c r="AN44" s="76"/>
      <c r="AO44" s="78"/>
      <c r="AP44" s="2"/>
      <c r="AQ44" s="2"/>
      <c r="AR44" s="2"/>
      <c r="AS44" s="2"/>
      <c r="AT44" s="2"/>
      <c r="AU44" s="2"/>
      <c r="AW44" s="2"/>
      <c r="AX44" s="2"/>
      <c r="AY44" s="28">
        <v>3430</v>
      </c>
      <c r="AZ44" s="354">
        <v>3234</v>
      </c>
      <c r="BA44" s="130">
        <v>2269.33</v>
      </c>
      <c r="BB44" s="2"/>
      <c r="BC44" s="28">
        <v>7965.5</v>
      </c>
      <c r="BD44" s="28">
        <v>6193.92</v>
      </c>
      <c r="BE44" s="323">
        <v>4800</v>
      </c>
      <c r="BF44" s="28">
        <v>4800</v>
      </c>
      <c r="BG44" s="2"/>
      <c r="BH44" s="2"/>
      <c r="BI44" s="2"/>
      <c r="BJ44" s="2"/>
      <c r="BK44" s="2"/>
      <c r="BL44" s="131"/>
      <c r="BX44" s="131"/>
      <c r="CJ44" s="131"/>
      <c r="CV44" s="131"/>
      <c r="DH44" s="131"/>
      <c r="DT44" s="131"/>
    </row>
    <row r="45" spans="2:124" x14ac:dyDescent="0.25">
      <c r="B45" s="13"/>
      <c r="C45" s="6" t="s">
        <v>629</v>
      </c>
      <c r="D45" s="768"/>
      <c r="E45" s="768"/>
      <c r="F45" s="768"/>
      <c r="G45" s="760">
        <f>6625+5495+895</f>
        <v>13015</v>
      </c>
      <c r="H45" s="760">
        <f>G45</f>
        <v>13015</v>
      </c>
      <c r="I45" s="760">
        <f>H45+3995+1998</f>
        <v>19008</v>
      </c>
      <c r="J45" s="760"/>
      <c r="K45" s="761"/>
      <c r="L45" s="762"/>
      <c r="M45" s="725"/>
      <c r="N45" s="443"/>
      <c r="O45" s="76"/>
      <c r="P45" s="275" t="s">
        <v>497</v>
      </c>
      <c r="Q45" s="2"/>
      <c r="R45" s="2"/>
      <c r="S45" s="2"/>
      <c r="T45" s="2"/>
      <c r="U45" s="2"/>
      <c r="V45" s="2"/>
      <c r="W45" s="2"/>
      <c r="Y45" s="2"/>
      <c r="Z45" s="2"/>
      <c r="AA45" s="2"/>
      <c r="AB45" s="76"/>
      <c r="AC45" s="78"/>
      <c r="AD45" s="2"/>
      <c r="AE45" s="2"/>
      <c r="AF45" s="2"/>
      <c r="AG45" s="2"/>
      <c r="AH45" s="2"/>
      <c r="AI45" s="2"/>
      <c r="AK45" s="2"/>
      <c r="AL45" s="2"/>
      <c r="AM45" s="2"/>
      <c r="AN45" s="76"/>
      <c r="AO45" s="78"/>
      <c r="AP45" s="2"/>
      <c r="AQ45" s="2"/>
      <c r="AR45" s="2"/>
      <c r="AS45" s="2"/>
      <c r="AT45" s="2"/>
      <c r="AU45" s="2"/>
      <c r="AW45" s="2"/>
      <c r="AX45" s="2"/>
      <c r="AY45" s="2"/>
      <c r="AZ45" s="369"/>
      <c r="BA45" s="78"/>
      <c r="BB45" s="28">
        <v>895</v>
      </c>
      <c r="BC45" s="2"/>
      <c r="BD45" s="28">
        <v>5495</v>
      </c>
      <c r="BE45" s="28">
        <v>1325</v>
      </c>
      <c r="BF45" s="28">
        <v>895.27</v>
      </c>
      <c r="BG45" s="2"/>
      <c r="BH45" s="2"/>
      <c r="BI45" s="2"/>
      <c r="BJ45" s="2"/>
      <c r="BK45" s="2"/>
      <c r="BL45" s="131"/>
      <c r="BX45" s="131"/>
      <c r="CJ45" s="131"/>
      <c r="CV45" s="131"/>
      <c r="DH45" s="131"/>
      <c r="DT45" s="131"/>
    </row>
    <row r="46" spans="2:124" x14ac:dyDescent="0.25">
      <c r="B46" s="13"/>
      <c r="C46" s="6" t="s">
        <v>630</v>
      </c>
      <c r="D46" s="768"/>
      <c r="E46" s="768"/>
      <c r="F46" s="768"/>
      <c r="G46" s="760"/>
      <c r="H46" s="760">
        <v>1150</v>
      </c>
      <c r="I46" s="760"/>
      <c r="J46" s="760"/>
      <c r="K46" s="761"/>
      <c r="L46" s="762"/>
      <c r="M46" s="725"/>
      <c r="N46" s="443"/>
      <c r="O46" s="76"/>
      <c r="P46" s="275" t="s">
        <v>631</v>
      </c>
      <c r="Q46" s="2"/>
      <c r="R46" s="2"/>
      <c r="S46" s="2"/>
      <c r="T46" s="2"/>
      <c r="U46" s="2"/>
      <c r="V46" s="2"/>
      <c r="W46" s="2"/>
      <c r="Y46" s="2"/>
      <c r="Z46" s="2"/>
      <c r="AA46" s="2"/>
      <c r="AB46" s="76"/>
      <c r="AC46" s="78"/>
      <c r="AD46" s="2"/>
      <c r="AE46" s="2"/>
      <c r="AF46" s="2"/>
      <c r="AG46" s="2"/>
      <c r="AH46" s="2"/>
      <c r="AI46" s="2"/>
      <c r="AK46" s="2"/>
      <c r="AL46" s="2"/>
      <c r="AM46" s="2"/>
      <c r="AN46" s="76"/>
      <c r="AO46" s="78"/>
      <c r="AP46" s="2"/>
      <c r="AQ46" s="2"/>
      <c r="AR46" s="2"/>
      <c r="AS46" s="2"/>
      <c r="AT46" s="2"/>
      <c r="AU46" s="2"/>
      <c r="AW46" s="2"/>
      <c r="AX46" s="2"/>
      <c r="AY46" s="2"/>
      <c r="AZ46" s="369"/>
      <c r="BA46" s="78"/>
      <c r="BB46" s="28"/>
      <c r="BC46" s="2"/>
      <c r="BD46" s="28"/>
      <c r="BE46" s="2"/>
      <c r="BF46" s="2"/>
      <c r="BG46" s="2"/>
      <c r="BH46" s="2"/>
      <c r="BI46" s="2"/>
      <c r="BJ46" s="2"/>
      <c r="BK46" s="2"/>
      <c r="BL46" s="131"/>
      <c r="BX46" s="131"/>
      <c r="CJ46" s="131"/>
      <c r="CV46" s="131"/>
      <c r="DH46" s="131"/>
      <c r="DT46" s="131"/>
    </row>
    <row r="47" spans="2:124" x14ac:dyDescent="0.25">
      <c r="B47" s="13" t="s">
        <v>561</v>
      </c>
      <c r="C47" s="6" t="s">
        <v>65</v>
      </c>
      <c r="D47" s="767">
        <v>350000</v>
      </c>
      <c r="E47" s="767"/>
      <c r="F47" s="768">
        <v>100000</v>
      </c>
      <c r="G47" s="759">
        <v>100000</v>
      </c>
      <c r="H47" s="759">
        <v>350000</v>
      </c>
      <c r="I47" s="764"/>
      <c r="J47" s="759">
        <v>0</v>
      </c>
      <c r="K47" s="764"/>
      <c r="L47" s="765"/>
      <c r="M47" s="501"/>
      <c r="N47" s="444"/>
      <c r="O47" s="376">
        <f t="shared" ref="O47:O67" ca="1" si="4">SUMIF($AT$3:$BQ$3,"&lt;"&amp;TODAY(),$AT47:$BQ47)</f>
        <v>67129.84</v>
      </c>
      <c r="P47" s="275" t="s">
        <v>120</v>
      </c>
      <c r="Q47" s="2"/>
      <c r="R47" s="2"/>
      <c r="S47" s="2"/>
      <c r="T47" s="2"/>
      <c r="U47" s="2"/>
      <c r="V47" s="2"/>
      <c r="W47" s="2"/>
      <c r="Y47" s="2"/>
      <c r="Z47" s="2"/>
      <c r="AA47" s="2"/>
      <c r="AB47" s="76"/>
      <c r="AC47" s="78"/>
      <c r="AD47" s="2"/>
      <c r="AE47" s="2"/>
      <c r="AF47" s="2"/>
      <c r="AG47" s="2"/>
      <c r="AH47" s="2"/>
      <c r="AI47" s="2"/>
      <c r="AK47" s="2"/>
      <c r="AL47" s="2"/>
      <c r="AM47" s="2"/>
      <c r="AN47" s="76"/>
      <c r="AO47" s="78"/>
      <c r="AP47" s="2"/>
      <c r="AQ47" s="2"/>
      <c r="AR47" s="2"/>
      <c r="AS47" s="2"/>
      <c r="AT47" s="2"/>
      <c r="AU47" s="2"/>
      <c r="AW47" s="2"/>
      <c r="AX47" s="2"/>
      <c r="AY47" s="28">
        <v>1605</v>
      </c>
      <c r="AZ47" s="357">
        <f>3409+2585.8</f>
        <v>5994.8</v>
      </c>
      <c r="BA47" s="78"/>
      <c r="BB47" s="28">
        <f>6449.5+190+2065.3</f>
        <v>8704.7999999999993</v>
      </c>
      <c r="BC47" s="28">
        <v>8379.5</v>
      </c>
      <c r="BD47" s="28">
        <v>4219.8</v>
      </c>
      <c r="BE47" s="28">
        <v>3882.24</v>
      </c>
      <c r="BF47" s="28">
        <v>34343.699999999997</v>
      </c>
      <c r="BG47" s="2"/>
      <c r="BH47" s="2"/>
      <c r="BI47" s="2"/>
      <c r="BJ47" s="2"/>
      <c r="BK47" s="2"/>
      <c r="BL47" s="131"/>
      <c r="BX47" s="131"/>
      <c r="CJ47" s="131"/>
      <c r="CV47" s="131"/>
      <c r="DH47" s="131"/>
      <c r="DT47" s="131"/>
    </row>
    <row r="48" spans="2:124" x14ac:dyDescent="0.25">
      <c r="B48" s="14" t="s">
        <v>562</v>
      </c>
      <c r="C48" s="15" t="s">
        <v>632</v>
      </c>
      <c r="D48" s="758">
        <v>325000</v>
      </c>
      <c r="E48" s="758">
        <v>324082</v>
      </c>
      <c r="F48" s="759">
        <v>324082</v>
      </c>
      <c r="G48" s="759">
        <v>374596</v>
      </c>
      <c r="H48" s="759">
        <f>306748+97521</f>
        <v>404269</v>
      </c>
      <c r="I48" s="764"/>
      <c r="J48" s="759">
        <v>48900</v>
      </c>
      <c r="K48" s="764"/>
      <c r="L48" s="765"/>
      <c r="M48" s="501"/>
      <c r="N48" s="743" t="s">
        <v>633</v>
      </c>
      <c r="O48" s="140">
        <f t="shared" ca="1" si="4"/>
        <v>220943.42</v>
      </c>
      <c r="P48" s="274" t="s">
        <v>634</v>
      </c>
      <c r="Q48" s="2"/>
      <c r="R48" s="2"/>
      <c r="S48" s="2"/>
      <c r="T48" s="2"/>
      <c r="U48" s="2"/>
      <c r="V48" s="2"/>
      <c r="W48" s="2"/>
      <c r="Y48" s="2"/>
      <c r="Z48" s="2"/>
      <c r="AA48" s="2"/>
      <c r="AB48" s="76"/>
      <c r="AC48" s="78"/>
      <c r="AD48" s="2"/>
      <c r="AE48" s="2"/>
      <c r="AF48" s="2"/>
      <c r="AG48" s="2"/>
      <c r="AH48" s="2"/>
      <c r="AI48" s="2"/>
      <c r="AK48" s="2"/>
      <c r="AL48" s="2"/>
      <c r="AM48" s="2"/>
      <c r="AN48" s="76"/>
      <c r="AO48" s="78"/>
      <c r="AP48" s="2"/>
      <c r="AQ48" s="2"/>
      <c r="AR48" s="2"/>
      <c r="AS48" s="2"/>
      <c r="AT48" s="2"/>
      <c r="AU48" s="2">
        <v>7045</v>
      </c>
      <c r="AV48" s="297">
        <f>7339+3143</f>
        <v>10482</v>
      </c>
      <c r="AW48" s="329">
        <v>11207.5</v>
      </c>
      <c r="AX48" s="288">
        <v>14284.71</v>
      </c>
      <c r="AY48" s="288">
        <v>19646</v>
      </c>
      <c r="AZ48" s="354">
        <f>11116.25</f>
        <v>11116.25</v>
      </c>
      <c r="BA48" s="365">
        <f>6450+19127.58</f>
        <v>25577.58</v>
      </c>
      <c r="BB48" s="28">
        <f>37374.09+5716</f>
        <v>43090.09</v>
      </c>
      <c r="BC48" s="2">
        <f>22172.06+1027.5+5236</f>
        <v>28435.56</v>
      </c>
      <c r="BD48" s="2">
        <f>31938.73+120</f>
        <v>32058.73</v>
      </c>
      <c r="BE48" s="2">
        <v>18000</v>
      </c>
      <c r="BF48" s="2"/>
      <c r="BG48" s="2"/>
      <c r="BH48" s="2"/>
      <c r="BI48" s="2"/>
      <c r="BJ48" s="2"/>
      <c r="BK48" s="2"/>
      <c r="BL48" s="131"/>
      <c r="BX48" s="131"/>
      <c r="CJ48" s="131"/>
      <c r="CV48" s="131"/>
      <c r="DH48" s="131"/>
      <c r="DT48" s="131"/>
    </row>
    <row r="49" spans="2:124" x14ac:dyDescent="0.25">
      <c r="B49" s="8"/>
      <c r="D49" s="751"/>
      <c r="E49" s="751"/>
      <c r="F49" s="752"/>
      <c r="G49" s="752"/>
      <c r="H49" s="752"/>
      <c r="I49" s="753"/>
      <c r="J49" s="752"/>
      <c r="K49" s="753"/>
      <c r="M49" s="499"/>
      <c r="N49" s="442"/>
      <c r="O49" s="2"/>
      <c r="P49" s="274" t="s">
        <v>635</v>
      </c>
      <c r="Q49" s="2"/>
      <c r="R49" s="2"/>
      <c r="S49" s="2"/>
      <c r="T49" s="2"/>
      <c r="U49" s="2"/>
      <c r="V49" s="2"/>
      <c r="W49" s="2"/>
      <c r="Y49" s="2"/>
      <c r="Z49" s="2"/>
      <c r="AA49" s="2"/>
      <c r="AB49" s="76"/>
      <c r="AC49" s="78"/>
      <c r="AD49" s="2"/>
      <c r="AE49" s="2"/>
      <c r="AF49" s="2"/>
      <c r="AG49" s="2"/>
      <c r="AH49" s="2"/>
      <c r="AI49" s="2"/>
      <c r="AK49" s="2"/>
      <c r="AL49" s="2"/>
      <c r="AM49" s="2"/>
      <c r="AN49" s="76"/>
      <c r="AO49" s="78"/>
      <c r="AP49" s="2"/>
      <c r="AQ49" s="2"/>
      <c r="AR49" s="2"/>
      <c r="AS49" s="2"/>
      <c r="AT49" s="2"/>
      <c r="AU49" s="2"/>
      <c r="AV49" s="455"/>
      <c r="AW49" s="456"/>
      <c r="AX49" s="288">
        <v>14284.71</v>
      </c>
      <c r="AY49" s="363"/>
      <c r="AZ49" s="354">
        <f>11116.25+3831.25+9270</f>
        <v>24217.5</v>
      </c>
      <c r="BA49" s="365">
        <f>6450+19127.58</f>
        <v>25577.58</v>
      </c>
      <c r="BB49" s="28">
        <f>37374.09+5716</f>
        <v>43090.09</v>
      </c>
      <c r="BC49" s="2"/>
      <c r="BD49" s="2"/>
      <c r="BE49" s="2"/>
      <c r="BF49" s="2"/>
      <c r="BG49" s="2"/>
      <c r="BH49" s="2"/>
      <c r="BI49" s="2"/>
      <c r="BJ49" s="2"/>
      <c r="BK49" s="2"/>
      <c r="BL49" s="131"/>
      <c r="BX49" s="131"/>
      <c r="CJ49" s="131"/>
      <c r="CV49" s="131"/>
      <c r="DH49" s="131"/>
      <c r="DT49" s="131"/>
    </row>
    <row r="50" spans="2:124" x14ac:dyDescent="0.25">
      <c r="B50" s="8"/>
      <c r="C50" t="s">
        <v>636</v>
      </c>
      <c r="D50" s="751"/>
      <c r="E50" s="751"/>
      <c r="F50" s="752"/>
      <c r="G50" s="752"/>
      <c r="H50" s="752"/>
      <c r="I50" s="753"/>
      <c r="J50" s="752"/>
      <c r="K50" s="753"/>
      <c r="M50" s="499"/>
      <c r="N50" s="442"/>
      <c r="O50" s="2"/>
      <c r="P50" s="274" t="s">
        <v>634</v>
      </c>
      <c r="Q50" s="2"/>
      <c r="R50" s="2"/>
      <c r="S50" s="2"/>
      <c r="T50" s="2"/>
      <c r="U50" s="2"/>
      <c r="V50" s="2"/>
      <c r="W50" s="2"/>
      <c r="Y50" s="2"/>
      <c r="Z50" s="2"/>
      <c r="AA50" s="2"/>
      <c r="AB50" s="76"/>
      <c r="AC50" s="78"/>
      <c r="AD50" s="2"/>
      <c r="AE50" s="2"/>
      <c r="AF50" s="2"/>
      <c r="AG50" s="2"/>
      <c r="AH50" s="2"/>
      <c r="AI50" s="2"/>
      <c r="AK50" s="2"/>
      <c r="AL50" s="2"/>
      <c r="AM50" s="2"/>
      <c r="AN50" s="76"/>
      <c r="AO50" s="78"/>
      <c r="AP50" s="2"/>
      <c r="AQ50" s="2"/>
      <c r="AR50" s="2"/>
      <c r="AS50" s="2"/>
      <c r="AT50" s="2"/>
      <c r="AU50" s="2"/>
      <c r="AV50" s="455"/>
      <c r="AW50" s="456"/>
      <c r="AX50" s="363"/>
      <c r="AY50" s="363"/>
      <c r="AZ50" s="457"/>
      <c r="BA50" s="459">
        <v>3300</v>
      </c>
      <c r="BB50" s="28">
        <v>5236</v>
      </c>
      <c r="BC50" s="2"/>
      <c r="BD50" s="2">
        <v>2005</v>
      </c>
      <c r="BE50" s="2">
        <v>120</v>
      </c>
      <c r="BF50" s="2"/>
      <c r="BG50" s="2"/>
      <c r="BH50" s="2"/>
      <c r="BI50" s="2"/>
      <c r="BJ50" s="2"/>
      <c r="BK50" s="2"/>
      <c r="BL50" s="131"/>
      <c r="BX50" s="131"/>
      <c r="CJ50" s="131"/>
      <c r="CV50" s="131"/>
      <c r="DH50" s="131"/>
      <c r="DT50" s="131"/>
    </row>
    <row r="51" spans="2:124" x14ac:dyDescent="0.25">
      <c r="B51" s="16" t="s">
        <v>564</v>
      </c>
      <c r="C51" t="s">
        <v>69</v>
      </c>
      <c r="D51" s="751">
        <v>10000</v>
      </c>
      <c r="E51" s="751"/>
      <c r="F51" s="751"/>
      <c r="G51" s="752"/>
      <c r="H51" s="752">
        <v>10000</v>
      </c>
      <c r="I51" s="753"/>
      <c r="J51" s="752"/>
      <c r="K51" s="753"/>
      <c r="M51" s="499"/>
      <c r="N51" s="442">
        <f ca="1">G51-O51</f>
        <v>0</v>
      </c>
      <c r="O51" s="2">
        <f t="shared" ca="1" si="4"/>
        <v>0</v>
      </c>
      <c r="P51" s="301"/>
      <c r="Q51" s="2"/>
      <c r="R51" s="2"/>
      <c r="S51" s="2"/>
      <c r="T51" s="2"/>
      <c r="U51" s="2"/>
      <c r="V51" s="2"/>
      <c r="W51" s="2"/>
      <c r="Y51" s="2"/>
      <c r="Z51" s="2"/>
      <c r="AA51" s="2"/>
      <c r="AB51" s="76"/>
      <c r="AC51" s="78"/>
      <c r="AD51" s="2"/>
      <c r="AE51" s="2"/>
      <c r="AF51" s="2"/>
      <c r="AG51" s="2"/>
      <c r="AH51" s="2"/>
      <c r="AI51" s="2"/>
      <c r="AK51" s="2"/>
      <c r="AL51" s="2"/>
      <c r="AM51" s="2"/>
      <c r="AN51" s="76"/>
      <c r="AO51" s="78"/>
      <c r="AP51" s="2"/>
      <c r="AQ51" s="2"/>
      <c r="AR51" s="2"/>
      <c r="AS51" s="2"/>
      <c r="AT51" s="2"/>
      <c r="AU51" s="2"/>
      <c r="AW51" s="2"/>
      <c r="AX51" s="2"/>
      <c r="AY51" s="2"/>
      <c r="AZ51" s="76"/>
      <c r="BA51" s="78"/>
      <c r="BB51" s="2"/>
      <c r="BC51" s="2"/>
      <c r="BD51" s="2"/>
      <c r="BE51" s="2"/>
      <c r="BF51" s="2"/>
      <c r="BG51" s="2"/>
      <c r="BH51" s="2"/>
      <c r="BI51" s="2"/>
      <c r="BJ51" s="2"/>
      <c r="BK51" s="2"/>
      <c r="BL51" s="131"/>
      <c r="BX51" s="131"/>
      <c r="CJ51" s="131"/>
      <c r="CV51" s="131"/>
      <c r="DH51" s="131"/>
      <c r="DT51" s="131"/>
    </row>
    <row r="52" spans="2:124" x14ac:dyDescent="0.25">
      <c r="B52" s="16"/>
      <c r="C52" t="s">
        <v>637</v>
      </c>
      <c r="D52" s="751"/>
      <c r="E52" s="751"/>
      <c r="F52" s="751"/>
      <c r="G52" s="752"/>
      <c r="H52" s="751"/>
      <c r="I52" s="752"/>
      <c r="J52" s="752"/>
      <c r="K52" s="753"/>
      <c r="M52" s="499"/>
      <c r="N52" s="442">
        <f>G52-O52</f>
        <v>0</v>
      </c>
      <c r="O52" s="2"/>
      <c r="P52" s="301" t="s">
        <v>638</v>
      </c>
      <c r="Q52" s="2"/>
      <c r="R52" s="2"/>
      <c r="S52" s="2"/>
      <c r="T52" s="2"/>
      <c r="U52" s="2"/>
      <c r="V52" s="2"/>
      <c r="W52" s="2"/>
      <c r="Y52" s="2"/>
      <c r="Z52" s="2"/>
      <c r="AA52" s="2"/>
      <c r="AB52" s="76"/>
      <c r="AC52" s="78"/>
      <c r="AD52" s="2"/>
      <c r="AE52" s="2"/>
      <c r="AF52" s="2"/>
      <c r="AG52" s="2"/>
      <c r="AH52" s="2"/>
      <c r="AI52" s="2"/>
      <c r="AK52" s="2"/>
      <c r="AL52" s="2"/>
      <c r="AM52" s="2"/>
      <c r="AN52" s="76"/>
      <c r="AO52" s="78"/>
      <c r="AP52" s="2"/>
      <c r="AQ52" s="2"/>
      <c r="AR52" s="2"/>
      <c r="AS52" s="2"/>
      <c r="AT52" s="2"/>
      <c r="AU52" s="2"/>
      <c r="AV52" s="310">
        <v>155.88</v>
      </c>
      <c r="AW52" s="2"/>
      <c r="AX52" s="329">
        <v>188.55</v>
      </c>
      <c r="AY52" s="288">
        <v>1825.95</v>
      </c>
      <c r="AZ52" s="354">
        <v>3066.69</v>
      </c>
      <c r="BA52" s="78"/>
      <c r="BB52" s="28">
        <v>1150.4000000000001</v>
      </c>
      <c r="BC52" s="28">
        <v>1857.9</v>
      </c>
      <c r="BD52" s="28">
        <v>596.71</v>
      </c>
      <c r="BE52" s="28">
        <v>497.26</v>
      </c>
      <c r="BF52" s="28">
        <f>1150.4+467.64</f>
        <v>1618.04</v>
      </c>
      <c r="BG52" s="2"/>
      <c r="BH52" s="2"/>
      <c r="BI52" s="2"/>
      <c r="BJ52" s="2"/>
      <c r="BK52" s="2"/>
      <c r="BL52" s="131"/>
      <c r="BX52" s="131"/>
      <c r="CJ52" s="131"/>
      <c r="CV52" s="131"/>
      <c r="DH52" s="131"/>
      <c r="DT52" s="131"/>
    </row>
    <row r="53" spans="2:124" x14ac:dyDescent="0.25">
      <c r="B53" s="16"/>
      <c r="C53" t="s">
        <v>639</v>
      </c>
      <c r="D53" s="751"/>
      <c r="E53" s="751"/>
      <c r="F53" s="751">
        <v>34560</v>
      </c>
      <c r="G53" s="751">
        <v>34560</v>
      </c>
      <c r="H53" s="751">
        <v>34560</v>
      </c>
      <c r="I53" s="752"/>
      <c r="J53" s="752"/>
      <c r="K53" s="753"/>
      <c r="M53" s="499" t="s">
        <v>640</v>
      </c>
      <c r="N53" s="698" t="s">
        <v>597</v>
      </c>
      <c r="O53" s="2"/>
      <c r="P53" s="301" t="s">
        <v>641</v>
      </c>
      <c r="Q53" s="2"/>
      <c r="R53" s="2"/>
      <c r="S53" s="2"/>
      <c r="T53" s="2"/>
      <c r="U53" s="2"/>
      <c r="V53" s="2"/>
      <c r="W53" s="2"/>
      <c r="Y53" s="2"/>
      <c r="Z53" s="2"/>
      <c r="AA53" s="2"/>
      <c r="AB53" s="76"/>
      <c r="AC53" s="78"/>
      <c r="AD53" s="2"/>
      <c r="AE53" s="2"/>
      <c r="AF53" s="2"/>
      <c r="AG53" s="2"/>
      <c r="AH53" s="2"/>
      <c r="AI53" s="2"/>
      <c r="AK53" s="2"/>
      <c r="AL53" s="2"/>
      <c r="AM53" s="2"/>
      <c r="AN53" s="76"/>
      <c r="AO53" s="78"/>
      <c r="AP53" s="2"/>
      <c r="AQ53" s="2"/>
      <c r="AR53" s="2"/>
      <c r="AS53" s="2"/>
      <c r="AT53" s="2"/>
      <c r="AU53" s="2"/>
      <c r="AV53" s="458"/>
      <c r="AW53" s="2"/>
      <c r="AX53" s="456"/>
      <c r="AY53" s="363"/>
      <c r="AZ53" s="457"/>
      <c r="BA53" s="78"/>
      <c r="BB53" s="2"/>
      <c r="BC53" s="2"/>
      <c r="BD53" s="28">
        <v>3240</v>
      </c>
      <c r="BE53" s="26">
        <v>2700</v>
      </c>
      <c r="BF53" s="2"/>
      <c r="BG53" s="2"/>
      <c r="BH53" s="2"/>
      <c r="BI53" s="2"/>
      <c r="BJ53" s="2"/>
      <c r="BK53" s="2"/>
      <c r="BL53" s="131"/>
      <c r="BX53" s="131"/>
      <c r="CJ53" s="131"/>
      <c r="CV53" s="131"/>
      <c r="DH53" s="131"/>
      <c r="DT53" s="131"/>
    </row>
    <row r="54" spans="2:124" x14ac:dyDescent="0.25">
      <c r="B54" s="8"/>
      <c r="C54" t="s">
        <v>642</v>
      </c>
      <c r="D54" s="751">
        <v>25000</v>
      </c>
      <c r="E54" s="751"/>
      <c r="F54" s="751"/>
      <c r="G54" s="752"/>
      <c r="H54" s="751">
        <v>25000</v>
      </c>
      <c r="I54" s="752"/>
      <c r="J54" s="752"/>
      <c r="K54" s="753"/>
      <c r="M54" s="499"/>
      <c r="N54" s="442"/>
      <c r="O54" s="2">
        <f t="shared" ca="1" si="4"/>
        <v>5558.29</v>
      </c>
      <c r="P54" s="301" t="s">
        <v>137</v>
      </c>
      <c r="Q54" s="2"/>
      <c r="R54" s="2"/>
      <c r="S54" s="2"/>
      <c r="T54" s="2"/>
      <c r="U54" s="2"/>
      <c r="V54" s="2"/>
      <c r="W54" s="2"/>
      <c r="Y54" s="2"/>
      <c r="Z54" s="2"/>
      <c r="AA54" s="2"/>
      <c r="AB54" s="76"/>
      <c r="AC54" s="78"/>
      <c r="AD54" s="2"/>
      <c r="AE54" s="2"/>
      <c r="AF54" s="2"/>
      <c r="AG54" s="2"/>
      <c r="AH54" s="2"/>
      <c r="AI54" s="2"/>
      <c r="AK54" s="2"/>
      <c r="AL54" s="2"/>
      <c r="AM54" s="2"/>
      <c r="AN54" s="76"/>
      <c r="AO54" s="78"/>
      <c r="AP54" s="2"/>
      <c r="AQ54" s="2"/>
      <c r="AR54" s="2"/>
      <c r="AS54" s="2"/>
      <c r="AT54" s="2"/>
      <c r="AU54" s="2"/>
      <c r="AW54" s="2"/>
      <c r="AX54" s="2"/>
      <c r="AY54" s="2"/>
      <c r="AZ54" s="76"/>
      <c r="BA54" s="78"/>
      <c r="BB54" s="28">
        <v>1423.89</v>
      </c>
      <c r="BC54" s="28">
        <v>1355</v>
      </c>
      <c r="BD54" s="2"/>
      <c r="BE54" s="28">
        <v>2372.6799999999998</v>
      </c>
      <c r="BF54" s="28">
        <v>406.72</v>
      </c>
      <c r="BG54" s="2"/>
      <c r="BH54" s="2"/>
      <c r="BI54" s="2"/>
      <c r="BJ54" s="2"/>
      <c r="BK54" s="2"/>
      <c r="BL54" s="131"/>
      <c r="BX54" s="131"/>
      <c r="CJ54" s="131"/>
      <c r="CV54" s="131"/>
      <c r="DH54" s="131"/>
      <c r="DT54" s="131"/>
    </row>
    <row r="55" spans="2:124" x14ac:dyDescent="0.25">
      <c r="B55" s="13"/>
      <c r="C55" s="6" t="s">
        <v>134</v>
      </c>
      <c r="D55" s="767">
        <v>20000</v>
      </c>
      <c r="E55" s="767"/>
      <c r="F55" s="768"/>
      <c r="G55" s="768"/>
      <c r="H55" s="767">
        <v>20000</v>
      </c>
      <c r="I55" s="768"/>
      <c r="J55" s="768"/>
      <c r="K55" s="769"/>
      <c r="L55" s="770"/>
      <c r="M55" s="542"/>
      <c r="N55" s="445">
        <f t="shared" ref="N55:N62" ca="1" si="5">G55-O55</f>
        <v>0</v>
      </c>
      <c r="O55" s="374">
        <f t="shared" ca="1" si="4"/>
        <v>0</v>
      </c>
      <c r="P55" s="5" t="s">
        <v>568</v>
      </c>
      <c r="Q55" s="2"/>
      <c r="R55" s="2"/>
      <c r="S55" s="2"/>
      <c r="T55" s="2"/>
      <c r="U55" s="2"/>
      <c r="V55" s="2"/>
      <c r="W55" s="2"/>
      <c r="Y55" s="2"/>
      <c r="Z55" s="2"/>
      <c r="AA55" s="2"/>
      <c r="AB55" s="76"/>
      <c r="AC55" s="78"/>
      <c r="AD55" s="2"/>
      <c r="AE55" s="2"/>
      <c r="AF55" s="2"/>
      <c r="AG55" s="2"/>
      <c r="AH55" s="2"/>
      <c r="AI55" s="2"/>
      <c r="AK55" s="2"/>
      <c r="AL55" s="2"/>
      <c r="AM55" s="2"/>
      <c r="AN55" s="76"/>
      <c r="AO55" s="78"/>
      <c r="AP55" s="2"/>
      <c r="AQ55" s="2"/>
      <c r="AR55" s="2"/>
      <c r="AS55" s="2"/>
      <c r="AT55" s="2"/>
      <c r="AU55" s="2"/>
      <c r="AW55" s="2"/>
      <c r="AX55" s="2"/>
      <c r="AY55" s="2"/>
      <c r="AZ55" s="76"/>
      <c r="BA55" s="78"/>
      <c r="BB55" s="2"/>
      <c r="BC55" s="2"/>
      <c r="BD55" s="2"/>
      <c r="BE55" s="2"/>
      <c r="BF55" s="2"/>
      <c r="BG55" s="2"/>
      <c r="BH55" s="2"/>
      <c r="BI55" s="2"/>
      <c r="BJ55" s="2"/>
      <c r="BK55" s="2"/>
      <c r="BL55" s="131"/>
      <c r="BX55" s="131"/>
      <c r="CJ55" s="131"/>
      <c r="CV55" s="131"/>
      <c r="DH55" s="131"/>
      <c r="DT55" s="131"/>
    </row>
    <row r="56" spans="2:124" x14ac:dyDescent="0.25">
      <c r="B56" s="8" t="s">
        <v>566</v>
      </c>
      <c r="C56" t="s">
        <v>63</v>
      </c>
      <c r="D56" s="751">
        <v>9000</v>
      </c>
      <c r="E56" s="751">
        <v>0</v>
      </c>
      <c r="F56" s="751">
        <v>0</v>
      </c>
      <c r="G56" s="752"/>
      <c r="H56" s="751">
        <v>9000</v>
      </c>
      <c r="I56" s="752"/>
      <c r="J56" s="752"/>
      <c r="K56" s="753"/>
      <c r="M56" s="499"/>
      <c r="N56" s="442">
        <f t="shared" ca="1" si="5"/>
        <v>0</v>
      </c>
      <c r="O56" s="2">
        <f t="shared" ca="1" si="4"/>
        <v>0</v>
      </c>
      <c r="P56" s="302" t="s">
        <v>133</v>
      </c>
      <c r="Q56" s="2"/>
      <c r="R56" s="2"/>
      <c r="S56" s="2"/>
      <c r="T56" s="2"/>
      <c r="U56" s="2"/>
      <c r="V56" s="2"/>
      <c r="W56" s="2"/>
      <c r="Y56" s="2"/>
      <c r="Z56" s="2"/>
      <c r="AA56" s="2"/>
      <c r="AB56" s="76"/>
      <c r="AC56" s="78"/>
      <c r="AD56" s="2"/>
      <c r="AE56" s="2"/>
      <c r="AF56" s="2"/>
      <c r="AG56" s="2"/>
      <c r="AH56" s="2"/>
      <c r="AI56" s="2"/>
      <c r="AK56" s="2"/>
      <c r="AL56" s="2"/>
      <c r="AM56" s="2"/>
      <c r="AN56" s="76"/>
      <c r="AO56" s="78"/>
      <c r="AP56" s="2"/>
      <c r="AQ56" s="2"/>
      <c r="AR56" s="2"/>
      <c r="AS56" s="2"/>
      <c r="AT56" s="2"/>
      <c r="AU56" s="2"/>
      <c r="AW56" s="2"/>
      <c r="AX56" s="2"/>
      <c r="AY56" s="2"/>
      <c r="AZ56" s="76"/>
      <c r="BA56" s="78"/>
      <c r="BB56" s="2"/>
      <c r="BC56" s="2"/>
      <c r="BD56" s="2"/>
      <c r="BE56" s="2"/>
      <c r="BF56" s="2"/>
      <c r="BG56" s="2"/>
      <c r="BH56" s="2"/>
      <c r="BI56" s="2"/>
      <c r="BJ56" s="2"/>
      <c r="BK56" s="2"/>
      <c r="BL56" s="131"/>
      <c r="BX56" s="131"/>
      <c r="CJ56" s="131"/>
      <c r="CV56" s="131"/>
      <c r="DH56" s="131"/>
      <c r="DT56" s="131"/>
    </row>
    <row r="57" spans="2:124" x14ac:dyDescent="0.25">
      <c r="B57" s="8"/>
      <c r="C57" t="s">
        <v>68</v>
      </c>
      <c r="D57" s="751">
        <v>0</v>
      </c>
      <c r="E57" s="751">
        <v>0</v>
      </c>
      <c r="F57" s="751">
        <v>0</v>
      </c>
      <c r="G57" s="752"/>
      <c r="H57" s="751">
        <v>0</v>
      </c>
      <c r="I57" s="752"/>
      <c r="J57" s="752"/>
      <c r="K57" s="753"/>
      <c r="M57" s="499"/>
      <c r="N57" s="442">
        <f t="shared" ca="1" si="5"/>
        <v>0</v>
      </c>
      <c r="O57" s="2">
        <f t="shared" ca="1" si="4"/>
        <v>0</v>
      </c>
      <c r="P57" s="301" t="s">
        <v>568</v>
      </c>
      <c r="Q57" s="2"/>
      <c r="R57" s="2"/>
      <c r="S57" s="2"/>
      <c r="T57" s="2"/>
      <c r="U57" s="2"/>
      <c r="V57" s="2"/>
      <c r="W57" s="2"/>
      <c r="Y57" s="2"/>
      <c r="Z57" s="2"/>
      <c r="AA57" s="2"/>
      <c r="AB57" s="76"/>
      <c r="AC57" s="78"/>
      <c r="AD57" s="2"/>
      <c r="AE57" s="2"/>
      <c r="AF57" s="2"/>
      <c r="AG57" s="2"/>
      <c r="AH57" s="2"/>
      <c r="AI57" s="2"/>
      <c r="AK57" s="2"/>
      <c r="AL57" s="2"/>
      <c r="AM57" s="2"/>
      <c r="AN57" s="76"/>
      <c r="AO57" s="78"/>
      <c r="AP57" s="2"/>
      <c r="AQ57" s="2"/>
      <c r="AR57" s="2"/>
      <c r="AS57" s="2"/>
      <c r="AT57" s="2"/>
      <c r="AU57" s="2"/>
      <c r="AW57" s="2"/>
      <c r="AX57" s="2"/>
      <c r="AY57" s="2"/>
      <c r="AZ57" s="76"/>
      <c r="BA57" s="78"/>
      <c r="BB57" s="2"/>
      <c r="BC57" s="2"/>
      <c r="BD57" s="2"/>
      <c r="BE57" s="2"/>
      <c r="BF57" s="2"/>
      <c r="BG57" s="2"/>
      <c r="BH57" s="2"/>
      <c r="BI57" s="2"/>
      <c r="BJ57" s="2"/>
      <c r="BK57" s="2"/>
      <c r="BL57" s="131"/>
      <c r="BX57" s="131"/>
      <c r="CJ57" s="131"/>
      <c r="CV57" s="131"/>
      <c r="DH57" s="131"/>
      <c r="DT57" s="131"/>
    </row>
    <row r="58" spans="2:124" x14ac:dyDescent="0.25">
      <c r="B58" s="17"/>
      <c r="C58" s="6" t="s">
        <v>72</v>
      </c>
      <c r="D58" s="767">
        <v>2000</v>
      </c>
      <c r="E58" s="767"/>
      <c r="F58" s="768"/>
      <c r="G58" s="768"/>
      <c r="H58" s="767">
        <v>2000</v>
      </c>
      <c r="I58" s="768"/>
      <c r="J58" s="768"/>
      <c r="K58" s="769"/>
      <c r="L58" s="770"/>
      <c r="M58" s="542"/>
      <c r="N58" s="445">
        <f t="shared" ca="1" si="5"/>
        <v>0</v>
      </c>
      <c r="O58" s="374">
        <f t="shared" ca="1" si="4"/>
        <v>0</v>
      </c>
      <c r="P58" s="275"/>
      <c r="Q58" s="2"/>
      <c r="R58" s="2"/>
      <c r="S58" s="2"/>
      <c r="T58" s="2"/>
      <c r="U58" s="2"/>
      <c r="V58" s="2"/>
      <c r="W58" s="2"/>
      <c r="Y58" s="2"/>
      <c r="Z58" s="2"/>
      <c r="AA58" s="2"/>
      <c r="AB58" s="76"/>
      <c r="AC58" s="78"/>
      <c r="AD58" s="2"/>
      <c r="AE58" s="2"/>
      <c r="AF58" s="2"/>
      <c r="AG58" s="2"/>
      <c r="AH58" s="2"/>
      <c r="AI58" s="2"/>
      <c r="AK58" s="2"/>
      <c r="AL58" s="2"/>
      <c r="AM58" s="2"/>
      <c r="AN58" s="76"/>
      <c r="AO58" s="78"/>
      <c r="AP58" s="2"/>
      <c r="AQ58" s="2"/>
      <c r="AR58" s="2"/>
      <c r="AS58" s="2"/>
      <c r="AT58" s="2"/>
      <c r="AU58" s="2"/>
      <c r="AW58" s="2"/>
      <c r="AX58" s="2"/>
      <c r="AY58" s="2"/>
      <c r="AZ58" s="76"/>
      <c r="BA58" s="78"/>
      <c r="BB58" s="2"/>
      <c r="BC58" s="2"/>
      <c r="BD58" s="2"/>
      <c r="BE58" s="2"/>
      <c r="BF58" s="2"/>
      <c r="BG58" s="2"/>
      <c r="BH58" s="2"/>
      <c r="BI58" s="2"/>
      <c r="BJ58" s="2"/>
      <c r="BK58" s="2"/>
      <c r="BL58" s="131"/>
      <c r="BX58" s="131"/>
      <c r="CJ58" s="131"/>
      <c r="CV58" s="131"/>
      <c r="DH58" s="131"/>
      <c r="DT58" s="131"/>
    </row>
    <row r="59" spans="2:124" x14ac:dyDescent="0.25">
      <c r="B59" s="16" t="s">
        <v>570</v>
      </c>
      <c r="C59" t="s">
        <v>139</v>
      </c>
      <c r="D59" s="751">
        <v>90000</v>
      </c>
      <c r="E59" s="751"/>
      <c r="F59" s="751"/>
      <c r="G59" s="752"/>
      <c r="H59" s="751">
        <v>90000</v>
      </c>
      <c r="I59" s="752"/>
      <c r="J59" s="752"/>
      <c r="K59" s="753"/>
      <c r="M59" s="499"/>
      <c r="N59" s="442">
        <f t="shared" ca="1" si="5"/>
        <v>0</v>
      </c>
      <c r="O59" s="2">
        <f t="shared" ca="1" si="4"/>
        <v>0</v>
      </c>
      <c r="P59" s="301"/>
      <c r="Q59" s="2"/>
      <c r="R59" s="2"/>
      <c r="S59" s="2"/>
      <c r="T59" s="2"/>
      <c r="U59" s="2"/>
      <c r="V59" s="2"/>
      <c r="W59" s="2"/>
      <c r="X59" s="2"/>
      <c r="Y59" s="2"/>
      <c r="Z59" s="2"/>
      <c r="AA59" s="2"/>
      <c r="AB59" s="76"/>
      <c r="AC59" s="78"/>
      <c r="AD59" s="2"/>
      <c r="AE59" s="2"/>
      <c r="AF59" s="2"/>
      <c r="AG59" s="2"/>
      <c r="AH59" s="2"/>
      <c r="AI59" s="2"/>
      <c r="AJ59" s="2"/>
      <c r="AK59" s="2"/>
      <c r="AL59" s="2"/>
      <c r="AM59" s="2"/>
      <c r="AN59" s="76"/>
      <c r="AO59" s="78"/>
      <c r="AP59" s="2"/>
      <c r="AQ59" s="2"/>
      <c r="AR59" s="2"/>
      <c r="AS59" s="2"/>
      <c r="AT59" s="2"/>
      <c r="AU59" s="2"/>
      <c r="AV59" s="2"/>
      <c r="AW59" s="2"/>
      <c r="AX59" s="2"/>
      <c r="AY59" s="2"/>
      <c r="AZ59" s="76"/>
      <c r="BA59" s="78"/>
      <c r="BB59" s="2"/>
      <c r="BC59" s="2"/>
      <c r="BD59" s="2"/>
      <c r="BE59" s="2"/>
      <c r="BF59" s="2"/>
      <c r="BG59" s="2"/>
      <c r="BH59" s="2"/>
      <c r="BI59" s="2"/>
      <c r="BJ59" s="2"/>
      <c r="BK59" s="2"/>
      <c r="BL59" s="131"/>
      <c r="BX59" s="131"/>
      <c r="CJ59" s="131"/>
      <c r="CV59" s="131"/>
      <c r="DH59" s="131"/>
      <c r="DT59" s="131"/>
    </row>
    <row r="60" spans="2:124" x14ac:dyDescent="0.25">
      <c r="B60" s="16"/>
      <c r="C60" t="s">
        <v>83</v>
      </c>
      <c r="D60" s="751">
        <v>6000</v>
      </c>
      <c r="E60" s="751"/>
      <c r="F60" s="751"/>
      <c r="G60" s="752"/>
      <c r="H60" s="751">
        <v>6000</v>
      </c>
      <c r="I60" s="752"/>
      <c r="J60" s="752"/>
      <c r="K60" s="753"/>
      <c r="M60" s="499"/>
      <c r="N60" s="442">
        <f t="shared" ca="1" si="5"/>
        <v>0</v>
      </c>
      <c r="O60" s="2">
        <f t="shared" ca="1" si="4"/>
        <v>0</v>
      </c>
      <c r="P60" s="301" t="s">
        <v>120</v>
      </c>
      <c r="Q60" s="2"/>
      <c r="R60" s="2"/>
      <c r="S60" s="2"/>
      <c r="T60" s="2"/>
      <c r="U60" s="2"/>
      <c r="V60" s="2"/>
      <c r="W60" s="2"/>
      <c r="X60" s="2"/>
      <c r="Y60" s="2"/>
      <c r="Z60" s="2"/>
      <c r="AA60" s="2"/>
      <c r="AB60" s="76"/>
      <c r="AC60" s="78"/>
      <c r="AD60" s="2"/>
      <c r="AE60" s="2"/>
      <c r="AF60" s="2"/>
      <c r="AG60" s="2"/>
      <c r="AH60" s="2"/>
      <c r="AI60" s="2"/>
      <c r="AJ60" s="2"/>
      <c r="AK60" s="2"/>
      <c r="AL60" s="2"/>
      <c r="AM60" s="2"/>
      <c r="AN60" s="76"/>
      <c r="AO60" s="78"/>
      <c r="AP60" s="2"/>
      <c r="AQ60" s="2"/>
      <c r="AR60" s="2"/>
      <c r="AS60" s="2"/>
      <c r="AT60" s="2"/>
      <c r="AU60" s="2"/>
      <c r="AV60" s="2"/>
      <c r="AW60" s="2"/>
      <c r="AX60" s="2"/>
      <c r="AY60" s="2"/>
      <c r="AZ60" s="76"/>
      <c r="BA60" s="78"/>
      <c r="BB60" s="2"/>
      <c r="BC60" s="2"/>
      <c r="BD60" s="2"/>
      <c r="BE60" s="2"/>
      <c r="BF60" s="2"/>
      <c r="BG60" s="2"/>
      <c r="BH60" s="2"/>
      <c r="BI60" s="2"/>
      <c r="BJ60" s="2"/>
      <c r="BK60" s="2"/>
      <c r="BL60" s="131"/>
      <c r="BX60" s="131"/>
      <c r="CJ60" s="131"/>
      <c r="CV60" s="131"/>
      <c r="DH60" s="131"/>
      <c r="DT60" s="131"/>
    </row>
    <row r="61" spans="2:124" x14ac:dyDescent="0.25">
      <c r="B61" s="16"/>
      <c r="C61" t="s">
        <v>75</v>
      </c>
      <c r="D61" s="751">
        <v>1000</v>
      </c>
      <c r="E61" s="751"/>
      <c r="F61" s="751"/>
      <c r="G61" s="751"/>
      <c r="H61" s="751">
        <v>1000</v>
      </c>
      <c r="I61" s="751"/>
      <c r="J61" s="752"/>
      <c r="K61" s="753"/>
      <c r="M61" s="499"/>
      <c r="N61" s="442">
        <f t="shared" ca="1" si="5"/>
        <v>0</v>
      </c>
      <c r="O61" s="76">
        <f t="shared" ca="1" si="4"/>
        <v>0</v>
      </c>
      <c r="P61" s="5" t="s">
        <v>571</v>
      </c>
      <c r="Q61" s="2"/>
      <c r="R61" s="2"/>
      <c r="S61" s="2"/>
      <c r="T61" s="2"/>
      <c r="U61" s="2"/>
      <c r="V61" s="2"/>
      <c r="W61" s="2"/>
      <c r="X61" s="2"/>
      <c r="Y61" s="2"/>
      <c r="Z61" s="2"/>
      <c r="AA61" s="2"/>
      <c r="AB61" s="76"/>
      <c r="AC61" s="78"/>
      <c r="AD61" s="2"/>
      <c r="AE61" s="2"/>
      <c r="AF61" s="2"/>
      <c r="AG61" s="2"/>
      <c r="AH61" s="2"/>
      <c r="AI61" s="2"/>
      <c r="AJ61" s="2"/>
      <c r="AK61" s="2"/>
      <c r="AL61" s="2"/>
      <c r="AM61" s="2"/>
      <c r="AN61" s="76"/>
      <c r="AO61" s="78"/>
      <c r="AP61" s="2"/>
      <c r="AQ61" s="2"/>
      <c r="AR61" s="2"/>
      <c r="AS61" s="2"/>
      <c r="AT61" s="2"/>
      <c r="AU61" s="2"/>
      <c r="AV61" s="2"/>
      <c r="AW61" s="2"/>
      <c r="AX61" s="2"/>
      <c r="AY61" s="2"/>
      <c r="AZ61" s="76"/>
      <c r="BA61" s="78"/>
      <c r="BB61" s="2"/>
      <c r="BC61" s="2"/>
      <c r="BD61" s="2"/>
      <c r="BE61" s="2"/>
      <c r="BF61" s="2"/>
      <c r="BG61" s="2"/>
      <c r="BH61" s="2"/>
      <c r="BI61" s="2"/>
      <c r="BJ61" s="2"/>
      <c r="BK61" s="2"/>
      <c r="BL61" s="131"/>
      <c r="BX61" s="131"/>
      <c r="CJ61" s="131"/>
      <c r="CV61" s="131"/>
      <c r="DH61" s="131"/>
      <c r="DT61" s="131"/>
    </row>
    <row r="62" spans="2:124" x14ac:dyDescent="0.25">
      <c r="B62" s="285" t="s">
        <v>643</v>
      </c>
      <c r="C62" s="15" t="s">
        <v>644</v>
      </c>
      <c r="D62" s="758"/>
      <c r="E62" s="758"/>
      <c r="F62" s="759"/>
      <c r="G62" s="759"/>
      <c r="H62" s="759"/>
      <c r="I62" s="759"/>
      <c r="J62" s="759"/>
      <c r="K62" s="764"/>
      <c r="L62" s="765"/>
      <c r="M62" s="501"/>
      <c r="N62" s="444">
        <f t="shared" ca="1" si="5"/>
        <v>0</v>
      </c>
      <c r="O62" s="140">
        <f t="shared" ca="1" si="4"/>
        <v>0</v>
      </c>
      <c r="P62" s="274"/>
      <c r="Q62" s="2"/>
      <c r="R62" s="2"/>
      <c r="S62" s="2"/>
      <c r="T62" s="2"/>
      <c r="U62" s="2"/>
      <c r="V62" s="2"/>
      <c r="W62" s="2"/>
      <c r="X62" s="2"/>
      <c r="Y62" s="2"/>
      <c r="Z62" s="2"/>
      <c r="AA62" s="2"/>
      <c r="AB62" s="76"/>
      <c r="AC62" s="78"/>
      <c r="AD62" s="2"/>
      <c r="AE62" s="2"/>
      <c r="AF62" s="2"/>
      <c r="AG62" s="2"/>
      <c r="AH62" s="2"/>
      <c r="AI62" s="2"/>
      <c r="AJ62" s="2"/>
      <c r="AK62" s="2"/>
      <c r="AL62" s="2"/>
      <c r="AM62" s="2"/>
      <c r="AN62" s="76"/>
      <c r="AO62" s="78"/>
      <c r="AP62" s="2"/>
      <c r="AQ62" s="2"/>
      <c r="AR62" s="2"/>
      <c r="AS62" s="2"/>
      <c r="AT62" s="2"/>
      <c r="AU62" s="2"/>
      <c r="AV62" s="2"/>
      <c r="AW62" s="2"/>
      <c r="AX62" s="2"/>
      <c r="AY62" s="2"/>
      <c r="AZ62" s="76"/>
      <c r="BA62" s="78"/>
      <c r="BB62" s="2"/>
      <c r="BC62" s="2"/>
      <c r="BD62" s="2"/>
      <c r="BE62" s="2"/>
      <c r="BF62" s="2"/>
      <c r="BG62" s="2"/>
      <c r="BH62" s="2"/>
      <c r="BI62" s="2"/>
      <c r="BJ62" s="2"/>
      <c r="BK62" s="2"/>
      <c r="BL62" s="131"/>
      <c r="BX62" s="131"/>
      <c r="CJ62" s="131"/>
      <c r="CV62" s="131"/>
      <c r="DH62" s="131"/>
      <c r="DT62" s="131"/>
    </row>
    <row r="63" spans="2:124" x14ac:dyDescent="0.25">
      <c r="B63" s="257" t="s">
        <v>88</v>
      </c>
      <c r="C63" s="3" t="s">
        <v>645</v>
      </c>
      <c r="D63" s="751">
        <f>202000+134000</f>
        <v>336000</v>
      </c>
      <c r="E63" s="751"/>
      <c r="F63" s="751">
        <f>218004.5+1813</f>
        <v>219817.5</v>
      </c>
      <c r="G63" s="751">
        <v>218004.5</v>
      </c>
      <c r="H63" s="775">
        <v>218004.5</v>
      </c>
      <c r="I63" s="775"/>
      <c r="J63" s="752"/>
      <c r="K63" s="753"/>
      <c r="L63" s="442">
        <v>187740</v>
      </c>
      <c r="M63" s="696" t="s">
        <v>646</v>
      </c>
      <c r="N63" s="698" t="s">
        <v>597</v>
      </c>
      <c r="O63" s="76">
        <f t="shared" ca="1" si="4"/>
        <v>73056.790000000008</v>
      </c>
      <c r="P63" s="301" t="s">
        <v>144</v>
      </c>
      <c r="Q63" s="2"/>
      <c r="R63" s="2"/>
      <c r="S63" s="2"/>
      <c r="T63" s="2"/>
      <c r="U63" s="2"/>
      <c r="V63" s="2"/>
      <c r="W63" s="2"/>
      <c r="X63" s="2"/>
      <c r="Y63" s="2"/>
      <c r="Z63" s="2"/>
      <c r="AA63" s="2"/>
      <c r="AB63" s="76"/>
      <c r="AC63" s="78"/>
      <c r="AD63" s="2"/>
      <c r="AE63" s="2"/>
      <c r="AF63" s="2"/>
      <c r="AG63" s="2"/>
      <c r="AH63" s="2"/>
      <c r="AI63" s="2"/>
      <c r="AJ63" s="2"/>
      <c r="AK63" s="2"/>
      <c r="AL63" s="2"/>
      <c r="AM63" s="2"/>
      <c r="AN63" s="76"/>
      <c r="AO63" s="78"/>
      <c r="AP63" s="2"/>
      <c r="AQ63" s="2"/>
      <c r="AR63" s="2"/>
      <c r="AS63" s="2"/>
      <c r="AT63" s="2"/>
      <c r="AU63" s="288">
        <v>429</v>
      </c>
      <c r="AV63" s="2"/>
      <c r="AW63" s="2"/>
      <c r="AX63" s="288">
        <v>2472.67</v>
      </c>
      <c r="AY63" s="288">
        <v>1256</v>
      </c>
      <c r="AZ63" s="354">
        <v>11921.51</v>
      </c>
      <c r="BA63" s="365">
        <v>14184.83</v>
      </c>
      <c r="BB63" s="28">
        <f>15116.75+3465.5</f>
        <v>18582.25</v>
      </c>
      <c r="BC63" s="28">
        <v>4077.25</v>
      </c>
      <c r="BD63" s="28">
        <v>5105.75</v>
      </c>
      <c r="BE63" s="28">
        <v>5857.17</v>
      </c>
      <c r="BF63" s="28">
        <v>9170.36</v>
      </c>
      <c r="BG63" s="2"/>
      <c r="BH63" s="2"/>
      <c r="BI63" s="2"/>
      <c r="BJ63" s="2"/>
      <c r="BK63" s="2"/>
      <c r="BL63" s="131"/>
      <c r="BX63" s="131"/>
      <c r="CJ63" s="131"/>
      <c r="CV63" s="131"/>
      <c r="DH63" s="131"/>
      <c r="DT63" s="131"/>
    </row>
    <row r="64" spans="2:124" x14ac:dyDescent="0.25">
      <c r="B64" s="16"/>
      <c r="D64" s="751"/>
      <c r="E64" s="751"/>
      <c r="F64" s="751"/>
      <c r="G64" s="751"/>
      <c r="H64" s="751"/>
      <c r="I64" s="751"/>
      <c r="J64" s="752"/>
      <c r="K64" s="753"/>
      <c r="M64" s="499"/>
      <c r="N64" s="442">
        <f ca="1">G64-O64</f>
        <v>0</v>
      </c>
      <c r="O64" s="76">
        <f t="shared" ca="1" si="4"/>
        <v>0</v>
      </c>
      <c r="P64" s="301" t="s">
        <v>144</v>
      </c>
      <c r="Q64" s="2"/>
      <c r="R64" s="2"/>
      <c r="S64" s="2"/>
      <c r="T64" s="2"/>
      <c r="U64" s="2"/>
      <c r="V64" s="2"/>
      <c r="W64" s="2"/>
      <c r="X64" s="2"/>
      <c r="Y64" s="2"/>
      <c r="Z64" s="2"/>
      <c r="AA64" s="2"/>
      <c r="AB64" s="76"/>
      <c r="AC64" s="78"/>
      <c r="AD64" s="2"/>
      <c r="AE64" s="2"/>
      <c r="AF64" s="2"/>
      <c r="AG64" s="2"/>
      <c r="AH64" s="2"/>
      <c r="AI64" s="2"/>
      <c r="AJ64" s="2"/>
      <c r="AK64" s="2"/>
      <c r="AL64" s="2"/>
      <c r="AM64" s="2"/>
      <c r="AN64" s="76"/>
      <c r="AO64" s="78"/>
      <c r="AP64" s="2"/>
      <c r="AQ64" s="2"/>
      <c r="AR64" s="2"/>
      <c r="AS64" s="2"/>
      <c r="AT64" s="2"/>
      <c r="AU64" s="2"/>
      <c r="AV64" s="2"/>
      <c r="AW64" s="2"/>
      <c r="AX64" s="2"/>
      <c r="AY64" s="2"/>
      <c r="AZ64" s="76"/>
      <c r="BA64" s="78"/>
      <c r="BB64" s="2"/>
      <c r="BC64" s="2"/>
      <c r="BD64" s="2"/>
      <c r="BE64" s="2"/>
      <c r="BF64" s="2"/>
      <c r="BG64" s="2"/>
      <c r="BH64" s="2"/>
      <c r="BI64" s="2"/>
      <c r="BJ64" s="2"/>
      <c r="BK64" s="2"/>
      <c r="BL64" s="131"/>
      <c r="BX64" s="131"/>
      <c r="CJ64" s="131"/>
      <c r="CV64" s="131"/>
      <c r="DH64" s="131"/>
      <c r="DT64" s="131"/>
    </row>
    <row r="65" spans="2:127" x14ac:dyDescent="0.25">
      <c r="B65" s="16"/>
      <c r="C65" t="s">
        <v>574</v>
      </c>
      <c r="D65" s="751">
        <v>120000</v>
      </c>
      <c r="E65" s="751"/>
      <c r="F65" s="751"/>
      <c r="G65" s="752"/>
      <c r="H65" s="751">
        <v>120000</v>
      </c>
      <c r="I65" s="752"/>
      <c r="J65" s="752"/>
      <c r="K65" s="753"/>
      <c r="M65" s="499"/>
      <c r="N65" s="442">
        <f ca="1">G65-O65</f>
        <v>0</v>
      </c>
      <c r="O65" s="2">
        <f t="shared" ca="1" si="4"/>
        <v>0</v>
      </c>
      <c r="P65" s="301"/>
      <c r="Q65" s="2"/>
      <c r="R65" s="2"/>
      <c r="S65" s="2"/>
      <c r="T65" s="2"/>
      <c r="U65" s="2"/>
      <c r="V65" s="2"/>
      <c r="W65" s="2"/>
      <c r="X65" s="2"/>
      <c r="Y65" s="2"/>
      <c r="Z65" s="2"/>
      <c r="AA65" s="2"/>
      <c r="AB65" s="76"/>
      <c r="AC65" s="78"/>
      <c r="AD65" s="2"/>
      <c r="AE65" s="2"/>
      <c r="AF65" s="2"/>
      <c r="AG65" s="2"/>
      <c r="AH65" s="2"/>
      <c r="AI65" s="2"/>
      <c r="AJ65" s="2"/>
      <c r="AK65" s="2"/>
      <c r="AL65" s="2"/>
      <c r="AM65" s="2"/>
      <c r="AN65" s="76"/>
      <c r="AO65" s="78"/>
      <c r="AP65" s="2"/>
      <c r="AQ65" s="2"/>
      <c r="AR65" s="2"/>
      <c r="AS65" s="2"/>
      <c r="AT65" s="2"/>
      <c r="AU65" s="2"/>
      <c r="AV65" s="2"/>
      <c r="AW65" s="2"/>
      <c r="AX65" s="2"/>
      <c r="AY65" s="2"/>
      <c r="AZ65" s="76"/>
      <c r="BA65" s="78"/>
      <c r="BB65" s="2"/>
      <c r="BC65" s="2"/>
      <c r="BD65" s="2"/>
      <c r="BE65" s="2"/>
      <c r="BF65" s="2"/>
      <c r="BG65" s="2"/>
      <c r="BH65" s="2"/>
      <c r="BI65" s="2"/>
      <c r="BJ65" s="2"/>
      <c r="BK65" s="2"/>
      <c r="BL65" s="131"/>
      <c r="BX65" s="131"/>
      <c r="CJ65" s="131"/>
      <c r="CV65" s="131"/>
      <c r="DH65" s="131"/>
      <c r="DT65" s="131"/>
    </row>
    <row r="66" spans="2:127" x14ac:dyDescent="0.25">
      <c r="B66" s="16"/>
      <c r="C66" t="s">
        <v>91</v>
      </c>
      <c r="D66" s="751">
        <v>650000</v>
      </c>
      <c r="E66" s="751"/>
      <c r="F66" s="751"/>
      <c r="G66" s="752"/>
      <c r="H66" s="751">
        <v>650000</v>
      </c>
      <c r="I66" s="752"/>
      <c r="J66" s="752"/>
      <c r="K66" s="753"/>
      <c r="M66" s="499"/>
      <c r="N66" s="442">
        <f ca="1">G66-O66</f>
        <v>0</v>
      </c>
      <c r="O66" s="2">
        <f t="shared" ca="1" si="4"/>
        <v>0</v>
      </c>
      <c r="P66" s="301"/>
      <c r="Q66" s="2"/>
      <c r="R66" s="2"/>
      <c r="S66" s="2"/>
      <c r="T66" s="2"/>
      <c r="U66" s="2"/>
      <c r="V66" s="2"/>
      <c r="W66" s="2"/>
      <c r="X66" s="2"/>
      <c r="Y66" s="2"/>
      <c r="Z66" s="2"/>
      <c r="AA66" s="2"/>
      <c r="AB66" s="76"/>
      <c r="AC66" s="78"/>
      <c r="AD66" s="2"/>
      <c r="AE66" s="2"/>
      <c r="AF66" s="2"/>
      <c r="AG66" s="2"/>
      <c r="AH66" s="2"/>
      <c r="AI66" s="2"/>
      <c r="AJ66" s="2"/>
      <c r="AK66" s="2"/>
      <c r="AL66" s="2"/>
      <c r="AM66" s="2"/>
      <c r="AN66" s="76"/>
      <c r="AO66" s="78"/>
      <c r="AP66" s="2"/>
      <c r="AQ66" s="2"/>
      <c r="AR66" s="2"/>
      <c r="AS66" s="2"/>
      <c r="AT66" s="2"/>
      <c r="AU66" s="2"/>
      <c r="AV66" s="2"/>
      <c r="AW66" s="2"/>
      <c r="AX66" s="2"/>
      <c r="AY66" s="2"/>
      <c r="AZ66" s="76"/>
      <c r="BA66" s="78"/>
      <c r="BB66" s="2"/>
      <c r="BC66" s="2"/>
      <c r="BD66" s="2"/>
      <c r="BE66" s="2"/>
      <c r="BF66" s="2"/>
      <c r="BG66" s="2"/>
      <c r="BH66" s="2"/>
      <c r="BI66" s="2"/>
      <c r="BJ66" s="2"/>
      <c r="BK66" s="2"/>
      <c r="BL66" s="131"/>
      <c r="BX66" s="131"/>
      <c r="CJ66" s="131"/>
      <c r="CV66" s="131"/>
      <c r="DH66" s="131"/>
      <c r="DT66" s="131"/>
    </row>
    <row r="67" spans="2:127" ht="15.75" thickBot="1" x14ac:dyDescent="0.3">
      <c r="B67" s="16"/>
      <c r="C67" t="s">
        <v>92</v>
      </c>
      <c r="D67" s="767">
        <v>100000</v>
      </c>
      <c r="E67" s="767"/>
      <c r="F67" s="768"/>
      <c r="G67" s="768"/>
      <c r="H67" s="767">
        <v>100000</v>
      </c>
      <c r="I67" s="768"/>
      <c r="J67" s="768"/>
      <c r="K67" s="769"/>
      <c r="L67" s="770"/>
      <c r="M67" s="542"/>
      <c r="N67" s="445">
        <f ca="1">G67-O67</f>
        <v>0</v>
      </c>
      <c r="O67" s="374">
        <f t="shared" ca="1" si="4"/>
        <v>0</v>
      </c>
      <c r="P67" s="5"/>
      <c r="Q67" s="2"/>
      <c r="R67" s="2"/>
      <c r="S67" s="2"/>
      <c r="T67" s="2"/>
      <c r="U67" s="2"/>
      <c r="V67" s="2"/>
      <c r="W67" s="2"/>
      <c r="X67" s="2"/>
      <c r="Y67" s="2"/>
      <c r="Z67" s="2"/>
      <c r="AA67" s="2"/>
      <c r="AB67" s="76"/>
      <c r="AC67" s="78"/>
      <c r="AD67" s="2"/>
      <c r="AE67" s="2"/>
      <c r="AF67" s="2"/>
      <c r="AG67" s="2"/>
      <c r="AH67" s="2"/>
      <c r="AI67" s="2"/>
      <c r="AJ67" s="2"/>
      <c r="AK67" s="2"/>
      <c r="AL67" s="2"/>
      <c r="AM67" s="2"/>
      <c r="AN67" s="76"/>
      <c r="AO67" s="78"/>
      <c r="AP67" s="2"/>
      <c r="AQ67" s="2"/>
      <c r="AR67" s="2"/>
      <c r="AS67" s="162"/>
      <c r="AT67" s="162"/>
      <c r="AU67" s="2"/>
      <c r="AV67" s="2"/>
      <c r="AW67" s="2"/>
      <c r="AX67" s="2"/>
      <c r="AY67" s="2"/>
      <c r="AZ67" s="76"/>
      <c r="BA67" s="78"/>
      <c r="BB67" s="2"/>
      <c r="BC67" s="2"/>
      <c r="BD67" s="2"/>
      <c r="BE67" s="2"/>
      <c r="BF67" s="2"/>
      <c r="BG67" s="2"/>
      <c r="BH67" s="2"/>
      <c r="BI67" s="2"/>
      <c r="BJ67" s="2"/>
      <c r="BK67" s="2"/>
      <c r="BL67" s="131"/>
      <c r="BX67" s="131"/>
      <c r="CJ67" s="131"/>
      <c r="CV67" s="131"/>
      <c r="DH67" s="131"/>
      <c r="DT67" s="131"/>
    </row>
    <row r="68" spans="2:127" ht="15.75" thickBot="1" x14ac:dyDescent="0.3">
      <c r="B68" s="14" t="s">
        <v>93</v>
      </c>
      <c r="C68" s="15" t="s">
        <v>94</v>
      </c>
      <c r="D68" s="767">
        <f>SUM(D12:D48)*0.1</f>
        <v>435685.5</v>
      </c>
      <c r="E68" s="767">
        <v>0</v>
      </c>
      <c r="F68" s="767"/>
      <c r="G68" s="768"/>
      <c r="H68" s="768"/>
      <c r="I68" s="768"/>
      <c r="J68" s="768"/>
      <c r="K68" s="769"/>
      <c r="L68" s="770"/>
      <c r="M68" s="542"/>
      <c r="N68" s="445"/>
      <c r="O68" s="450" t="s">
        <v>199</v>
      </c>
      <c r="P68" s="263"/>
      <c r="Q68" s="155">
        <f t="shared" ref="Q68:AV68" si="6">SUM(Q12:Q62)*0.1</f>
        <v>0</v>
      </c>
      <c r="R68" s="155">
        <f t="shared" si="6"/>
        <v>0</v>
      </c>
      <c r="S68" s="155">
        <f t="shared" si="6"/>
        <v>0</v>
      </c>
      <c r="T68" s="155">
        <f t="shared" si="6"/>
        <v>0</v>
      </c>
      <c r="U68" s="155">
        <f t="shared" si="6"/>
        <v>0</v>
      </c>
      <c r="V68" s="155">
        <f t="shared" si="6"/>
        <v>0</v>
      </c>
      <c r="W68" s="155">
        <f t="shared" si="6"/>
        <v>0</v>
      </c>
      <c r="X68" s="155">
        <f t="shared" si="6"/>
        <v>0</v>
      </c>
      <c r="Y68" s="155">
        <f t="shared" si="6"/>
        <v>0</v>
      </c>
      <c r="Z68" s="155">
        <f t="shared" si="6"/>
        <v>0</v>
      </c>
      <c r="AA68" s="155">
        <f t="shared" si="6"/>
        <v>0</v>
      </c>
      <c r="AB68" s="156">
        <f t="shared" si="6"/>
        <v>0</v>
      </c>
      <c r="AC68" s="81">
        <f t="shared" si="6"/>
        <v>0</v>
      </c>
      <c r="AD68" s="155">
        <f t="shared" si="6"/>
        <v>0</v>
      </c>
      <c r="AE68" s="155">
        <f t="shared" si="6"/>
        <v>0</v>
      </c>
      <c r="AF68" s="155">
        <f t="shared" si="6"/>
        <v>0</v>
      </c>
      <c r="AG68" s="155">
        <f t="shared" si="6"/>
        <v>0</v>
      </c>
      <c r="AH68" s="155">
        <f t="shared" si="6"/>
        <v>0</v>
      </c>
      <c r="AI68" s="155">
        <f t="shared" si="6"/>
        <v>0</v>
      </c>
      <c r="AJ68" s="155">
        <f t="shared" si="6"/>
        <v>0</v>
      </c>
      <c r="AK68" s="155">
        <f t="shared" si="6"/>
        <v>0</v>
      </c>
      <c r="AL68" s="155">
        <f t="shared" si="6"/>
        <v>0</v>
      </c>
      <c r="AM68" s="155">
        <f t="shared" si="6"/>
        <v>0</v>
      </c>
      <c r="AN68" s="156">
        <f t="shared" si="6"/>
        <v>0</v>
      </c>
      <c r="AO68" s="81">
        <f t="shared" si="6"/>
        <v>0</v>
      </c>
      <c r="AP68" s="155">
        <f t="shared" si="6"/>
        <v>0</v>
      </c>
      <c r="AQ68" s="155">
        <f t="shared" si="6"/>
        <v>0</v>
      </c>
      <c r="AR68" s="155">
        <f t="shared" si="6"/>
        <v>0</v>
      </c>
      <c r="AS68" s="155">
        <f t="shared" si="6"/>
        <v>0</v>
      </c>
      <c r="AT68" s="155">
        <f t="shared" si="6"/>
        <v>847.125</v>
      </c>
      <c r="AU68" s="155">
        <f t="shared" si="6"/>
        <v>3246.9</v>
      </c>
      <c r="AV68" s="155">
        <f t="shared" si="6"/>
        <v>4495.5329999999994</v>
      </c>
      <c r="AW68" s="155">
        <f t="shared" ref="AW68:BQ68" si="7">SUM(AW12:AW62)*0.1</f>
        <v>5664.9800000000005</v>
      </c>
      <c r="AX68" s="155">
        <f t="shared" si="7"/>
        <v>16137.332999999997</v>
      </c>
      <c r="AY68" s="155">
        <f t="shared" si="7"/>
        <v>16068.160000000002</v>
      </c>
      <c r="AZ68" s="156">
        <f t="shared" si="7"/>
        <v>15129.289000000002</v>
      </c>
      <c r="BA68" s="81">
        <f t="shared" si="7"/>
        <v>14246.820000000002</v>
      </c>
      <c r="BB68" s="155">
        <f t="shared" si="7"/>
        <v>39717.365000000005</v>
      </c>
      <c r="BC68" s="155">
        <f t="shared" si="7"/>
        <v>19316.414000000001</v>
      </c>
      <c r="BD68" s="155">
        <f t="shared" si="7"/>
        <v>26454.970999999998</v>
      </c>
      <c r="BE68" s="155">
        <f t="shared" si="7"/>
        <v>27240.252000000004</v>
      </c>
      <c r="BF68" s="155">
        <f t="shared" si="7"/>
        <v>22214.478999999999</v>
      </c>
      <c r="BG68" s="155">
        <f>SUM(BG12:BG62)*0.1</f>
        <v>4080.7000000000003</v>
      </c>
      <c r="BH68" s="155">
        <f t="shared" si="7"/>
        <v>0</v>
      </c>
      <c r="BI68" s="155">
        <f t="shared" si="7"/>
        <v>0</v>
      </c>
      <c r="BJ68" s="155">
        <f t="shared" si="7"/>
        <v>0</v>
      </c>
      <c r="BK68" s="155">
        <f t="shared" si="7"/>
        <v>0</v>
      </c>
      <c r="BL68" s="156">
        <f t="shared" si="7"/>
        <v>0</v>
      </c>
      <c r="BM68" s="155">
        <f t="shared" si="7"/>
        <v>0</v>
      </c>
      <c r="BN68" s="155">
        <f t="shared" si="7"/>
        <v>0</v>
      </c>
      <c r="BO68" s="155">
        <f t="shared" si="7"/>
        <v>0</v>
      </c>
      <c r="BP68" s="155">
        <f t="shared" si="7"/>
        <v>0</v>
      </c>
      <c r="BQ68" s="155">
        <f t="shared" si="7"/>
        <v>0</v>
      </c>
      <c r="BR68" s="252"/>
      <c r="BS68" s="252"/>
      <c r="BT68" s="252"/>
      <c r="BU68" s="252"/>
      <c r="BV68" s="252"/>
      <c r="BW68" s="252"/>
      <c r="BX68" s="253"/>
      <c r="BY68" s="155">
        <f>SUM(BY12:BY62)*0.1</f>
        <v>0</v>
      </c>
      <c r="BZ68" s="155">
        <f>SUM(BZ12:BZ62)*0.1</f>
        <v>0</v>
      </c>
      <c r="CA68" s="155">
        <f>SUM(CA12:CA62)*0.1</f>
        <v>0</v>
      </c>
      <c r="CB68" s="155">
        <f>SUM(CB12:CB62)*0.1</f>
        <v>0</v>
      </c>
      <c r="CC68" s="155">
        <f>SUM(CC12:CC62)*0.1</f>
        <v>0</v>
      </c>
      <c r="CD68" s="252"/>
      <c r="CE68" s="252"/>
      <c r="CF68" s="252"/>
      <c r="CG68" s="252"/>
      <c r="CH68" s="252"/>
      <c r="CI68" s="252"/>
      <c r="CJ68" s="253"/>
      <c r="CK68" s="155">
        <f>SUM(CK12:CK62)*0.1</f>
        <v>0</v>
      </c>
      <c r="CL68" s="155">
        <f>SUM(CL12:CL62)*0.1</f>
        <v>0</v>
      </c>
      <c r="CM68" s="155">
        <f>SUM(CM12:CM62)*0.1</f>
        <v>0</v>
      </c>
      <c r="CN68" s="155">
        <f>SUM(CN12:CN62)*0.1</f>
        <v>0</v>
      </c>
      <c r="CO68" s="155">
        <f>SUM(CO12:CO62)*0.1</f>
        <v>0</v>
      </c>
      <c r="CP68" s="252"/>
      <c r="CQ68" s="252"/>
      <c r="CR68" s="252"/>
      <c r="CS68" s="252"/>
      <c r="CT68" s="252"/>
      <c r="CU68" s="252"/>
      <c r="CV68" s="253"/>
      <c r="CW68" s="155">
        <f>SUM(CW12:CW62)*0.1</f>
        <v>0</v>
      </c>
      <c r="CX68" s="155">
        <f>SUM(CX12:CX62)*0.1</f>
        <v>0</v>
      </c>
      <c r="CY68" s="155">
        <f>SUM(CY12:CY62)*0.1</f>
        <v>0</v>
      </c>
      <c r="CZ68" s="155">
        <f>SUM(CZ12:CZ62)*0.1</f>
        <v>0</v>
      </c>
      <c r="DA68" s="155">
        <f>SUM(DA12:DA62)*0.1</f>
        <v>0</v>
      </c>
      <c r="DB68" s="252"/>
      <c r="DC68" s="252"/>
      <c r="DD68" s="252"/>
      <c r="DE68" s="252"/>
      <c r="DF68" s="252"/>
      <c r="DG68" s="252"/>
      <c r="DH68" s="253"/>
      <c r="DI68" s="155">
        <f>SUM(DI12:DI62)*0.1</f>
        <v>0</v>
      </c>
      <c r="DJ68" s="155">
        <f>SUM(DJ12:DJ62)*0.1</f>
        <v>0</v>
      </c>
      <c r="DK68" s="155">
        <f>SUM(DK12:DK62)*0.1</f>
        <v>0</v>
      </c>
      <c r="DL68" s="155">
        <f>SUM(DL12:DL62)*0.1</f>
        <v>0</v>
      </c>
      <c r="DM68" s="155">
        <f>SUM(DM12:DM62)*0.1</f>
        <v>0</v>
      </c>
      <c r="DN68" s="252"/>
      <c r="DO68" s="252"/>
      <c r="DP68" s="252"/>
      <c r="DQ68" s="252"/>
      <c r="DR68" s="252"/>
      <c r="DS68" s="252"/>
      <c r="DT68" s="253"/>
      <c r="DU68" s="155"/>
      <c r="DV68" s="155"/>
      <c r="DW68" s="155"/>
    </row>
    <row r="69" spans="2:127" x14ac:dyDescent="0.25">
      <c r="B69" s="14" t="s">
        <v>148</v>
      </c>
      <c r="C69" s="15"/>
      <c r="D69" s="758">
        <v>200000</v>
      </c>
      <c r="E69" s="758">
        <f>SUM(AT69:BQ69)</f>
        <v>0</v>
      </c>
      <c r="F69" s="758"/>
      <c r="G69" s="768"/>
      <c r="H69" s="758">
        <v>200000</v>
      </c>
      <c r="I69" s="768"/>
      <c r="J69" s="768"/>
      <c r="K69" s="769"/>
      <c r="L69" s="770"/>
      <c r="M69" s="542"/>
      <c r="N69" s="445">
        <f ca="1">G69-O69</f>
        <v>0</v>
      </c>
      <c r="O69" s="320">
        <f ca="1">SUMIF($AT$3:$BQ$3,"&lt;"&amp;TODAY(),$AT69:$BQ69)</f>
        <v>0</v>
      </c>
      <c r="P69" s="303"/>
      <c r="Q69" s="2"/>
      <c r="R69" s="2"/>
      <c r="S69" s="2"/>
      <c r="T69" s="2"/>
      <c r="U69" s="2"/>
      <c r="V69" s="2"/>
      <c r="W69" s="2"/>
      <c r="X69" s="2"/>
      <c r="Y69" s="2"/>
      <c r="Z69" s="2"/>
      <c r="AA69" s="2"/>
      <c r="AB69" s="76"/>
      <c r="AC69" s="78"/>
      <c r="AD69" s="2"/>
      <c r="AE69" s="2"/>
      <c r="AF69" s="2"/>
      <c r="AG69" s="2"/>
      <c r="AH69" s="2"/>
      <c r="AI69" s="2"/>
      <c r="AJ69" s="2"/>
      <c r="AK69" s="2"/>
      <c r="AL69" s="2"/>
      <c r="AM69" s="2"/>
      <c r="AN69" s="76"/>
      <c r="AO69" s="78"/>
      <c r="AP69" s="2"/>
      <c r="AQ69" s="2"/>
      <c r="AR69" s="2"/>
      <c r="AS69" s="2"/>
      <c r="AT69" s="2"/>
      <c r="AU69" s="2"/>
      <c r="AV69" s="2"/>
      <c r="AW69" s="2"/>
      <c r="AX69" s="2"/>
      <c r="AY69" s="2"/>
      <c r="AZ69" s="76"/>
      <c r="BA69" s="78"/>
      <c r="BB69" s="2"/>
      <c r="BC69" s="2"/>
      <c r="BD69" s="2"/>
      <c r="BE69" s="2"/>
      <c r="BF69" s="2"/>
      <c r="BG69" s="2"/>
      <c r="BH69" s="2"/>
      <c r="BI69" s="2"/>
      <c r="BJ69" s="2"/>
      <c r="BK69" s="2"/>
      <c r="BL69" s="131"/>
      <c r="BX69" s="131"/>
      <c r="CJ69" s="131"/>
      <c r="CV69" s="131"/>
      <c r="DH69" s="131"/>
      <c r="DT69" s="131"/>
    </row>
    <row r="70" spans="2:127" x14ac:dyDescent="0.25">
      <c r="B70" s="14" t="s">
        <v>95</v>
      </c>
      <c r="C70" s="15"/>
      <c r="D70" s="758">
        <v>0</v>
      </c>
      <c r="E70" s="758">
        <f>SUM(AT70:BQ70)</f>
        <v>0</v>
      </c>
      <c r="F70" s="758"/>
      <c r="G70" s="768"/>
      <c r="H70" s="768"/>
      <c r="I70" s="768"/>
      <c r="J70" s="768"/>
      <c r="K70" s="769"/>
      <c r="L70" s="770"/>
      <c r="M70" s="542"/>
      <c r="N70" s="445">
        <f ca="1">G70-O70</f>
        <v>0</v>
      </c>
      <c r="O70" s="320">
        <f ca="1">SUMIF($AT$3:$BQ$3,"&lt;"&amp;TODAY(),$AT70:$BQ70)</f>
        <v>0</v>
      </c>
      <c r="P70" s="263"/>
      <c r="Q70" s="2"/>
      <c r="R70" s="2"/>
      <c r="S70" s="2"/>
      <c r="T70" s="2"/>
      <c r="V70" s="2"/>
      <c r="W70" s="2"/>
      <c r="X70" s="2"/>
      <c r="Y70" s="2"/>
      <c r="Z70" s="2"/>
      <c r="AA70" s="2"/>
      <c r="AB70" s="76"/>
      <c r="AC70" s="78"/>
      <c r="AD70" s="2"/>
      <c r="AE70" s="2"/>
      <c r="AF70" s="2"/>
      <c r="AH70" s="2"/>
      <c r="AI70" s="2"/>
      <c r="AJ70" s="2"/>
      <c r="AK70" s="2"/>
      <c r="AL70" s="2"/>
      <c r="AM70" s="2"/>
      <c r="AN70" s="76"/>
      <c r="AO70" s="78"/>
      <c r="AP70" s="2"/>
      <c r="AQ70" s="2"/>
      <c r="AR70" s="2"/>
      <c r="AT70" s="2"/>
      <c r="AU70" s="2"/>
      <c r="AV70" s="2"/>
      <c r="AW70" s="2"/>
      <c r="AX70" s="2"/>
      <c r="AY70" s="2"/>
      <c r="AZ70" s="76"/>
      <c r="BA70" s="78"/>
      <c r="BB70" s="2"/>
      <c r="BC70" s="2"/>
      <c r="BD70" s="2"/>
      <c r="BH70" s="2"/>
      <c r="BI70" s="2"/>
      <c r="BJ70" s="2"/>
      <c r="BK70" s="2"/>
      <c r="BL70" s="76"/>
      <c r="BM70" s="2"/>
      <c r="BX70" s="131"/>
      <c r="BY70" s="2"/>
      <c r="CJ70" s="131"/>
      <c r="CK70" s="2"/>
      <c r="CV70" s="131"/>
      <c r="CW70" s="2"/>
      <c r="DH70" s="131"/>
      <c r="DI70" s="2"/>
      <c r="DT70" s="131"/>
      <c r="DU70" s="2"/>
    </row>
    <row r="71" spans="2:127" x14ac:dyDescent="0.25">
      <c r="B71" s="24" t="s">
        <v>149</v>
      </c>
      <c r="D71" s="751">
        <v>20000</v>
      </c>
      <c r="E71" s="758"/>
      <c r="F71" s="751"/>
      <c r="G71" s="752"/>
      <c r="H71" s="751">
        <v>20000</v>
      </c>
      <c r="I71" s="752"/>
      <c r="J71" s="752"/>
      <c r="K71" s="753"/>
      <c r="M71" s="499"/>
      <c r="N71" s="442">
        <f>G71-O71</f>
        <v>0</v>
      </c>
      <c r="O71" s="320"/>
      <c r="P71" s="301"/>
      <c r="Q71" s="2"/>
      <c r="R71" s="2"/>
      <c r="S71" s="2"/>
      <c r="T71" s="2"/>
      <c r="V71" s="2"/>
      <c r="W71" s="2"/>
      <c r="X71" s="2"/>
      <c r="Y71" s="2"/>
      <c r="Z71" s="2"/>
      <c r="AA71" s="2"/>
      <c r="AB71" s="76"/>
      <c r="AC71" s="78"/>
      <c r="AD71" s="2"/>
      <c r="AE71" s="2"/>
      <c r="AF71" s="2"/>
      <c r="AH71" s="2"/>
      <c r="AI71" s="2"/>
      <c r="AJ71" s="2"/>
      <c r="AK71" s="2"/>
      <c r="AL71" s="2"/>
      <c r="AM71" s="2"/>
      <c r="AN71" s="76"/>
      <c r="AO71" s="78"/>
      <c r="AP71" s="2"/>
      <c r="AQ71" s="2"/>
      <c r="AR71" s="2"/>
      <c r="AT71" s="2"/>
      <c r="AU71" s="2"/>
      <c r="AV71" s="2"/>
      <c r="AW71" s="2"/>
      <c r="AX71" s="2"/>
      <c r="AY71" s="2"/>
      <c r="AZ71" s="76"/>
      <c r="BA71" s="78"/>
      <c r="BB71" s="2"/>
      <c r="BC71" s="2"/>
      <c r="BD71" s="2"/>
      <c r="BH71" s="2"/>
      <c r="BI71" s="2"/>
      <c r="BJ71" s="2"/>
      <c r="BK71" s="2"/>
      <c r="BL71" s="76"/>
      <c r="BM71" s="2"/>
      <c r="BX71" s="131"/>
      <c r="BY71" s="2"/>
      <c r="CJ71" s="131"/>
      <c r="CK71" s="2"/>
      <c r="CV71" s="131"/>
      <c r="CW71" s="2"/>
      <c r="DH71" s="131"/>
      <c r="DI71" s="2"/>
      <c r="DT71" s="131"/>
      <c r="DU71" s="2"/>
    </row>
    <row r="72" spans="2:127" ht="15.75" thickBot="1" x14ac:dyDescent="0.3">
      <c r="B72" s="287" t="s">
        <v>97</v>
      </c>
      <c r="C72" s="286"/>
      <c r="D72" s="776">
        <v>30000</v>
      </c>
      <c r="E72" s="758">
        <f>SUM(AT72:BQ72)</f>
        <v>0</v>
      </c>
      <c r="F72" s="751"/>
      <c r="G72" s="752"/>
      <c r="H72" s="776">
        <v>30000</v>
      </c>
      <c r="I72" s="752"/>
      <c r="J72" s="752"/>
      <c r="K72" s="753"/>
      <c r="M72" s="499"/>
      <c r="N72" s="442">
        <f ca="1">G72-O72</f>
        <v>0</v>
      </c>
      <c r="O72" s="320">
        <f ca="1">SUMIF($AT$3:$BQ$3,"&lt;"&amp;TODAY(),$AT72:$BQ72)</f>
        <v>0</v>
      </c>
      <c r="P72" s="301"/>
      <c r="Q72" s="2"/>
      <c r="R72" s="2"/>
      <c r="S72" s="2"/>
      <c r="T72" s="2"/>
      <c r="V72" s="2"/>
      <c r="W72" s="2"/>
      <c r="X72" s="2"/>
      <c r="Y72" s="2"/>
      <c r="Z72" s="2"/>
      <c r="AA72" s="2"/>
      <c r="AB72" s="76"/>
      <c r="AC72" s="78"/>
      <c r="AD72" s="2"/>
      <c r="AE72" s="2"/>
      <c r="AF72" s="2"/>
      <c r="AH72" s="2"/>
      <c r="AI72" s="2"/>
      <c r="AJ72" s="2"/>
      <c r="AK72" s="2"/>
      <c r="AL72" s="2"/>
      <c r="AM72" s="2"/>
      <c r="AN72" s="76"/>
      <c r="AO72" s="78"/>
      <c r="AP72" s="2"/>
      <c r="AQ72" s="2"/>
      <c r="AR72" s="2"/>
      <c r="AT72" s="2"/>
      <c r="AU72" s="2"/>
      <c r="AV72" s="2"/>
      <c r="AW72" s="2"/>
      <c r="AX72" s="2"/>
      <c r="AY72" s="2"/>
      <c r="AZ72" s="76"/>
      <c r="BA72" s="78"/>
      <c r="BB72" s="2"/>
      <c r="BC72" s="2"/>
      <c r="BD72" s="2"/>
      <c r="BH72" s="2"/>
      <c r="BI72" s="2"/>
      <c r="BJ72" s="2"/>
      <c r="BK72" s="2"/>
      <c r="BL72" s="76"/>
      <c r="BM72" s="2"/>
      <c r="BX72" s="131"/>
      <c r="BY72" s="2"/>
      <c r="CJ72" s="131"/>
      <c r="CK72" s="2"/>
      <c r="CV72" s="131"/>
      <c r="CW72" s="2"/>
      <c r="DH72" s="131"/>
      <c r="DI72" s="2"/>
      <c r="DT72" s="131"/>
      <c r="DU72" s="2"/>
    </row>
    <row r="73" spans="2:127" ht="15.75" thickBot="1" x14ac:dyDescent="0.3">
      <c r="B73" s="11" t="s">
        <v>98</v>
      </c>
      <c r="C73" s="12"/>
      <c r="D73" s="777">
        <f>SUM(D4:D72)</f>
        <v>6534290.5</v>
      </c>
      <c r="E73" s="777">
        <f>SUM(E4:E72)</f>
        <v>3608785.4375999998</v>
      </c>
      <c r="F73" s="777">
        <f>SUM(F4:F72)</f>
        <v>4737102.2476000004</v>
      </c>
      <c r="G73" s="777">
        <f>SUM(G9:G72)</f>
        <v>3987198</v>
      </c>
      <c r="I73" s="777"/>
      <c r="J73" s="778">
        <f>H74+SUM(J9:J72)</f>
        <v>8356204.7000000002</v>
      </c>
      <c r="K73" s="779"/>
      <c r="L73" s="780"/>
      <c r="M73" s="502"/>
      <c r="N73" s="446">
        <f ca="1">SUM(N4:N72)</f>
        <v>0</v>
      </c>
      <c r="O73" s="155">
        <f ca="1">SUM(O20:O62)</f>
        <v>1510504.89</v>
      </c>
      <c r="P73" s="304"/>
      <c r="Q73" s="155">
        <f t="shared" ref="Q73:AV73" si="8">SUM(Q4:Q72)</f>
        <v>59300</v>
      </c>
      <c r="R73" s="155">
        <f t="shared" si="8"/>
        <v>0</v>
      </c>
      <c r="S73" s="155">
        <f t="shared" si="8"/>
        <v>0</v>
      </c>
      <c r="T73" s="155">
        <f t="shared" si="8"/>
        <v>0</v>
      </c>
      <c r="U73" s="155">
        <f t="shared" si="8"/>
        <v>0</v>
      </c>
      <c r="V73" s="155">
        <f t="shared" si="8"/>
        <v>0</v>
      </c>
      <c r="W73" s="155">
        <f t="shared" si="8"/>
        <v>0</v>
      </c>
      <c r="X73" s="155">
        <f t="shared" si="8"/>
        <v>0</v>
      </c>
      <c r="Y73" s="155">
        <f t="shared" si="8"/>
        <v>0</v>
      </c>
      <c r="Z73" s="155">
        <f t="shared" si="8"/>
        <v>0</v>
      </c>
      <c r="AA73" s="155">
        <f t="shared" si="8"/>
        <v>0</v>
      </c>
      <c r="AB73" s="156">
        <f t="shared" si="8"/>
        <v>0</v>
      </c>
      <c r="AC73" s="81">
        <f t="shared" si="8"/>
        <v>0</v>
      </c>
      <c r="AD73" s="155">
        <f t="shared" si="8"/>
        <v>0</v>
      </c>
      <c r="AE73" s="155">
        <f t="shared" si="8"/>
        <v>0</v>
      </c>
      <c r="AF73" s="155">
        <f t="shared" si="8"/>
        <v>0</v>
      </c>
      <c r="AG73" s="155">
        <f t="shared" si="8"/>
        <v>72150</v>
      </c>
      <c r="AH73" s="155">
        <f t="shared" si="8"/>
        <v>0</v>
      </c>
      <c r="AI73" s="155">
        <f t="shared" si="8"/>
        <v>0</v>
      </c>
      <c r="AJ73" s="155">
        <f t="shared" si="8"/>
        <v>0</v>
      </c>
      <c r="AK73" s="155">
        <f t="shared" si="8"/>
        <v>0</v>
      </c>
      <c r="AL73" s="155">
        <f t="shared" si="8"/>
        <v>0</v>
      </c>
      <c r="AM73" s="155">
        <f t="shared" si="8"/>
        <v>0</v>
      </c>
      <c r="AN73" s="156">
        <f t="shared" si="8"/>
        <v>0</v>
      </c>
      <c r="AO73" s="81">
        <f t="shared" si="8"/>
        <v>0</v>
      </c>
      <c r="AP73" s="155">
        <f t="shared" si="8"/>
        <v>-70350</v>
      </c>
      <c r="AQ73" s="155">
        <f t="shared" si="8"/>
        <v>0</v>
      </c>
      <c r="AR73" s="155">
        <f t="shared" si="8"/>
        <v>0</v>
      </c>
      <c r="AS73" s="155">
        <f t="shared" si="8"/>
        <v>0</v>
      </c>
      <c r="AT73" s="155">
        <f t="shared" si="8"/>
        <v>9318.375</v>
      </c>
      <c r="AU73" s="155">
        <f t="shared" si="8"/>
        <v>46144.9</v>
      </c>
      <c r="AV73" s="155">
        <f t="shared" si="8"/>
        <v>49450.862999999998</v>
      </c>
      <c r="AW73" s="155">
        <f t="shared" ref="AW73:BQ73" si="9">SUM(AW4:AW72)</f>
        <v>62314.780000000006</v>
      </c>
      <c r="AX73" s="155">
        <f t="shared" si="9"/>
        <v>180333.33299999996</v>
      </c>
      <c r="AY73" s="155">
        <f t="shared" si="9"/>
        <v>178005.76000000001</v>
      </c>
      <c r="AZ73" s="156">
        <f t="shared" si="9"/>
        <v>178343.68900000001</v>
      </c>
      <c r="BA73" s="81">
        <f t="shared" si="9"/>
        <v>170899.85</v>
      </c>
      <c r="BB73" s="155">
        <f t="shared" si="9"/>
        <v>455473.26500000001</v>
      </c>
      <c r="BC73" s="155">
        <f t="shared" si="9"/>
        <v>219557.80399999997</v>
      </c>
      <c r="BD73" s="155">
        <f t="shared" si="9"/>
        <v>296110.43099999998</v>
      </c>
      <c r="BE73" s="155">
        <f t="shared" si="9"/>
        <v>364149.94199999998</v>
      </c>
      <c r="BF73" s="155">
        <f t="shared" si="9"/>
        <v>253529.62899999996</v>
      </c>
      <c r="BG73" s="155">
        <f t="shared" si="9"/>
        <v>44887.7</v>
      </c>
      <c r="BH73" s="155">
        <f t="shared" si="9"/>
        <v>0</v>
      </c>
      <c r="BI73" s="155">
        <f t="shared" si="9"/>
        <v>0</v>
      </c>
      <c r="BJ73" s="155">
        <f t="shared" si="9"/>
        <v>0</v>
      </c>
      <c r="BK73" s="155">
        <f t="shared" si="9"/>
        <v>0</v>
      </c>
      <c r="BL73" s="156">
        <f t="shared" si="9"/>
        <v>0</v>
      </c>
      <c r="BM73" s="155">
        <f t="shared" si="9"/>
        <v>0</v>
      </c>
      <c r="BN73" s="155">
        <f t="shared" si="9"/>
        <v>0</v>
      </c>
      <c r="BO73" s="155">
        <f t="shared" si="9"/>
        <v>0</v>
      </c>
      <c r="BP73" s="155">
        <f t="shared" si="9"/>
        <v>0</v>
      </c>
      <c r="BQ73" s="155">
        <f t="shared" si="9"/>
        <v>0</v>
      </c>
      <c r="BR73" s="252"/>
      <c r="BS73" s="252"/>
      <c r="BT73" s="252"/>
      <c r="BU73" s="252"/>
      <c r="BV73" s="252"/>
      <c r="BW73" s="252"/>
      <c r="BX73" s="253"/>
      <c r="BY73" s="155">
        <f>SUM(BY4:BY72)</f>
        <v>0</v>
      </c>
      <c r="BZ73" s="155">
        <f>SUM(BZ4:BZ72)</f>
        <v>0</v>
      </c>
      <c r="CA73" s="155">
        <f>SUM(CA4:CA72)</f>
        <v>16202.2248</v>
      </c>
      <c r="CB73" s="155">
        <f>SUM(CB4:CB72)</f>
        <v>0</v>
      </c>
      <c r="CC73" s="155">
        <f>SUM(CC4:CC72)</f>
        <v>0</v>
      </c>
      <c r="CD73" s="252"/>
      <c r="CE73" s="252"/>
      <c r="CF73" s="252"/>
      <c r="CG73" s="252"/>
      <c r="CH73" s="252"/>
      <c r="CI73" s="252"/>
      <c r="CJ73" s="253"/>
      <c r="CK73" s="155">
        <f>SUM(CK4:CK72)</f>
        <v>0</v>
      </c>
      <c r="CL73" s="155">
        <f>SUM(CL4:CL72)</f>
        <v>0</v>
      </c>
      <c r="CM73" s="155">
        <f>SUM(CM4:CM72)</f>
        <v>27641.002800000002</v>
      </c>
      <c r="CN73" s="155">
        <f>SUM(CN4:CN72)</f>
        <v>0</v>
      </c>
      <c r="CO73" s="155">
        <f>SUM(CO4:CO72)</f>
        <v>0</v>
      </c>
      <c r="CP73" s="252"/>
      <c r="CQ73" s="252"/>
      <c r="CR73" s="252"/>
      <c r="CS73" s="252"/>
      <c r="CT73" s="252"/>
      <c r="CU73" s="252"/>
      <c r="CV73" s="253"/>
      <c r="CW73" s="155">
        <f>SUM(CW4:CW72)</f>
        <v>0</v>
      </c>
      <c r="CX73" s="155">
        <f>SUM(CX4:CX72)</f>
        <v>0</v>
      </c>
      <c r="CY73" s="155">
        <f>SUM(CY4:CY72)</f>
        <v>531548.70000000007</v>
      </c>
      <c r="CZ73" s="155">
        <f>SUM(CZ4:CZ72)</f>
        <v>0</v>
      </c>
      <c r="DA73" s="155">
        <f>SUM(DA4:DA72)</f>
        <v>0</v>
      </c>
      <c r="DB73" s="252"/>
      <c r="DC73" s="252"/>
      <c r="DD73" s="252"/>
      <c r="DE73" s="252"/>
      <c r="DF73" s="252"/>
      <c r="DG73" s="252"/>
      <c r="DH73" s="253"/>
      <c r="DI73" s="155">
        <f t="shared" ref="DI73:DM73" si="10">SUM(DI4:DI72)</f>
        <v>0</v>
      </c>
      <c r="DJ73" s="155">
        <f t="shared" si="10"/>
        <v>0</v>
      </c>
      <c r="DK73" s="155">
        <f t="shared" si="10"/>
        <v>87720.988800000167</v>
      </c>
      <c r="DL73" s="155">
        <f t="shared" si="10"/>
        <v>0</v>
      </c>
      <c r="DM73" s="155">
        <f t="shared" si="10"/>
        <v>0</v>
      </c>
      <c r="DN73" s="252"/>
      <c r="DO73" s="252"/>
      <c r="DP73" s="252"/>
      <c r="DQ73" s="252"/>
      <c r="DR73" s="252"/>
      <c r="DS73" s="252"/>
      <c r="DT73" s="253"/>
      <c r="DU73" s="155"/>
      <c r="DV73" s="155"/>
      <c r="DW73" s="155"/>
    </row>
    <row r="74" spans="2:127" ht="15.75" thickBot="1" x14ac:dyDescent="0.3">
      <c r="B74" s="9" t="s">
        <v>176</v>
      </c>
      <c r="C74" s="277">
        <v>650</v>
      </c>
      <c r="D74" s="781"/>
      <c r="E74" s="781"/>
      <c r="F74" s="781"/>
      <c r="G74" s="782"/>
      <c r="H74" s="777">
        <f>SUM(H9:H72)</f>
        <v>7346363.7000000002</v>
      </c>
      <c r="I74" s="782"/>
      <c r="J74" s="782"/>
      <c r="K74" s="783"/>
      <c r="L74" s="784"/>
      <c r="M74" s="718"/>
      <c r="N74" s="447"/>
      <c r="O74" s="162"/>
      <c r="P74" s="305"/>
      <c r="Q74" s="2"/>
      <c r="R74" s="2"/>
      <c r="S74" s="2"/>
      <c r="T74" s="2"/>
      <c r="U74" s="2"/>
      <c r="V74" s="2"/>
      <c r="W74" s="2"/>
      <c r="X74" s="2"/>
      <c r="Y74" s="2"/>
      <c r="Z74" s="2"/>
      <c r="AA74" s="2"/>
      <c r="AB74" s="76"/>
      <c r="AC74" s="78"/>
      <c r="AD74" s="2"/>
      <c r="AE74" s="2"/>
      <c r="AF74" s="2"/>
      <c r="AG74" s="2"/>
      <c r="AH74" s="2"/>
      <c r="AI74" s="2"/>
      <c r="AJ74" s="2"/>
      <c r="AK74" s="2"/>
      <c r="AL74" s="2"/>
      <c r="AM74" s="2"/>
      <c r="AN74" s="76"/>
      <c r="AO74" s="78"/>
      <c r="AP74" s="2"/>
      <c r="AQ74" s="2"/>
      <c r="AR74" s="2"/>
      <c r="AS74" s="2"/>
      <c r="AT74" s="2"/>
      <c r="AU74" s="2"/>
      <c r="AV74" s="2"/>
      <c r="AW74" s="2"/>
      <c r="AX74" s="2"/>
      <c r="AY74" s="2"/>
      <c r="AZ74" s="76"/>
      <c r="BA74" s="78"/>
      <c r="BB74" s="2"/>
      <c r="BC74" s="2"/>
      <c r="BD74" s="2"/>
      <c r="BE74" s="2"/>
      <c r="BF74" s="2"/>
      <c r="BG74" s="2"/>
      <c r="BH74" s="2"/>
      <c r="BI74" s="2"/>
      <c r="BJ74" s="2"/>
      <c r="BK74" s="2"/>
      <c r="BL74" s="131"/>
      <c r="BX74" s="131"/>
      <c r="CJ74" s="131"/>
      <c r="CV74" s="131"/>
      <c r="DH74" s="131"/>
      <c r="DT74" s="131"/>
    </row>
    <row r="75" spans="2:127" ht="15.75" thickBot="1" x14ac:dyDescent="0.3">
      <c r="B75" s="35" t="s">
        <v>100</v>
      </c>
      <c r="C75" s="10"/>
      <c r="D75" s="781">
        <f>D73/$C$74</f>
        <v>10052.754615384616</v>
      </c>
      <c r="E75" s="781">
        <f>E73/$C$74</f>
        <v>5551.9775963076918</v>
      </c>
      <c r="F75" s="781">
        <f>F73/$C$74</f>
        <v>7287.8496116923079</v>
      </c>
      <c r="G75" s="782"/>
      <c r="H75" s="782"/>
      <c r="I75" s="782"/>
      <c r="J75" s="782"/>
      <c r="K75" s="785"/>
      <c r="L75" s="784"/>
      <c r="M75" s="727"/>
      <c r="N75" s="448">
        <v>600.22296923076931</v>
      </c>
      <c r="O75" s="163">
        <f ca="1">O73/$C$74</f>
        <v>2323.8536769230768</v>
      </c>
      <c r="P75" s="306"/>
      <c r="Q75" s="10"/>
      <c r="R75" s="10"/>
      <c r="S75" s="10"/>
      <c r="T75" s="10"/>
      <c r="U75" s="10"/>
      <c r="V75" s="10"/>
      <c r="W75" s="10"/>
      <c r="X75" s="10"/>
      <c r="Y75" s="10"/>
      <c r="Z75" s="10"/>
      <c r="AA75" s="10"/>
      <c r="AB75" s="132"/>
      <c r="AC75" s="9"/>
      <c r="AD75" s="10"/>
      <c r="AE75" s="10"/>
      <c r="AF75" s="10"/>
      <c r="AG75" s="10"/>
      <c r="AH75" s="10"/>
      <c r="AI75" s="10"/>
      <c r="AJ75" s="10"/>
      <c r="AK75" s="10"/>
      <c r="AL75" s="10"/>
      <c r="AM75" s="10"/>
      <c r="AN75" s="132"/>
      <c r="AO75" s="9"/>
      <c r="AP75" s="10"/>
      <c r="AQ75" s="10"/>
      <c r="AR75" s="10"/>
      <c r="AS75" s="10"/>
      <c r="AT75" s="10"/>
      <c r="AU75" s="10"/>
      <c r="AV75" s="10"/>
      <c r="AW75" s="10"/>
      <c r="AX75" s="10"/>
      <c r="AY75" s="10"/>
      <c r="AZ75" s="132"/>
      <c r="BA75" s="9"/>
      <c r="BB75" s="10"/>
      <c r="BC75" s="10"/>
      <c r="BD75" s="10"/>
      <c r="BE75" s="10"/>
      <c r="BF75" s="10"/>
      <c r="BG75" s="10"/>
      <c r="BH75" s="10"/>
      <c r="BI75" s="10"/>
      <c r="BJ75" s="10"/>
      <c r="BK75" s="10"/>
      <c r="BL75" s="132"/>
      <c r="BM75" s="10"/>
      <c r="BN75" s="10"/>
      <c r="BO75" s="10"/>
      <c r="BP75" s="10"/>
      <c r="BQ75" s="10"/>
      <c r="BR75" s="10"/>
      <c r="BS75" s="10"/>
      <c r="BT75" s="10"/>
      <c r="BU75" s="10"/>
      <c r="BV75" s="10"/>
      <c r="BW75" s="10"/>
      <c r="BX75" s="132"/>
      <c r="BY75" s="10"/>
      <c r="BZ75" s="10"/>
      <c r="CA75" s="10"/>
      <c r="CB75" s="10"/>
      <c r="CC75" s="10"/>
      <c r="CD75" s="10"/>
      <c r="CE75" s="10"/>
      <c r="CF75" s="10"/>
      <c r="CG75" s="10"/>
      <c r="CH75" s="10"/>
      <c r="CI75" s="10"/>
      <c r="CJ75" s="132"/>
      <c r="CK75" s="10"/>
      <c r="CL75" s="10"/>
      <c r="CM75" s="10"/>
      <c r="CN75" s="10"/>
      <c r="CO75" s="10"/>
      <c r="CP75" s="10"/>
      <c r="CQ75" s="10"/>
      <c r="CR75" s="10"/>
      <c r="CS75" s="10"/>
      <c r="CT75" s="10"/>
      <c r="CU75" s="10"/>
      <c r="CV75" s="132"/>
      <c r="CW75" s="10"/>
      <c r="CX75" s="10"/>
      <c r="CY75" s="10"/>
      <c r="CZ75" s="10"/>
      <c r="DA75" s="10"/>
      <c r="DB75" s="10"/>
      <c r="DC75" s="10"/>
      <c r="DD75" s="10"/>
      <c r="DE75" s="10"/>
      <c r="DF75" s="10"/>
      <c r="DG75" s="10"/>
      <c r="DH75" s="132"/>
      <c r="DI75" s="10"/>
      <c r="DJ75" s="10"/>
      <c r="DK75" s="10"/>
      <c r="DL75" s="10"/>
      <c r="DM75" s="10"/>
      <c r="DN75" s="10"/>
      <c r="DO75" s="10"/>
      <c r="DP75" s="10"/>
      <c r="DQ75" s="10"/>
      <c r="DR75" s="10"/>
      <c r="DS75" s="10"/>
      <c r="DT75" s="132"/>
      <c r="DU75" s="10"/>
      <c r="DV75" s="10"/>
      <c r="DW75" s="10"/>
    </row>
    <row r="76" spans="2:127" x14ac:dyDescent="0.25">
      <c r="BX76" s="131"/>
    </row>
  </sheetData>
  <hyperlinks>
    <hyperlink ref="M42" r:id="rId1" xr:uid="{9216A533-1A24-4D24-ABC3-49885FAB1987}"/>
    <hyperlink ref="M35" r:id="rId2" xr:uid="{A7ADFCC5-BC79-4857-A074-9F2104ECD3E4}"/>
    <hyperlink ref="M38" r:id="rId3" xr:uid="{F5525A5C-8906-4E7A-A768-85C32B69EECF}"/>
    <hyperlink ref="M31" r:id="rId4" xr:uid="{D7175F43-59B0-4E6A-98DD-1C8CC05E9775}"/>
    <hyperlink ref="M21" r:id="rId5" xr:uid="{3495116F-902B-450E-8587-8667ABA8040E}"/>
    <hyperlink ref="M25" r:id="rId6" xr:uid="{D8508B77-E0B2-4A71-A488-DD40656AE6AD}"/>
    <hyperlink ref="M27" r:id="rId7" xr:uid="{2C63FACE-D2B3-4820-AED4-00908F00B06C}"/>
    <hyperlink ref="M28" r:id="rId8" xr:uid="{65F1A121-CFD5-4451-BF3A-6D26E6E81E6E}"/>
    <hyperlink ref="M24" r:id="rId9" xr:uid="{4BAB2899-80C8-48AB-9F1A-58697E89DF6B}"/>
    <hyperlink ref="M44" r:id="rId10" xr:uid="{39CB3678-D12C-498C-9919-33F7FB130675}"/>
    <hyperlink ref="M37" r:id="rId11" xr:uid="{D1A972F3-8EFB-4394-B3AF-BA3B4DB4FA16}"/>
    <hyperlink ref="M40" r:id="rId12" xr:uid="{A43FAFD2-2339-4BA7-A03B-0EE1B0468F5A}"/>
    <hyperlink ref="M32" r:id="rId13" xr:uid="{3E5C9AE7-65A8-4D2A-BD43-BE3D01B32BD5}"/>
    <hyperlink ref="M29" r:id="rId14" xr:uid="{20D993CD-5FC2-4048-B491-AD7AA267D11E}"/>
    <hyperlink ref="M20" r:id="rId15" xr:uid="{F88E93ED-EA24-4E84-89AD-B17F56CE29B8}"/>
    <hyperlink ref="M43" r:id="rId16" xr:uid="{85CA7D7F-7226-45D7-A512-B7ACA17755EB}"/>
    <hyperlink ref="M63" r:id="rId17" xr:uid="{AD99C82D-A12E-49F7-B0EB-FC86477D9540}"/>
    <hyperlink ref="M12" r:id="rId18" xr:uid="{3F591103-4A55-474F-B021-C5F3C48E7077}"/>
    <hyperlink ref="M36" r:id="rId19" xr:uid="{0CE32CC9-2A24-49A4-A701-C792540B6371}"/>
  </hyperlinks>
  <pageMargins left="0.7" right="0.7" top="0.75" bottom="0.75" header="0.3" footer="0.3"/>
  <pageSetup paperSize="9" orientation="portrait" r:id="rId20"/>
  <legacyDrawing r:id="rId2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ADFDA-516C-4C36-88A3-A64D4B492308}">
  <dimension ref="B1:BO102"/>
  <sheetViews>
    <sheetView topLeftCell="A25" workbookViewId="0">
      <selection activeCell="C45" sqref="C45"/>
    </sheetView>
  </sheetViews>
  <sheetFormatPr defaultRowHeight="15" x14ac:dyDescent="0.25"/>
  <cols>
    <col min="2" max="2" width="28" customWidth="1"/>
    <col min="3" max="3" width="42.7109375" customWidth="1"/>
    <col min="4" max="4" width="1.5703125" hidden="1" customWidth="1"/>
    <col min="9" max="9" width="17" customWidth="1"/>
    <col min="10" max="10" width="23.7109375" customWidth="1"/>
    <col min="11" max="14" width="9.28515625" hidden="1" customWidth="1"/>
    <col min="15" max="15" width="9.5703125" hidden="1" customWidth="1"/>
    <col min="16" max="28" width="9.28515625" hidden="1" customWidth="1"/>
    <col min="29" max="29" width="11.42578125" hidden="1" customWidth="1"/>
    <col min="30" max="34" width="9.28515625" hidden="1" customWidth="1"/>
    <col min="35" max="35" width="11.42578125" hidden="1" customWidth="1"/>
    <col min="36" max="37" width="9.28515625" hidden="1" customWidth="1"/>
    <col min="38" max="38" width="11.7109375" hidden="1" customWidth="1"/>
    <col min="39" max="40" width="9.28515625" hidden="1" customWidth="1"/>
    <col min="41" max="41" width="13.5703125" hidden="1" customWidth="1"/>
    <col min="42" max="43" width="9.28515625" hidden="1" customWidth="1"/>
    <col min="65" max="65" width="13.28515625" bestFit="1" customWidth="1"/>
  </cols>
  <sheetData>
    <row r="1" spans="2:67" ht="15.75" thickBot="1" x14ac:dyDescent="0.3"/>
    <row r="2" spans="2:67" ht="15.75" thickBot="1" x14ac:dyDescent="0.3">
      <c r="B2" s="281" t="s">
        <v>647</v>
      </c>
      <c r="K2" s="511" t="s">
        <v>416</v>
      </c>
      <c r="L2" s="511"/>
      <c r="M2" s="511"/>
      <c r="N2" s="511"/>
      <c r="O2" s="511"/>
      <c r="P2" s="511"/>
      <c r="Q2" s="511"/>
      <c r="R2" s="511"/>
      <c r="S2" s="511"/>
      <c r="T2" s="511"/>
      <c r="U2" s="511"/>
      <c r="V2" s="511"/>
      <c r="W2" s="511"/>
      <c r="X2" s="511"/>
      <c r="Y2" s="511"/>
      <c r="Z2" s="511"/>
      <c r="AA2" s="511"/>
      <c r="AB2" s="511"/>
      <c r="AC2" s="511"/>
      <c r="AD2" s="511"/>
      <c r="AE2" s="511"/>
      <c r="AF2" s="511"/>
      <c r="AG2" s="511"/>
      <c r="AH2" s="511"/>
      <c r="AI2" s="511"/>
      <c r="AJ2" s="511"/>
      <c r="AK2" s="511"/>
      <c r="AL2" s="511"/>
      <c r="AM2" s="511"/>
      <c r="AN2" s="511"/>
      <c r="AO2" s="511"/>
      <c r="AP2" s="511"/>
      <c r="AQ2" s="511"/>
      <c r="AR2" s="147"/>
      <c r="AS2" s="146"/>
      <c r="AT2" s="146"/>
      <c r="AU2" s="146"/>
      <c r="AV2" s="184"/>
      <c r="AW2" s="146"/>
      <c r="AX2" s="184" t="s">
        <v>321</v>
      </c>
      <c r="AY2" s="146"/>
      <c r="AZ2" s="150"/>
      <c r="BA2" s="146"/>
      <c r="BB2" s="146"/>
      <c r="BC2" s="146"/>
      <c r="BD2" s="232" t="s">
        <v>527</v>
      </c>
      <c r="BE2" s="232"/>
      <c r="BF2" s="232"/>
      <c r="BG2" s="232"/>
      <c r="BH2" s="232"/>
      <c r="BI2" s="232"/>
      <c r="BJ2" s="232" t="s">
        <v>323</v>
      </c>
      <c r="BK2" s="146"/>
      <c r="BL2" s="146"/>
      <c r="BM2" s="146"/>
      <c r="BN2" s="146"/>
      <c r="BO2" s="249"/>
    </row>
    <row r="3" spans="2:67" ht="90.75" thickBot="1" x14ac:dyDescent="0.3">
      <c r="B3" s="39" t="s">
        <v>16</v>
      </c>
      <c r="C3" s="40" t="s">
        <v>17</v>
      </c>
      <c r="D3" s="120" t="s">
        <v>184</v>
      </c>
      <c r="E3" s="121" t="s">
        <v>185</v>
      </c>
      <c r="F3" s="41" t="s">
        <v>186</v>
      </c>
      <c r="G3" s="134" t="s">
        <v>187</v>
      </c>
      <c r="H3" s="134" t="s">
        <v>648</v>
      </c>
      <c r="I3" s="134" t="s">
        <v>417</v>
      </c>
      <c r="J3" s="41" t="s">
        <v>111</v>
      </c>
      <c r="K3" s="142">
        <v>44440</v>
      </c>
      <c r="L3" s="142">
        <v>44470</v>
      </c>
      <c r="M3" s="142">
        <v>44501</v>
      </c>
      <c r="N3" s="142">
        <v>44531</v>
      </c>
      <c r="O3" s="142">
        <v>44562</v>
      </c>
      <c r="P3" s="142">
        <v>44593</v>
      </c>
      <c r="Q3" s="142">
        <v>44621</v>
      </c>
      <c r="R3" s="142">
        <v>44652</v>
      </c>
      <c r="S3" s="142">
        <v>44682</v>
      </c>
      <c r="T3" s="142">
        <v>44713</v>
      </c>
      <c r="U3" s="142">
        <v>44743</v>
      </c>
      <c r="V3" s="142">
        <v>44774</v>
      </c>
      <c r="W3" s="142">
        <v>44805</v>
      </c>
      <c r="X3" s="142">
        <v>44835</v>
      </c>
      <c r="Y3" s="142">
        <v>44866</v>
      </c>
      <c r="Z3" s="142">
        <v>44896</v>
      </c>
      <c r="AA3" s="142">
        <v>44927</v>
      </c>
      <c r="AB3" s="142">
        <v>44958</v>
      </c>
      <c r="AC3" s="142">
        <v>44986</v>
      </c>
      <c r="AD3" s="142">
        <v>45017</v>
      </c>
      <c r="AE3" s="142">
        <v>45047</v>
      </c>
      <c r="AF3" s="142">
        <v>45078</v>
      </c>
      <c r="AG3" s="142">
        <v>45108</v>
      </c>
      <c r="AH3" s="142">
        <v>45139</v>
      </c>
      <c r="AI3" s="142">
        <v>45170</v>
      </c>
      <c r="AJ3" s="142">
        <v>45200</v>
      </c>
      <c r="AK3" s="142">
        <v>45231</v>
      </c>
      <c r="AL3" s="270">
        <v>45261</v>
      </c>
      <c r="AM3" s="142">
        <v>45292</v>
      </c>
      <c r="AN3" s="270">
        <v>45323</v>
      </c>
      <c r="AO3" s="143">
        <v>45352</v>
      </c>
      <c r="AP3" s="270">
        <v>45383</v>
      </c>
      <c r="AQ3" s="143">
        <v>45413</v>
      </c>
      <c r="AR3" s="171">
        <v>45444</v>
      </c>
      <c r="AS3" s="171">
        <v>45474</v>
      </c>
      <c r="AT3" s="171">
        <v>45505</v>
      </c>
      <c r="AU3" s="171">
        <v>45536</v>
      </c>
      <c r="AV3" s="171">
        <v>45566</v>
      </c>
      <c r="AW3" s="171">
        <v>45597</v>
      </c>
      <c r="AX3" s="171">
        <v>45627</v>
      </c>
      <c r="AY3" s="171">
        <v>45658</v>
      </c>
      <c r="AZ3" s="171">
        <v>45689</v>
      </c>
      <c r="BA3" s="171">
        <v>45717</v>
      </c>
      <c r="BB3" s="171">
        <v>45748</v>
      </c>
      <c r="BC3" s="171">
        <v>45778</v>
      </c>
      <c r="BD3" s="171">
        <v>45809</v>
      </c>
      <c r="BE3" s="171">
        <v>45839</v>
      </c>
      <c r="BF3" s="171">
        <v>45870</v>
      </c>
      <c r="BG3" s="171">
        <v>45901</v>
      </c>
      <c r="BH3" s="171">
        <v>45931</v>
      </c>
      <c r="BI3" s="171">
        <v>45962</v>
      </c>
      <c r="BJ3" s="171">
        <v>45992</v>
      </c>
      <c r="BK3" s="171">
        <v>46023</v>
      </c>
      <c r="BL3" s="171">
        <v>46054</v>
      </c>
      <c r="BM3" s="171">
        <v>46082</v>
      </c>
      <c r="BN3" s="171">
        <v>46113</v>
      </c>
      <c r="BO3" s="171">
        <v>46143</v>
      </c>
    </row>
    <row r="4" spans="2:67" x14ac:dyDescent="0.25">
      <c r="B4" s="8" t="s">
        <v>29</v>
      </c>
      <c r="C4" t="s">
        <v>170</v>
      </c>
      <c r="D4" s="19"/>
      <c r="E4" s="19">
        <v>60000</v>
      </c>
      <c r="F4" s="19">
        <f>72650+60562.5</f>
        <v>133212.5</v>
      </c>
      <c r="G4" s="19">
        <f ca="1">SUMIF($K$3:$BO$3,"&lt;"&amp;TODAY(),$K4:$BO4)</f>
        <v>133212.5</v>
      </c>
      <c r="H4" s="19"/>
      <c r="I4" s="19"/>
      <c r="J4" s="19"/>
      <c r="K4" s="709"/>
      <c r="L4" s="709"/>
      <c r="M4" s="709"/>
      <c r="N4" s="709"/>
      <c r="O4" s="709"/>
      <c r="P4" s="709"/>
      <c r="Q4" s="709"/>
      <c r="R4" s="709"/>
      <c r="S4" s="709">
        <v>72650</v>
      </c>
      <c r="T4" s="709"/>
      <c r="U4" s="709"/>
      <c r="V4" s="709"/>
      <c r="W4" s="709"/>
      <c r="X4" s="709"/>
      <c r="Y4" s="709"/>
      <c r="Z4" s="709"/>
      <c r="AA4" s="709"/>
      <c r="AB4" s="709"/>
      <c r="AC4" s="709"/>
      <c r="AD4" s="709"/>
      <c r="AE4" s="709"/>
      <c r="AF4" s="709"/>
      <c r="AG4" s="709"/>
      <c r="AH4" s="709"/>
      <c r="AI4" s="709"/>
      <c r="AJ4" s="709"/>
      <c r="AK4" s="709"/>
      <c r="AL4" s="709"/>
      <c r="AM4" s="709"/>
      <c r="AN4" s="709"/>
      <c r="AO4" s="709"/>
      <c r="AP4" s="709"/>
      <c r="AQ4" s="709"/>
      <c r="AR4" s="173">
        <v>60562.5</v>
      </c>
      <c r="AS4" s="174"/>
      <c r="AT4" s="174"/>
      <c r="AU4" s="174"/>
      <c r="AV4" s="174"/>
      <c r="AW4" s="174"/>
      <c r="AX4" s="174"/>
      <c r="AY4" s="174"/>
      <c r="AZ4" s="174"/>
      <c r="BA4" s="174"/>
      <c r="BB4" s="174"/>
      <c r="BC4" s="174"/>
      <c r="BD4" s="174"/>
      <c r="BE4" s="174"/>
      <c r="BF4" s="174"/>
      <c r="BG4" s="174"/>
      <c r="BH4" s="174"/>
      <c r="BI4" s="174"/>
      <c r="BJ4" s="118"/>
      <c r="BK4" s="118"/>
      <c r="BL4" s="118"/>
      <c r="BM4" s="118"/>
      <c r="BN4" s="118"/>
      <c r="BO4" s="175"/>
    </row>
    <row r="5" spans="2:67" x14ac:dyDescent="0.25">
      <c r="B5" s="8"/>
      <c r="C5" t="s">
        <v>111</v>
      </c>
      <c r="D5" s="19"/>
      <c r="E5" s="19">
        <v>2000</v>
      </c>
      <c r="F5" s="19">
        <v>1800</v>
      </c>
      <c r="G5" s="19">
        <f ca="1">SUMIF($K$3:$BO$3,"&lt;"&amp;TODAY(),$K5:$BO5)</f>
        <v>1800</v>
      </c>
      <c r="H5" s="19"/>
      <c r="I5" s="19"/>
      <c r="J5" s="19"/>
      <c r="K5" s="709"/>
      <c r="L5" s="709"/>
      <c r="M5" s="709"/>
      <c r="N5" s="709"/>
      <c r="O5" s="709"/>
      <c r="P5" s="709"/>
      <c r="Q5" s="709"/>
      <c r="R5" s="709">
        <v>1800</v>
      </c>
      <c r="S5" s="709"/>
      <c r="T5" s="709"/>
      <c r="U5" s="709"/>
      <c r="V5" s="709"/>
      <c r="W5" s="709"/>
      <c r="X5" s="709"/>
      <c r="Y5" s="709"/>
      <c r="Z5" s="709"/>
      <c r="AA5" s="709"/>
      <c r="AB5" s="709"/>
      <c r="AC5" s="709"/>
      <c r="AD5" s="709"/>
      <c r="AE5" s="709"/>
      <c r="AF5" s="709"/>
      <c r="AG5" s="709"/>
      <c r="AH5" s="709"/>
      <c r="AI5" s="709"/>
      <c r="AJ5" s="709"/>
      <c r="AK5" s="709"/>
      <c r="AL5" s="709"/>
      <c r="AM5" s="709"/>
      <c r="AN5" s="709"/>
      <c r="AO5" s="709"/>
      <c r="AP5" s="709"/>
      <c r="AQ5" s="709"/>
      <c r="AR5" s="78"/>
      <c r="AS5" s="2"/>
      <c r="AT5" s="2"/>
      <c r="AU5" s="2"/>
      <c r="AV5" s="2"/>
      <c r="AW5" s="2"/>
      <c r="AX5" s="2"/>
      <c r="AY5" s="2"/>
      <c r="AZ5" s="2"/>
      <c r="BA5" s="2"/>
      <c r="BB5" s="2"/>
      <c r="BC5" s="2"/>
      <c r="BD5" s="2"/>
      <c r="BE5" s="2"/>
      <c r="BF5" s="2"/>
      <c r="BG5" s="2"/>
      <c r="BH5" s="2"/>
      <c r="BI5" s="2"/>
      <c r="BO5" s="131"/>
    </row>
    <row r="6" spans="2:67" x14ac:dyDescent="0.25">
      <c r="B6" s="8"/>
      <c r="C6" t="s">
        <v>32</v>
      </c>
      <c r="D6" s="19"/>
      <c r="E6" s="19" t="s">
        <v>199</v>
      </c>
      <c r="F6" s="19">
        <v>0</v>
      </c>
      <c r="G6" s="19">
        <f ca="1">SUMIF($K$3:$BO$3,"&lt;"&amp;TODAY(),$K6:$BO6)</f>
        <v>2400000</v>
      </c>
      <c r="H6" s="19"/>
      <c r="I6" s="19"/>
      <c r="J6" s="19"/>
      <c r="K6" s="671"/>
      <c r="L6" s="671"/>
      <c r="M6" s="671"/>
      <c r="N6" s="671"/>
      <c r="O6" s="671"/>
      <c r="P6" s="671"/>
      <c r="Q6" s="671"/>
      <c r="R6" s="671"/>
      <c r="S6" s="671"/>
      <c r="T6" s="671"/>
      <c r="U6" s="671"/>
      <c r="V6" s="671"/>
      <c r="W6" s="671"/>
      <c r="X6" s="671"/>
      <c r="Y6" s="671"/>
      <c r="Z6" s="671"/>
      <c r="AA6" s="671"/>
      <c r="AB6" s="671"/>
      <c r="AC6" s="671"/>
      <c r="AD6" s="671"/>
      <c r="AE6" s="671"/>
      <c r="AF6" s="671"/>
      <c r="AG6" s="671"/>
      <c r="AH6" s="671"/>
      <c r="AI6" s="671">
        <v>1200000</v>
      </c>
      <c r="AJ6" s="671"/>
      <c r="AK6" s="671"/>
      <c r="AL6" s="671"/>
      <c r="AM6" s="671"/>
      <c r="AN6" s="671"/>
      <c r="AO6" s="671">
        <v>1200000</v>
      </c>
      <c r="AP6" s="671"/>
      <c r="AQ6" s="671"/>
      <c r="AR6" s="78"/>
      <c r="AS6" s="2"/>
      <c r="AT6" s="2"/>
      <c r="AU6" s="2"/>
      <c r="AV6" s="2"/>
      <c r="AW6" s="2"/>
      <c r="AX6" s="2"/>
      <c r="AY6" s="2"/>
      <c r="AZ6" s="2"/>
      <c r="BA6" s="2">
        <v>3293040</v>
      </c>
      <c r="BB6" s="2"/>
      <c r="BC6" s="2"/>
      <c r="BD6" s="2"/>
      <c r="BE6" s="2"/>
      <c r="BF6" s="2"/>
      <c r="BG6" s="2"/>
      <c r="BH6" s="2"/>
      <c r="BI6" s="2"/>
      <c r="BM6" s="671">
        <v>2093040</v>
      </c>
      <c r="BO6" s="131"/>
    </row>
    <row r="7" spans="2:67" x14ac:dyDescent="0.25">
      <c r="B7" s="14" t="s">
        <v>35</v>
      </c>
      <c r="C7" s="15"/>
      <c r="D7" s="21"/>
      <c r="E7" s="352">
        <v>62000</v>
      </c>
      <c r="F7" s="21"/>
      <c r="G7" s="21">
        <f ca="1">SUMIF($AR$3:$BO$3,"&lt;"&amp;TODAY(),$AR7:$BO7)</f>
        <v>0</v>
      </c>
      <c r="H7" s="21"/>
      <c r="I7" s="21"/>
      <c r="J7" s="21"/>
      <c r="K7" s="709"/>
      <c r="L7" s="709"/>
      <c r="M7" s="709"/>
      <c r="N7" s="709"/>
      <c r="O7" s="709"/>
      <c r="P7" s="709"/>
      <c r="Q7" s="709"/>
      <c r="R7" s="709"/>
      <c r="S7" s="709"/>
      <c r="T7" s="709"/>
      <c r="U7" s="709"/>
      <c r="V7" s="709"/>
      <c r="W7" s="709"/>
      <c r="X7" s="709"/>
      <c r="Y7" s="709"/>
      <c r="Z7" s="709"/>
      <c r="AA7" s="709"/>
      <c r="AB7" s="709"/>
      <c r="AC7" s="709"/>
      <c r="AD7" s="709"/>
      <c r="AE7" s="709"/>
      <c r="AF7" s="709"/>
      <c r="AG7" s="709"/>
      <c r="AH7" s="709"/>
      <c r="AI7" s="709"/>
      <c r="AJ7" s="709"/>
      <c r="AK7" s="709"/>
      <c r="AL7" s="709"/>
      <c r="AM7" s="709"/>
      <c r="AN7" s="709"/>
      <c r="AO7" s="709"/>
      <c r="AP7" s="709"/>
      <c r="AQ7" s="709"/>
      <c r="AR7" s="78"/>
      <c r="AS7" s="2"/>
      <c r="AT7" s="2"/>
      <c r="AU7" s="2"/>
      <c r="AV7" s="2"/>
      <c r="AW7" s="2"/>
      <c r="AX7" s="2"/>
      <c r="AY7" s="2"/>
      <c r="AZ7" s="2"/>
      <c r="BA7" s="2"/>
      <c r="BB7" s="2"/>
      <c r="BC7" s="2"/>
      <c r="BD7" s="2"/>
      <c r="BE7" s="2"/>
      <c r="BF7" s="2"/>
      <c r="BG7" s="2"/>
      <c r="BH7" s="2"/>
      <c r="BI7" s="2"/>
      <c r="BO7" s="131"/>
    </row>
    <row r="8" spans="2:67" x14ac:dyDescent="0.25">
      <c r="B8" s="14" t="s">
        <v>40</v>
      </c>
      <c r="C8" s="15" t="s">
        <v>649</v>
      </c>
      <c r="D8" s="21">
        <v>0</v>
      </c>
      <c r="E8" s="21">
        <v>53700</v>
      </c>
      <c r="F8" s="21">
        <v>0</v>
      </c>
      <c r="G8" s="21">
        <f ca="1">SUMIF($AR$3:$BO$3,"&lt;"&amp;TODAY(),$AR8:$BO8)</f>
        <v>0</v>
      </c>
      <c r="H8" s="21"/>
      <c r="I8" s="21"/>
      <c r="J8" s="21"/>
      <c r="K8" s="709"/>
      <c r="L8" s="709"/>
      <c r="M8" s="709"/>
      <c r="N8" s="709"/>
      <c r="O8" s="709"/>
      <c r="P8" s="709"/>
      <c r="Q8" s="709"/>
      <c r="R8" s="709"/>
      <c r="S8" s="709"/>
      <c r="T8" s="709"/>
      <c r="U8" s="709"/>
      <c r="V8" s="709"/>
      <c r="W8" s="709"/>
      <c r="X8" s="709"/>
      <c r="Y8" s="709"/>
      <c r="Z8" s="709"/>
      <c r="AA8" s="709"/>
      <c r="AB8" s="709"/>
      <c r="AC8" s="709"/>
      <c r="AD8" s="709"/>
      <c r="AE8" s="709"/>
      <c r="AF8" s="709"/>
      <c r="AG8" s="709"/>
      <c r="AH8" s="709"/>
      <c r="AI8" s="709"/>
      <c r="AJ8" s="709"/>
      <c r="AK8" s="709"/>
      <c r="AL8" s="709"/>
      <c r="AM8" s="709"/>
      <c r="AN8" s="709"/>
      <c r="AO8" s="709"/>
      <c r="AP8" s="709"/>
      <c r="AQ8" s="709"/>
      <c r="AR8" s="78"/>
      <c r="AS8" s="2"/>
      <c r="AU8" s="2"/>
      <c r="AV8" s="2"/>
      <c r="AW8" s="2"/>
      <c r="AX8" s="2"/>
      <c r="AY8" s="2"/>
      <c r="AZ8" s="2"/>
      <c r="BA8" s="2"/>
      <c r="BB8" s="2"/>
      <c r="BC8" s="2"/>
      <c r="BD8" s="2"/>
      <c r="BF8" s="2"/>
      <c r="BG8" s="2"/>
      <c r="BH8" s="2"/>
      <c r="BI8" s="2"/>
      <c r="BJ8" s="2"/>
      <c r="BK8" s="2"/>
      <c r="BL8" s="2"/>
      <c r="BO8" s="131"/>
    </row>
    <row r="9" spans="2:67" x14ac:dyDescent="0.25">
      <c r="B9" s="14" t="s">
        <v>650</v>
      </c>
      <c r="C9" s="15"/>
      <c r="D9" s="21"/>
      <c r="E9" s="21">
        <v>10000</v>
      </c>
      <c r="F9" s="21"/>
      <c r="G9" s="21"/>
      <c r="H9" s="21"/>
      <c r="I9" s="21"/>
      <c r="J9" s="21"/>
      <c r="K9" s="709"/>
      <c r="L9" s="709"/>
      <c r="M9" s="709"/>
      <c r="N9" s="709"/>
      <c r="O9" s="709"/>
      <c r="P9" s="709"/>
      <c r="Q9" s="709"/>
      <c r="R9" s="709"/>
      <c r="S9" s="709"/>
      <c r="T9" s="709"/>
      <c r="U9" s="709"/>
      <c r="V9" s="709"/>
      <c r="W9" s="709"/>
      <c r="X9" s="709"/>
      <c r="Y9" s="709"/>
      <c r="Z9" s="709"/>
      <c r="AA9" s="709"/>
      <c r="AB9" s="709"/>
      <c r="AC9" s="709"/>
      <c r="AD9" s="709"/>
      <c r="AE9" s="709"/>
      <c r="AF9" s="709"/>
      <c r="AG9" s="709"/>
      <c r="AH9" s="709"/>
      <c r="AI9" s="709"/>
      <c r="AJ9" s="709"/>
      <c r="AK9" s="709"/>
      <c r="AL9" s="709"/>
      <c r="AM9" s="709"/>
      <c r="AN9" s="709"/>
      <c r="AO9" s="709"/>
      <c r="AP9" s="709"/>
      <c r="AQ9" s="709"/>
      <c r="AR9" s="78"/>
      <c r="AS9" s="2"/>
      <c r="AU9" s="2"/>
      <c r="AV9" s="2"/>
      <c r="AW9" s="2"/>
      <c r="AX9" s="2"/>
      <c r="AY9" s="2"/>
      <c r="AZ9" s="2"/>
      <c r="BA9" s="2"/>
      <c r="BB9" s="2"/>
      <c r="BC9" s="2"/>
      <c r="BD9" s="2"/>
      <c r="BF9" s="2"/>
      <c r="BG9" s="2"/>
      <c r="BH9" s="2"/>
      <c r="BI9" s="2"/>
      <c r="BJ9" s="2"/>
      <c r="BK9" s="2"/>
      <c r="BL9" s="2"/>
      <c r="BO9" s="131"/>
    </row>
    <row r="10" spans="2:67" x14ac:dyDescent="0.25">
      <c r="B10" s="14" t="s">
        <v>37</v>
      </c>
      <c r="C10" s="15"/>
      <c r="D10" s="21"/>
      <c r="E10" s="21">
        <v>548000</v>
      </c>
      <c r="F10" s="21"/>
      <c r="G10" s="21">
        <f ca="1">SUMIF($AR$3:$BO$3,"&lt;"&amp;TODAY(),$AR10:$BO10)</f>
        <v>0</v>
      </c>
      <c r="H10" s="21"/>
      <c r="I10" s="21"/>
      <c r="J10" s="21"/>
      <c r="K10" s="709"/>
      <c r="L10" s="709"/>
      <c r="M10" s="709"/>
      <c r="N10" s="709"/>
      <c r="O10" s="709"/>
      <c r="P10" s="709"/>
      <c r="Q10" s="709"/>
      <c r="R10" s="709"/>
      <c r="S10" s="709"/>
      <c r="T10" s="709"/>
      <c r="U10" s="709"/>
      <c r="V10" s="709"/>
      <c r="W10" s="709"/>
      <c r="X10" s="709"/>
      <c r="Y10" s="709"/>
      <c r="Z10" s="709"/>
      <c r="AA10" s="709"/>
      <c r="AB10" s="709"/>
      <c r="AC10" s="709"/>
      <c r="AD10" s="709"/>
      <c r="AE10" s="709"/>
      <c r="AF10" s="709"/>
      <c r="AG10" s="709"/>
      <c r="AH10" s="709"/>
      <c r="AI10" s="709"/>
      <c r="AJ10" s="709"/>
      <c r="AK10" s="709"/>
      <c r="AL10" s="709"/>
      <c r="AM10" s="709"/>
      <c r="AN10" s="709"/>
      <c r="AO10" s="709"/>
      <c r="AP10" s="709"/>
      <c r="AQ10" s="709"/>
      <c r="AR10" s="78"/>
      <c r="AS10" s="2"/>
      <c r="AU10" s="2"/>
      <c r="AV10" s="2"/>
      <c r="AW10" s="2"/>
      <c r="AX10" s="2"/>
      <c r="AY10" s="2"/>
      <c r="AZ10" s="2"/>
      <c r="BA10" s="2"/>
      <c r="BB10" s="2"/>
      <c r="BC10" s="2"/>
      <c r="BD10" s="2"/>
      <c r="BE10" s="2"/>
      <c r="BF10" s="2"/>
      <c r="BG10" s="2"/>
      <c r="BH10" s="2"/>
      <c r="BI10" s="2"/>
      <c r="BO10" s="131"/>
    </row>
    <row r="11" spans="2:67" x14ac:dyDescent="0.25">
      <c r="B11" s="257" t="s">
        <v>42</v>
      </c>
      <c r="C11" t="s">
        <v>651</v>
      </c>
      <c r="D11" s="19"/>
      <c r="E11" s="19">
        <v>5500</v>
      </c>
      <c r="F11" s="19">
        <v>5500</v>
      </c>
      <c r="G11" s="19">
        <f ca="1">SUMIF($AR$3:$BP$3,"&lt;"&amp;TODAY(),$AR11:$BP11)</f>
        <v>5500</v>
      </c>
      <c r="H11" s="19">
        <f>SUM(E11-F11)</f>
        <v>0</v>
      </c>
      <c r="I11" s="65" t="s">
        <v>327</v>
      </c>
      <c r="J11" s="693" t="s">
        <v>649</v>
      </c>
      <c r="K11" s="709"/>
      <c r="L11" s="709"/>
      <c r="M11" s="709"/>
      <c r="N11" s="709"/>
      <c r="O11" s="709"/>
      <c r="P11" s="709"/>
      <c r="Q11" s="709"/>
      <c r="R11" s="709"/>
      <c r="S11" s="709"/>
      <c r="T11" s="709"/>
      <c r="U11" s="709"/>
      <c r="V11" s="709"/>
      <c r="W11" s="709"/>
      <c r="X11" s="709"/>
      <c r="Y11" s="709"/>
      <c r="Z11" s="709"/>
      <c r="AA11" s="709"/>
      <c r="AB11" s="709"/>
      <c r="AC11" s="709"/>
      <c r="AD11" s="709"/>
      <c r="AE11" s="709"/>
      <c r="AF11" s="709"/>
      <c r="AG11" s="709"/>
      <c r="AH11" s="709"/>
      <c r="AI11" s="709"/>
      <c r="AJ11" s="2">
        <v>500</v>
      </c>
      <c r="AK11" s="709"/>
      <c r="AL11" s="709"/>
      <c r="AM11" s="709"/>
      <c r="AN11" s="709"/>
      <c r="AO11" s="709"/>
      <c r="AP11" s="709"/>
      <c r="AQ11" s="709"/>
      <c r="AR11" s="78"/>
      <c r="AS11" s="113">
        <v>5500</v>
      </c>
      <c r="AT11" s="2"/>
      <c r="AU11" s="2"/>
      <c r="AV11" s="2"/>
      <c r="AW11" s="2"/>
      <c r="AX11" s="2"/>
      <c r="AY11" s="2"/>
      <c r="AZ11" s="2"/>
      <c r="BA11" s="2"/>
      <c r="BB11" s="2"/>
      <c r="BC11" s="2"/>
      <c r="BD11" s="2"/>
      <c r="BE11" s="2"/>
      <c r="BF11" s="2"/>
      <c r="BG11" s="2"/>
      <c r="BH11" s="2"/>
      <c r="BI11" s="2"/>
      <c r="BO11" s="131"/>
    </row>
    <row r="12" spans="2:67" x14ac:dyDescent="0.25">
      <c r="B12" s="16" t="s">
        <v>652</v>
      </c>
      <c r="C12" t="s">
        <v>653</v>
      </c>
      <c r="D12" s="19"/>
      <c r="E12" s="42">
        <v>12125</v>
      </c>
      <c r="F12" s="19">
        <v>6000</v>
      </c>
      <c r="G12" s="19">
        <f ca="1">SUMIF($AR$3:$BP$3,"&lt;"&amp;TODAY(),$AR12:$BP12)</f>
        <v>0</v>
      </c>
      <c r="H12" s="19"/>
      <c r="I12" s="19"/>
      <c r="J12" s="693" t="s">
        <v>654</v>
      </c>
      <c r="K12" s="709"/>
      <c r="L12" s="709"/>
      <c r="M12" s="709"/>
      <c r="N12" s="709"/>
      <c r="O12" s="709"/>
      <c r="P12" s="709"/>
      <c r="Q12" s="709"/>
      <c r="R12" s="709"/>
      <c r="S12" s="709"/>
      <c r="T12" s="709"/>
      <c r="U12" s="709"/>
      <c r="V12" s="709"/>
      <c r="W12" s="709"/>
      <c r="X12" s="709"/>
      <c r="Y12" s="709"/>
      <c r="Z12" s="709"/>
      <c r="AA12" s="709"/>
      <c r="AB12" s="709"/>
      <c r="AC12" s="709"/>
      <c r="AD12" s="709"/>
      <c r="AE12" s="709"/>
      <c r="AF12" s="709"/>
      <c r="AG12" s="709"/>
      <c r="AH12" s="709"/>
      <c r="AI12" s="709"/>
      <c r="AJ12" s="2">
        <v>2400</v>
      </c>
      <c r="AK12" s="709"/>
      <c r="AL12" s="709"/>
      <c r="AM12" s="709"/>
      <c r="AN12" s="709"/>
      <c r="AO12" s="709"/>
      <c r="AP12" s="709"/>
      <c r="AQ12" s="709"/>
      <c r="AR12" s="78"/>
      <c r="AS12" s="2"/>
      <c r="AU12" s="2"/>
      <c r="AV12" s="2"/>
      <c r="AW12" s="2"/>
      <c r="AX12" s="2"/>
      <c r="AY12" s="2"/>
      <c r="AZ12" s="2"/>
      <c r="BA12" s="2"/>
      <c r="BB12" s="2"/>
      <c r="BC12" s="2"/>
      <c r="BD12" s="2"/>
      <c r="BE12" s="2"/>
      <c r="BF12" s="2"/>
      <c r="BG12" s="2"/>
      <c r="BH12" s="2"/>
      <c r="BI12" s="2"/>
      <c r="BO12" s="131"/>
    </row>
    <row r="13" spans="2:67" x14ac:dyDescent="0.25">
      <c r="B13" s="16"/>
      <c r="C13" t="s">
        <v>655</v>
      </c>
      <c r="D13" s="19"/>
      <c r="E13" s="42"/>
      <c r="F13" s="19"/>
      <c r="G13" s="19"/>
      <c r="H13" s="19"/>
      <c r="I13" s="19"/>
      <c r="J13" s="693"/>
      <c r="K13" s="709"/>
      <c r="L13" s="709"/>
      <c r="M13" s="709"/>
      <c r="N13" s="709"/>
      <c r="O13" s="709"/>
      <c r="P13" s="709"/>
      <c r="Q13" s="709"/>
      <c r="R13" s="709"/>
      <c r="S13" s="709"/>
      <c r="T13" s="709"/>
      <c r="U13" s="709"/>
      <c r="V13" s="709"/>
      <c r="W13" s="709"/>
      <c r="X13" s="709"/>
      <c r="Y13" s="709"/>
      <c r="Z13" s="709"/>
      <c r="AA13" s="709"/>
      <c r="AB13" s="709"/>
      <c r="AC13" s="709"/>
      <c r="AD13" s="709"/>
      <c r="AE13" s="709"/>
      <c r="AF13" s="709"/>
      <c r="AG13" s="709"/>
      <c r="AH13" s="709"/>
      <c r="AI13" s="709"/>
      <c r="AJ13" s="2"/>
      <c r="AK13" s="709"/>
      <c r="AL13" s="709"/>
      <c r="AM13" s="709"/>
      <c r="AN13" s="709"/>
      <c r="AO13" s="709"/>
      <c r="AP13" s="709"/>
      <c r="AQ13" s="709"/>
      <c r="AR13" s="78"/>
      <c r="AS13" s="2"/>
      <c r="AU13" s="2"/>
      <c r="AV13" s="2"/>
      <c r="AW13" s="2"/>
      <c r="AX13" s="2"/>
      <c r="AY13" s="2"/>
      <c r="AZ13" s="2"/>
      <c r="BA13" s="2"/>
      <c r="BB13" s="2"/>
      <c r="BC13" s="2"/>
      <c r="BD13" s="2"/>
      <c r="BE13" s="2"/>
      <c r="BF13" s="2"/>
      <c r="BG13" s="2"/>
      <c r="BH13" s="2"/>
      <c r="BI13" s="2"/>
      <c r="BO13" s="131"/>
    </row>
    <row r="14" spans="2:67" x14ac:dyDescent="0.25">
      <c r="B14" s="16"/>
      <c r="C14" t="s">
        <v>656</v>
      </c>
      <c r="D14" s="19"/>
      <c r="E14" s="19">
        <v>2980</v>
      </c>
      <c r="F14" s="19"/>
      <c r="G14" s="19"/>
      <c r="H14" s="19"/>
      <c r="I14" s="19"/>
      <c r="J14" s="693" t="s">
        <v>654</v>
      </c>
      <c r="K14" s="709"/>
      <c r="L14" s="709"/>
      <c r="M14" s="709"/>
      <c r="N14" s="709"/>
      <c r="O14" s="709"/>
      <c r="P14" s="709"/>
      <c r="Q14" s="709"/>
      <c r="R14" s="709"/>
      <c r="S14" s="709"/>
      <c r="T14" s="709"/>
      <c r="U14" s="709"/>
      <c r="V14" s="709"/>
      <c r="W14" s="709"/>
      <c r="X14" s="709"/>
      <c r="Y14" s="709"/>
      <c r="Z14" s="709"/>
      <c r="AA14" s="709"/>
      <c r="AB14" s="709"/>
      <c r="AC14" s="709"/>
      <c r="AD14" s="709"/>
      <c r="AE14" s="709"/>
      <c r="AF14" s="709"/>
      <c r="AG14" s="709"/>
      <c r="AH14" s="709"/>
      <c r="AI14" s="709"/>
      <c r="AJ14" s="2"/>
      <c r="AK14" s="709"/>
      <c r="AL14" s="709"/>
      <c r="AM14" s="709"/>
      <c r="AN14" s="709"/>
      <c r="AO14" s="709"/>
      <c r="AP14" s="709"/>
      <c r="AQ14" s="709"/>
      <c r="AR14" s="78"/>
      <c r="AS14" s="2"/>
      <c r="AU14" s="2"/>
      <c r="AV14" s="2"/>
      <c r="AW14" s="2"/>
      <c r="AX14" s="2"/>
      <c r="AY14" s="2"/>
      <c r="AZ14" s="2"/>
      <c r="BA14" s="2"/>
      <c r="BB14" s="2"/>
      <c r="BC14" s="2"/>
      <c r="BD14" s="2"/>
      <c r="BE14" s="2"/>
      <c r="BF14" s="2"/>
      <c r="BG14" s="2"/>
      <c r="BH14" s="2"/>
      <c r="BI14" s="2"/>
      <c r="BO14" s="131"/>
    </row>
    <row r="15" spans="2:67" x14ac:dyDescent="0.25">
      <c r="B15" s="16"/>
      <c r="C15" t="s">
        <v>657</v>
      </c>
      <c r="D15" s="19"/>
      <c r="E15" s="42">
        <v>1260</v>
      </c>
      <c r="F15" s="19"/>
      <c r="G15" s="19"/>
      <c r="H15" s="19"/>
      <c r="I15" s="19"/>
      <c r="J15" s="693" t="s">
        <v>654</v>
      </c>
      <c r="K15" s="709"/>
      <c r="L15" s="709"/>
      <c r="M15" s="709"/>
      <c r="N15" s="709"/>
      <c r="O15" s="709"/>
      <c r="P15" s="709"/>
      <c r="Q15" s="709"/>
      <c r="R15" s="709"/>
      <c r="S15" s="709"/>
      <c r="T15" s="709"/>
      <c r="U15" s="709"/>
      <c r="V15" s="709"/>
      <c r="W15" s="709"/>
      <c r="X15" s="709"/>
      <c r="Y15" s="709"/>
      <c r="Z15" s="709"/>
      <c r="AA15" s="709"/>
      <c r="AB15" s="709"/>
      <c r="AC15" s="709"/>
      <c r="AD15" s="709"/>
      <c r="AE15" s="709"/>
      <c r="AF15" s="709"/>
      <c r="AG15" s="709"/>
      <c r="AH15" s="709"/>
      <c r="AI15" s="709"/>
      <c r="AJ15" s="2"/>
      <c r="AK15" s="709"/>
      <c r="AL15" s="709"/>
      <c r="AM15" s="709"/>
      <c r="AN15" s="709"/>
      <c r="AO15" s="709"/>
      <c r="AP15" s="709"/>
      <c r="AQ15" s="709"/>
      <c r="AR15" s="78"/>
      <c r="AS15" s="2"/>
      <c r="AU15" s="2"/>
      <c r="AV15" s="2"/>
      <c r="AW15" s="2"/>
      <c r="AX15" s="2"/>
      <c r="AY15" s="2"/>
      <c r="AZ15" s="2"/>
      <c r="BA15" s="2"/>
      <c r="BB15" s="2"/>
      <c r="BC15" s="2"/>
      <c r="BD15" s="2"/>
      <c r="BE15" s="2"/>
      <c r="BF15" s="2"/>
      <c r="BG15" s="2"/>
      <c r="BH15" s="2"/>
      <c r="BI15" s="2"/>
      <c r="BO15" s="131"/>
    </row>
    <row r="16" spans="2:67" x14ac:dyDescent="0.25">
      <c r="B16" s="16"/>
      <c r="C16" t="s">
        <v>658</v>
      </c>
      <c r="D16" s="19"/>
      <c r="E16" s="19">
        <v>8640</v>
      </c>
      <c r="F16" s="19"/>
      <c r="G16" s="19"/>
      <c r="H16" s="19"/>
      <c r="I16" s="19"/>
      <c r="J16" s="693" t="s">
        <v>654</v>
      </c>
      <c r="K16" s="709"/>
      <c r="L16" s="709"/>
      <c r="M16" s="709"/>
      <c r="N16" s="709"/>
      <c r="O16" s="709"/>
      <c r="P16" s="709"/>
      <c r="Q16" s="709"/>
      <c r="R16" s="709"/>
      <c r="S16" s="709"/>
      <c r="T16" s="709"/>
      <c r="U16" s="709"/>
      <c r="V16" s="709"/>
      <c r="W16" s="709"/>
      <c r="X16" s="709"/>
      <c r="Y16" s="709"/>
      <c r="Z16" s="709"/>
      <c r="AA16" s="709"/>
      <c r="AB16" s="709"/>
      <c r="AC16" s="709"/>
      <c r="AD16" s="709"/>
      <c r="AE16" s="709"/>
      <c r="AF16" s="709"/>
      <c r="AG16" s="709"/>
      <c r="AH16" s="709"/>
      <c r="AI16" s="709"/>
      <c r="AJ16" s="2"/>
      <c r="AK16" s="709"/>
      <c r="AL16" s="709"/>
      <c r="AM16" s="709"/>
      <c r="AN16" s="709"/>
      <c r="AO16" s="709"/>
      <c r="AP16" s="709"/>
      <c r="AQ16" s="709"/>
      <c r="AR16" s="78"/>
      <c r="AS16" s="2"/>
      <c r="AU16" s="2"/>
      <c r="AV16" s="2"/>
      <c r="AW16" s="2"/>
      <c r="AX16" s="2"/>
      <c r="AY16" s="2"/>
      <c r="AZ16" s="2"/>
      <c r="BA16" s="2"/>
      <c r="BB16" s="2"/>
      <c r="BC16" s="2"/>
      <c r="BD16" s="2"/>
      <c r="BE16" s="2"/>
      <c r="BF16" s="2"/>
      <c r="BG16" s="2"/>
      <c r="BH16" s="2"/>
      <c r="BI16" s="2"/>
      <c r="BO16" s="131"/>
    </row>
    <row r="17" spans="2:67" x14ac:dyDescent="0.25">
      <c r="B17" s="16" t="s">
        <v>659</v>
      </c>
      <c r="C17" t="s">
        <v>660</v>
      </c>
      <c r="D17" s="19"/>
      <c r="E17" s="789">
        <v>3380</v>
      </c>
      <c r="F17" s="19"/>
      <c r="G17" s="19"/>
      <c r="H17" s="19"/>
      <c r="I17" s="19"/>
      <c r="J17" s="693" t="s">
        <v>654</v>
      </c>
      <c r="K17" s="709"/>
      <c r="L17" s="709"/>
      <c r="M17" s="709"/>
      <c r="N17" s="709"/>
      <c r="O17" s="709"/>
      <c r="P17" s="709"/>
      <c r="Q17" s="709"/>
      <c r="R17" s="709"/>
      <c r="S17" s="709"/>
      <c r="T17" s="709"/>
      <c r="U17" s="709"/>
      <c r="V17" s="709"/>
      <c r="W17" s="709"/>
      <c r="X17" s="709"/>
      <c r="Y17" s="709"/>
      <c r="Z17" s="709"/>
      <c r="AA17" s="709"/>
      <c r="AB17" s="709"/>
      <c r="AC17" s="709"/>
      <c r="AD17" s="709"/>
      <c r="AE17" s="709"/>
      <c r="AF17" s="709"/>
      <c r="AG17" s="709"/>
      <c r="AH17" s="709"/>
      <c r="AI17" s="709"/>
      <c r="AJ17" s="2"/>
      <c r="AK17" s="709"/>
      <c r="AL17" s="709"/>
      <c r="AM17" s="709"/>
      <c r="AN17" s="709"/>
      <c r="AO17" s="709"/>
      <c r="AP17" s="709"/>
      <c r="AQ17" s="709"/>
      <c r="AR17" s="78"/>
      <c r="AS17" s="2"/>
      <c r="AU17" s="2"/>
      <c r="AV17" s="2"/>
      <c r="AW17" s="2"/>
      <c r="AX17" s="2"/>
      <c r="AY17" s="2"/>
      <c r="AZ17" s="2"/>
      <c r="BA17" s="2"/>
      <c r="BB17" s="2"/>
      <c r="BC17" s="2"/>
      <c r="BD17" s="2"/>
      <c r="BE17" s="2"/>
      <c r="BF17" s="2"/>
      <c r="BG17" s="2"/>
      <c r="BH17" s="2"/>
      <c r="BI17" s="2"/>
      <c r="BO17" s="131"/>
    </row>
    <row r="18" spans="2:67" x14ac:dyDescent="0.25">
      <c r="B18" s="16"/>
      <c r="C18" t="s">
        <v>661</v>
      </c>
      <c r="D18" s="19"/>
      <c r="E18" s="789">
        <v>4440</v>
      </c>
      <c r="F18" s="19"/>
      <c r="G18" s="19"/>
      <c r="H18" s="19"/>
      <c r="I18" s="19"/>
      <c r="J18" s="693" t="s">
        <v>654</v>
      </c>
      <c r="K18" s="709"/>
      <c r="L18" s="709"/>
      <c r="M18" s="709"/>
      <c r="N18" s="709"/>
      <c r="O18" s="709"/>
      <c r="P18" s="709"/>
      <c r="Q18" s="709"/>
      <c r="R18" s="709"/>
      <c r="S18" s="709"/>
      <c r="T18" s="709"/>
      <c r="U18" s="709"/>
      <c r="V18" s="709"/>
      <c r="W18" s="709"/>
      <c r="X18" s="709"/>
      <c r="Y18" s="709"/>
      <c r="Z18" s="709"/>
      <c r="AA18" s="709"/>
      <c r="AB18" s="709"/>
      <c r="AC18" s="709"/>
      <c r="AD18" s="709"/>
      <c r="AE18" s="709"/>
      <c r="AF18" s="709"/>
      <c r="AG18" s="709"/>
      <c r="AH18" s="709"/>
      <c r="AI18" s="709"/>
      <c r="AJ18" s="2"/>
      <c r="AK18" s="709"/>
      <c r="AL18" s="709"/>
      <c r="AM18" s="709"/>
      <c r="AN18" s="709"/>
      <c r="AO18" s="709"/>
      <c r="AP18" s="709"/>
      <c r="AQ18" s="709"/>
      <c r="AR18" s="78"/>
      <c r="AS18" s="2"/>
      <c r="AU18" s="2"/>
      <c r="AV18" s="2"/>
      <c r="AW18" s="2"/>
      <c r="AX18" s="2"/>
      <c r="AY18" s="2"/>
      <c r="AZ18" s="2"/>
      <c r="BA18" s="2"/>
      <c r="BB18" s="2"/>
      <c r="BC18" s="2"/>
      <c r="BD18" s="2"/>
      <c r="BE18" s="2"/>
      <c r="BF18" s="2"/>
      <c r="BG18" s="2"/>
      <c r="BH18" s="2"/>
      <c r="BI18" s="2"/>
      <c r="BO18" s="131"/>
    </row>
    <row r="19" spans="2:67" x14ac:dyDescent="0.25">
      <c r="B19" s="16"/>
      <c r="C19" t="s">
        <v>662</v>
      </c>
      <c r="D19" s="19"/>
      <c r="E19" s="789">
        <v>3640</v>
      </c>
      <c r="F19" s="19"/>
      <c r="G19" s="19"/>
      <c r="H19" s="19"/>
      <c r="I19" s="19"/>
      <c r="J19" s="693" t="s">
        <v>654</v>
      </c>
      <c r="K19" s="709"/>
      <c r="L19" s="709"/>
      <c r="M19" s="709"/>
      <c r="N19" s="709"/>
      <c r="O19" s="709"/>
      <c r="P19" s="709"/>
      <c r="Q19" s="709"/>
      <c r="R19" s="709"/>
      <c r="S19" s="709"/>
      <c r="T19" s="709"/>
      <c r="U19" s="709"/>
      <c r="V19" s="709"/>
      <c r="W19" s="709"/>
      <c r="X19" s="709"/>
      <c r="Y19" s="709"/>
      <c r="Z19" s="709"/>
      <c r="AA19" s="709"/>
      <c r="AB19" s="709"/>
      <c r="AC19" s="709"/>
      <c r="AD19" s="709"/>
      <c r="AE19" s="709"/>
      <c r="AF19" s="709"/>
      <c r="AG19" s="709"/>
      <c r="AH19" s="709"/>
      <c r="AI19" s="709"/>
      <c r="AJ19" s="2"/>
      <c r="AK19" s="709"/>
      <c r="AL19" s="709"/>
      <c r="AM19" s="709"/>
      <c r="AN19" s="709"/>
      <c r="AO19" s="709"/>
      <c r="AP19" s="709"/>
      <c r="AQ19" s="709"/>
      <c r="AR19" s="78"/>
      <c r="AS19" s="2"/>
      <c r="AU19" s="2"/>
      <c r="AV19" s="2"/>
      <c r="AW19" s="2"/>
      <c r="AX19" s="2"/>
      <c r="AY19" s="2"/>
      <c r="AZ19" s="2"/>
      <c r="BA19" s="2"/>
      <c r="BB19" s="2"/>
      <c r="BC19" s="2"/>
      <c r="BD19" s="2"/>
      <c r="BE19" s="2"/>
      <c r="BF19" s="2"/>
      <c r="BG19" s="2"/>
      <c r="BH19" s="2"/>
      <c r="BI19" s="2"/>
      <c r="BO19" s="131"/>
    </row>
    <row r="20" spans="2:67" ht="14.25" customHeight="1" x14ac:dyDescent="0.25">
      <c r="B20" s="16"/>
      <c r="C20" t="s">
        <v>663</v>
      </c>
      <c r="D20" s="19"/>
      <c r="E20" s="789">
        <v>11195</v>
      </c>
      <c r="F20" s="19"/>
      <c r="G20" s="19">
        <f t="shared" ref="G20:G30" ca="1" si="0">SUMIF($AR$3:$BP$3,"&lt;"&amp;TODAY(),$AR20:$BP20)</f>
        <v>0</v>
      </c>
      <c r="H20" s="19"/>
      <c r="I20" s="19"/>
      <c r="J20" s="693" t="s">
        <v>654</v>
      </c>
      <c r="K20" s="709"/>
      <c r="L20" s="709"/>
      <c r="M20" s="709"/>
      <c r="N20" s="709"/>
      <c r="O20" s="709"/>
      <c r="P20" s="709"/>
      <c r="Q20" s="709"/>
      <c r="R20" s="709"/>
      <c r="S20" s="709"/>
      <c r="T20" s="709"/>
      <c r="U20" s="709"/>
      <c r="V20" s="709"/>
      <c r="W20" s="709"/>
      <c r="X20" s="709"/>
      <c r="Y20" s="709"/>
      <c r="Z20" s="709"/>
      <c r="AA20" s="709"/>
      <c r="AB20" s="709"/>
      <c r="AC20" s="709"/>
      <c r="AD20" s="709"/>
      <c r="AE20" s="709"/>
      <c r="AF20" s="709"/>
      <c r="AG20" s="709"/>
      <c r="AH20" s="709"/>
      <c r="AI20" s="709"/>
      <c r="AJ20" s="709"/>
      <c r="AK20" s="709"/>
      <c r="AL20" s="709"/>
      <c r="AM20" s="709"/>
      <c r="AN20" s="709"/>
      <c r="AO20" s="709"/>
      <c r="AP20" s="709"/>
      <c r="AQ20" s="709"/>
      <c r="AR20" s="78"/>
      <c r="AS20" s="2"/>
      <c r="AU20" s="2"/>
      <c r="AV20" s="2"/>
      <c r="AW20" s="2"/>
      <c r="AX20" s="2"/>
      <c r="AY20" s="2"/>
      <c r="AZ20" s="2"/>
      <c r="BA20" s="2"/>
      <c r="BB20" s="2"/>
      <c r="BC20" s="2"/>
      <c r="BD20" s="2"/>
      <c r="BE20" s="2"/>
      <c r="BF20" s="2"/>
      <c r="BG20" s="2"/>
      <c r="BH20" s="2"/>
      <c r="BI20" s="2"/>
      <c r="BO20" s="131"/>
    </row>
    <row r="21" spans="2:67" x14ac:dyDescent="0.25">
      <c r="B21" s="16"/>
      <c r="C21" t="s">
        <v>664</v>
      </c>
      <c r="D21" s="19"/>
      <c r="E21" s="790">
        <v>1705</v>
      </c>
      <c r="F21" s="19"/>
      <c r="G21" s="19">
        <f t="shared" ca="1" si="0"/>
        <v>0</v>
      </c>
      <c r="H21" s="19"/>
      <c r="I21" s="19"/>
      <c r="J21" s="693" t="s">
        <v>654</v>
      </c>
      <c r="K21" s="709"/>
      <c r="L21" s="709"/>
      <c r="M21" s="709"/>
      <c r="N21" s="709"/>
      <c r="O21" s="709"/>
      <c r="P21" s="709"/>
      <c r="Q21" s="709"/>
      <c r="R21" s="709"/>
      <c r="S21" s="709"/>
      <c r="T21" s="709"/>
      <c r="U21" s="709"/>
      <c r="V21" s="709"/>
      <c r="W21" s="709"/>
      <c r="X21" s="709"/>
      <c r="Y21" s="709"/>
      <c r="Z21" s="709"/>
      <c r="AA21" s="709"/>
      <c r="AB21" s="709"/>
      <c r="AC21" s="709"/>
      <c r="AD21" s="709"/>
      <c r="AE21" s="709"/>
      <c r="AF21" s="709"/>
      <c r="AG21" s="709"/>
      <c r="AH21" s="709"/>
      <c r="AI21" s="709"/>
      <c r="AJ21" s="709"/>
      <c r="AK21" s="709"/>
      <c r="AL21" s="709"/>
      <c r="AM21" s="709"/>
      <c r="AN21" s="709"/>
      <c r="AO21" s="709"/>
      <c r="AP21" s="709"/>
      <c r="AQ21" s="709"/>
      <c r="AR21" s="78"/>
      <c r="AS21" s="2"/>
      <c r="AU21" s="2"/>
      <c r="AV21" s="2"/>
      <c r="AW21" s="2"/>
      <c r="AX21" s="2"/>
      <c r="AY21" s="2"/>
      <c r="AZ21" s="2"/>
      <c r="BA21" s="2"/>
      <c r="BB21" s="2"/>
      <c r="BC21" s="2"/>
      <c r="BD21" s="2"/>
      <c r="BE21" s="2"/>
      <c r="BF21" s="2"/>
      <c r="BG21" s="2"/>
      <c r="BH21" s="2"/>
      <c r="BI21" s="2"/>
      <c r="BO21" s="131"/>
    </row>
    <row r="22" spans="2:67" x14ac:dyDescent="0.25">
      <c r="B22" s="16"/>
      <c r="C22" t="s">
        <v>665</v>
      </c>
      <c r="D22" s="19"/>
      <c r="E22" s="790">
        <v>2130</v>
      </c>
      <c r="F22" s="19"/>
      <c r="G22" s="19">
        <f t="shared" ca="1" si="0"/>
        <v>0</v>
      </c>
      <c r="H22" s="19"/>
      <c r="I22" s="19"/>
      <c r="J22" s="693" t="s">
        <v>654</v>
      </c>
      <c r="K22" s="709"/>
      <c r="L22" s="709"/>
      <c r="M22" s="709"/>
      <c r="N22" s="709"/>
      <c r="O22" s="709"/>
      <c r="P22" s="709"/>
      <c r="Q22" s="709"/>
      <c r="R22" s="709"/>
      <c r="S22" s="709"/>
      <c r="T22" s="709"/>
      <c r="U22" s="709"/>
      <c r="V22" s="709"/>
      <c r="W22" s="709"/>
      <c r="X22" s="709"/>
      <c r="Y22" s="709"/>
      <c r="Z22" s="709"/>
      <c r="AA22" s="709"/>
      <c r="AB22" s="709"/>
      <c r="AC22" s="709"/>
      <c r="AD22" s="709"/>
      <c r="AE22" s="709"/>
      <c r="AF22" s="709"/>
      <c r="AG22" s="709"/>
      <c r="AH22" s="709"/>
      <c r="AI22" s="709"/>
      <c r="AJ22" s="709"/>
      <c r="AK22" s="709"/>
      <c r="AL22" s="709"/>
      <c r="AM22" s="709"/>
      <c r="AN22" s="709"/>
      <c r="AO22" s="709"/>
      <c r="AP22" s="709"/>
      <c r="AQ22" s="709"/>
      <c r="AR22" s="78"/>
      <c r="AS22" s="2"/>
      <c r="AU22" s="2"/>
      <c r="AV22" s="2"/>
      <c r="AW22" s="2"/>
      <c r="AX22" s="2"/>
      <c r="AY22" s="2"/>
      <c r="AZ22" s="2"/>
      <c r="BA22" s="2"/>
      <c r="BB22" s="2"/>
      <c r="BC22" s="2"/>
      <c r="BD22" s="2"/>
      <c r="BE22" s="2"/>
      <c r="BF22" s="2"/>
      <c r="BG22" s="2"/>
      <c r="BH22" s="2"/>
      <c r="BI22" s="2"/>
      <c r="BO22" s="131"/>
    </row>
    <row r="23" spans="2:67" x14ac:dyDescent="0.25">
      <c r="B23" s="16"/>
      <c r="C23" t="s">
        <v>666</v>
      </c>
      <c r="D23" s="19"/>
      <c r="E23" s="790">
        <v>1705</v>
      </c>
      <c r="F23" s="19"/>
      <c r="G23" s="19">
        <f t="shared" ca="1" si="0"/>
        <v>0</v>
      </c>
      <c r="H23" s="19"/>
      <c r="I23" s="19"/>
      <c r="J23" s="693" t="s">
        <v>654</v>
      </c>
      <c r="K23" s="709"/>
      <c r="L23" s="709"/>
      <c r="M23" s="709"/>
      <c r="N23" s="709"/>
      <c r="O23" s="709"/>
      <c r="P23" s="709"/>
      <c r="Q23" s="709"/>
      <c r="R23" s="709"/>
      <c r="S23" s="709"/>
      <c r="T23" s="709"/>
      <c r="U23" s="709"/>
      <c r="V23" s="709"/>
      <c r="W23" s="709"/>
      <c r="X23" s="709"/>
      <c r="Y23" s="709"/>
      <c r="Z23" s="709"/>
      <c r="AA23" s="709"/>
      <c r="AB23" s="709"/>
      <c r="AC23" s="709"/>
      <c r="AD23" s="709"/>
      <c r="AE23" s="709"/>
      <c r="AF23" s="709"/>
      <c r="AG23" s="709"/>
      <c r="AH23" s="709"/>
      <c r="AI23" s="709"/>
      <c r="AJ23" s="709"/>
      <c r="AK23" s="709"/>
      <c r="AL23" s="709"/>
      <c r="AM23" s="709"/>
      <c r="AN23" s="709"/>
      <c r="AO23" s="709"/>
      <c r="AP23" s="709"/>
      <c r="AQ23" s="709"/>
      <c r="AR23" s="78"/>
      <c r="AS23" s="2"/>
      <c r="AU23" s="2"/>
      <c r="AV23" s="2"/>
      <c r="AW23" s="2"/>
      <c r="AX23" s="2"/>
      <c r="AY23" s="2"/>
      <c r="AZ23" s="2"/>
      <c r="BA23" s="2"/>
      <c r="BB23" s="2"/>
      <c r="BC23" s="2"/>
      <c r="BD23" s="2"/>
      <c r="BE23" s="2"/>
      <c r="BF23" s="2"/>
      <c r="BG23" s="2"/>
      <c r="BH23" s="2"/>
      <c r="BI23" s="2"/>
      <c r="BO23" s="131"/>
    </row>
    <row r="24" spans="2:67" x14ac:dyDescent="0.25">
      <c r="B24" s="16" t="s">
        <v>472</v>
      </c>
      <c r="C24" s="791" t="s">
        <v>667</v>
      </c>
      <c r="D24" s="19"/>
      <c r="E24" s="789">
        <v>3100</v>
      </c>
      <c r="F24" s="19"/>
      <c r="G24" s="19">
        <f t="shared" ca="1" si="0"/>
        <v>0</v>
      </c>
      <c r="H24" s="19"/>
      <c r="I24" s="19"/>
      <c r="J24" s="19" t="s">
        <v>475</v>
      </c>
      <c r="K24" s="709"/>
      <c r="L24" s="709"/>
      <c r="M24" s="709"/>
      <c r="N24" s="709"/>
      <c r="O24" s="709"/>
      <c r="P24" s="709"/>
      <c r="Q24" s="709"/>
      <c r="R24" s="709"/>
      <c r="S24" s="709"/>
      <c r="T24" s="709"/>
      <c r="U24" s="709"/>
      <c r="V24" s="709"/>
      <c r="W24" s="709"/>
      <c r="X24" s="709"/>
      <c r="Y24" s="709"/>
      <c r="Z24" s="709"/>
      <c r="AA24" s="709"/>
      <c r="AB24" s="709"/>
      <c r="AC24" s="709"/>
      <c r="AD24" s="709"/>
      <c r="AE24" s="709"/>
      <c r="AF24" s="709"/>
      <c r="AG24" s="709"/>
      <c r="AH24" s="709"/>
      <c r="AI24" s="709"/>
      <c r="AJ24" s="709"/>
      <c r="AK24" s="709"/>
      <c r="AL24" s="709"/>
      <c r="AM24" s="709"/>
      <c r="AN24" s="709"/>
      <c r="AO24" s="709"/>
      <c r="AP24" s="709"/>
      <c r="AQ24" s="709"/>
      <c r="AR24" s="78"/>
      <c r="AS24" s="2"/>
      <c r="AU24" s="2"/>
      <c r="AV24" s="2"/>
      <c r="AW24" s="2"/>
      <c r="AX24" s="2"/>
      <c r="AY24" s="2"/>
      <c r="AZ24" s="2"/>
      <c r="BA24" s="2"/>
      <c r="BB24" s="2"/>
      <c r="BC24" s="2"/>
      <c r="BD24" s="2"/>
      <c r="BE24" s="2"/>
      <c r="BF24" s="2"/>
      <c r="BG24" s="2"/>
      <c r="BH24" s="2"/>
      <c r="BI24" s="2"/>
      <c r="BO24" s="131"/>
    </row>
    <row r="25" spans="2:67" x14ac:dyDescent="0.25">
      <c r="B25" s="16"/>
      <c r="C25" s="791" t="s">
        <v>668</v>
      </c>
      <c r="D25" s="19"/>
      <c r="E25" s="789">
        <v>3900</v>
      </c>
      <c r="F25" s="19"/>
      <c r="G25" s="19"/>
      <c r="H25" s="19"/>
      <c r="I25" s="19"/>
      <c r="J25" s="19"/>
      <c r="K25" s="709"/>
      <c r="L25" s="709"/>
      <c r="M25" s="709"/>
      <c r="N25" s="709"/>
      <c r="O25" s="709"/>
      <c r="P25" s="709"/>
      <c r="Q25" s="709"/>
      <c r="R25" s="709"/>
      <c r="S25" s="709"/>
      <c r="T25" s="709"/>
      <c r="U25" s="709"/>
      <c r="V25" s="709"/>
      <c r="W25" s="709"/>
      <c r="X25" s="709"/>
      <c r="Y25" s="709"/>
      <c r="Z25" s="709"/>
      <c r="AA25" s="709"/>
      <c r="AB25" s="709"/>
      <c r="AC25" s="709"/>
      <c r="AD25" s="709"/>
      <c r="AE25" s="709"/>
      <c r="AF25" s="709"/>
      <c r="AG25" s="709"/>
      <c r="AH25" s="709"/>
      <c r="AI25" s="709"/>
      <c r="AJ25" s="709"/>
      <c r="AK25" s="709"/>
      <c r="AL25" s="709"/>
      <c r="AM25" s="709"/>
      <c r="AN25" s="709"/>
      <c r="AO25" s="709"/>
      <c r="AP25" s="709"/>
      <c r="AQ25" s="709"/>
      <c r="AR25" s="78"/>
      <c r="AS25" s="2"/>
      <c r="AU25" s="2"/>
      <c r="AV25" s="2"/>
      <c r="AW25" s="2"/>
      <c r="AX25" s="2"/>
      <c r="AY25" s="2"/>
      <c r="AZ25" s="2"/>
      <c r="BA25" s="2"/>
      <c r="BB25" s="2"/>
      <c r="BC25" s="2"/>
      <c r="BD25" s="2"/>
      <c r="BE25" s="2"/>
      <c r="BF25" s="2"/>
      <c r="BG25" s="2"/>
      <c r="BH25" s="2"/>
      <c r="BI25" s="2"/>
      <c r="BO25" s="131"/>
    </row>
    <row r="26" spans="2:67" x14ac:dyDescent="0.25">
      <c r="B26" s="16" t="s">
        <v>464</v>
      </c>
      <c r="C26" t="s">
        <v>669</v>
      </c>
      <c r="D26" s="19"/>
      <c r="E26" s="19">
        <v>6300</v>
      </c>
      <c r="F26" s="19"/>
      <c r="G26" s="19">
        <f t="shared" ca="1" si="0"/>
        <v>0</v>
      </c>
      <c r="H26" s="19"/>
      <c r="I26" s="19"/>
      <c r="J26" s="693" t="s">
        <v>309</v>
      </c>
      <c r="K26" s="709"/>
      <c r="L26" s="709"/>
      <c r="M26" s="709"/>
      <c r="N26" s="709"/>
      <c r="O26" s="709"/>
      <c r="P26" s="709"/>
      <c r="Q26" s="709"/>
      <c r="R26" s="709"/>
      <c r="S26" s="709"/>
      <c r="T26" s="709"/>
      <c r="U26" s="709"/>
      <c r="V26" s="709"/>
      <c r="W26" s="709"/>
      <c r="X26" s="709"/>
      <c r="Y26" s="709"/>
      <c r="Z26" s="709"/>
      <c r="AA26" s="709"/>
      <c r="AB26" s="709"/>
      <c r="AC26" s="709"/>
      <c r="AD26" s="709"/>
      <c r="AE26" s="709"/>
      <c r="AF26" s="709"/>
      <c r="AG26" s="709"/>
      <c r="AH26" s="709"/>
      <c r="AI26" s="709"/>
      <c r="AJ26" s="709"/>
      <c r="AK26" s="709"/>
      <c r="AL26" s="709"/>
      <c r="AM26" s="709"/>
      <c r="AN26" s="709"/>
      <c r="AO26" s="709"/>
      <c r="AP26" s="709"/>
      <c r="AQ26" s="709"/>
      <c r="AR26" s="78"/>
      <c r="AS26" s="2"/>
      <c r="AT26" s="2"/>
      <c r="AU26" s="2"/>
      <c r="AY26" s="2"/>
      <c r="AZ26" s="2"/>
      <c r="BA26" s="2"/>
      <c r="BB26" s="2"/>
      <c r="BC26" s="2"/>
      <c r="BD26" s="2"/>
      <c r="BE26" s="2"/>
      <c r="BH26" s="2"/>
      <c r="BI26" s="2"/>
      <c r="BJ26" s="2"/>
      <c r="BO26" s="131"/>
    </row>
    <row r="27" spans="2:67" x14ac:dyDescent="0.25">
      <c r="B27" s="16"/>
      <c r="C27" t="s">
        <v>670</v>
      </c>
      <c r="D27" s="19"/>
      <c r="E27" s="19">
        <v>1200</v>
      </c>
      <c r="F27" s="19"/>
      <c r="G27" s="19"/>
      <c r="H27" s="19"/>
      <c r="I27" s="19"/>
      <c r="J27" s="693"/>
      <c r="K27" s="709"/>
      <c r="L27" s="709"/>
      <c r="M27" s="709"/>
      <c r="N27" s="709"/>
      <c r="O27" s="709"/>
      <c r="P27" s="709"/>
      <c r="Q27" s="709"/>
      <c r="R27" s="709"/>
      <c r="S27" s="709"/>
      <c r="T27" s="709"/>
      <c r="U27" s="709"/>
      <c r="V27" s="709"/>
      <c r="W27" s="709"/>
      <c r="X27" s="709"/>
      <c r="Y27" s="709"/>
      <c r="Z27" s="709"/>
      <c r="AA27" s="709"/>
      <c r="AB27" s="709"/>
      <c r="AC27" s="709"/>
      <c r="AD27" s="709"/>
      <c r="AE27" s="709"/>
      <c r="AF27" s="709"/>
      <c r="AG27" s="709"/>
      <c r="AH27" s="709"/>
      <c r="AI27" s="709"/>
      <c r="AJ27" s="709"/>
      <c r="AK27" s="709"/>
      <c r="AL27" s="709"/>
      <c r="AM27" s="709"/>
      <c r="AN27" s="709"/>
      <c r="AO27" s="709"/>
      <c r="AP27" s="709"/>
      <c r="AQ27" s="709"/>
      <c r="AR27" s="78"/>
      <c r="AS27" s="2"/>
      <c r="AT27" s="2"/>
      <c r="AU27" s="2"/>
      <c r="AY27" s="2"/>
      <c r="AZ27" s="2"/>
      <c r="BA27" s="2"/>
      <c r="BB27" s="2"/>
      <c r="BC27" s="2"/>
      <c r="BD27" s="2"/>
      <c r="BE27" s="2"/>
      <c r="BH27" s="2"/>
      <c r="BI27" s="2"/>
      <c r="BJ27" s="2"/>
      <c r="BO27" s="131"/>
    </row>
    <row r="28" spans="2:67" x14ac:dyDescent="0.25">
      <c r="B28" s="16"/>
      <c r="C28" t="s">
        <v>671</v>
      </c>
      <c r="D28" s="19"/>
      <c r="E28" s="19">
        <v>2250</v>
      </c>
      <c r="F28" s="19"/>
      <c r="G28" s="19"/>
      <c r="H28" s="19"/>
      <c r="I28" s="19"/>
      <c r="J28" s="645"/>
      <c r="K28" s="709"/>
      <c r="L28" s="709"/>
      <c r="M28" s="709"/>
      <c r="N28" s="709"/>
      <c r="O28" s="709"/>
      <c r="P28" s="709"/>
      <c r="Q28" s="709"/>
      <c r="R28" s="709"/>
      <c r="S28" s="709"/>
      <c r="T28" s="709"/>
      <c r="U28" s="709"/>
      <c r="V28" s="709"/>
      <c r="W28" s="709"/>
      <c r="X28" s="709"/>
      <c r="Y28" s="709"/>
      <c r="Z28" s="709"/>
      <c r="AA28" s="709"/>
      <c r="AB28" s="709"/>
      <c r="AC28" s="709"/>
      <c r="AD28" s="709"/>
      <c r="AE28" s="709"/>
      <c r="AF28" s="709"/>
      <c r="AG28" s="709"/>
      <c r="AH28" s="709"/>
      <c r="AI28" s="709"/>
      <c r="AJ28" s="709"/>
      <c r="AK28" s="709"/>
      <c r="AL28" s="709"/>
      <c r="AM28" s="709"/>
      <c r="AN28" s="709"/>
      <c r="AO28" s="709"/>
      <c r="AP28" s="709"/>
      <c r="AQ28" s="709"/>
      <c r="AR28" s="78"/>
      <c r="AS28" s="2"/>
      <c r="AT28" s="2"/>
      <c r="AU28" s="2"/>
      <c r="AY28" s="2"/>
      <c r="AZ28" s="2"/>
      <c r="BA28" s="2"/>
      <c r="BB28" s="2"/>
      <c r="BC28" s="2"/>
      <c r="BD28" s="2"/>
      <c r="BE28" s="2"/>
      <c r="BH28" s="2"/>
      <c r="BI28" s="2"/>
      <c r="BJ28" s="2"/>
      <c r="BO28" s="131"/>
    </row>
    <row r="29" spans="2:67" x14ac:dyDescent="0.25">
      <c r="B29" s="16"/>
      <c r="C29" t="s">
        <v>672</v>
      </c>
      <c r="D29" s="19"/>
      <c r="E29" s="19">
        <v>5600</v>
      </c>
      <c r="F29" s="19"/>
      <c r="G29" s="19"/>
      <c r="H29" s="19"/>
      <c r="I29" s="19"/>
      <c r="J29" s="645"/>
      <c r="K29" s="709"/>
      <c r="L29" s="709"/>
      <c r="M29" s="709"/>
      <c r="N29" s="709"/>
      <c r="O29" s="709"/>
      <c r="P29" s="709"/>
      <c r="Q29" s="709"/>
      <c r="R29" s="709"/>
      <c r="S29" s="709"/>
      <c r="T29" s="709"/>
      <c r="U29" s="709"/>
      <c r="V29" s="709"/>
      <c r="W29" s="709"/>
      <c r="X29" s="709"/>
      <c r="Y29" s="709"/>
      <c r="Z29" s="709"/>
      <c r="AA29" s="709"/>
      <c r="AB29" s="709"/>
      <c r="AC29" s="709"/>
      <c r="AD29" s="709"/>
      <c r="AE29" s="709"/>
      <c r="AF29" s="709"/>
      <c r="AG29" s="709"/>
      <c r="AH29" s="709"/>
      <c r="AI29" s="709"/>
      <c r="AJ29" s="709"/>
      <c r="AK29" s="709"/>
      <c r="AL29" s="709"/>
      <c r="AM29" s="709"/>
      <c r="AN29" s="709"/>
      <c r="AO29" s="709"/>
      <c r="AP29" s="709"/>
      <c r="AQ29" s="709"/>
      <c r="AR29" s="78"/>
      <c r="AS29" s="2"/>
      <c r="AT29" s="2"/>
      <c r="AU29" s="2"/>
      <c r="AY29" s="2"/>
      <c r="AZ29" s="2"/>
      <c r="BA29" s="2"/>
      <c r="BB29" s="2"/>
      <c r="BC29" s="2"/>
      <c r="BD29" s="2"/>
      <c r="BE29" s="2"/>
      <c r="BH29" s="2"/>
      <c r="BI29" s="2"/>
      <c r="BJ29" s="2"/>
      <c r="BO29" s="131"/>
    </row>
    <row r="30" spans="2:67" x14ac:dyDescent="0.25">
      <c r="B30" s="16" t="s">
        <v>673</v>
      </c>
      <c r="C30" t="s">
        <v>674</v>
      </c>
      <c r="D30" s="19"/>
      <c r="E30" s="19">
        <v>3950</v>
      </c>
      <c r="F30" s="19"/>
      <c r="G30" s="19">
        <f t="shared" ca="1" si="0"/>
        <v>0</v>
      </c>
      <c r="H30" s="19"/>
      <c r="I30" s="19"/>
      <c r="J30" s="693" t="s">
        <v>480</v>
      </c>
      <c r="K30" s="709"/>
      <c r="L30" s="709"/>
      <c r="M30" s="709"/>
      <c r="N30" s="709"/>
      <c r="O30" s="709"/>
      <c r="P30" s="709"/>
      <c r="Q30" s="709"/>
      <c r="R30" s="709"/>
      <c r="S30" s="709"/>
      <c r="T30" s="709"/>
      <c r="U30" s="709"/>
      <c r="V30" s="709"/>
      <c r="W30" s="709"/>
      <c r="X30" s="709"/>
      <c r="Y30" s="709"/>
      <c r="Z30" s="709"/>
      <c r="AA30" s="709"/>
      <c r="AB30" s="709"/>
      <c r="AC30" s="709"/>
      <c r="AD30" s="709"/>
      <c r="AE30" s="709"/>
      <c r="AF30" s="709"/>
      <c r="AG30" s="709"/>
      <c r="AH30" s="709"/>
      <c r="AI30" s="709"/>
      <c r="AJ30" s="709"/>
      <c r="AK30" s="709"/>
      <c r="AL30" s="709"/>
      <c r="AM30" s="709"/>
      <c r="AN30" s="709"/>
      <c r="AO30" s="709"/>
      <c r="AP30" s="709"/>
      <c r="AQ30" s="709"/>
      <c r="AR30" s="78"/>
      <c r="AS30" s="2"/>
      <c r="AT30" s="2"/>
      <c r="AU30" s="2"/>
      <c r="AV30" s="2"/>
      <c r="AW30" s="2"/>
      <c r="AX30" s="2"/>
      <c r="AY30" s="2"/>
      <c r="AZ30" s="2"/>
      <c r="BA30" s="2"/>
      <c r="BB30" s="2"/>
      <c r="BC30" s="2"/>
      <c r="BD30" s="2"/>
      <c r="BE30" s="2"/>
      <c r="BF30" s="2"/>
      <c r="BG30" s="2"/>
      <c r="BH30" s="2"/>
      <c r="BI30" s="2"/>
      <c r="BO30" s="131"/>
    </row>
    <row r="31" spans="2:67" x14ac:dyDescent="0.25">
      <c r="B31" s="16"/>
      <c r="C31" t="s">
        <v>675</v>
      </c>
      <c r="D31" s="19"/>
      <c r="E31" s="19">
        <v>845</v>
      </c>
      <c r="F31" s="19"/>
      <c r="G31" s="19"/>
      <c r="H31" s="19"/>
      <c r="I31" s="19"/>
      <c r="J31" s="693"/>
      <c r="K31" s="709"/>
      <c r="L31" s="709"/>
      <c r="M31" s="709"/>
      <c r="N31" s="709"/>
      <c r="O31" s="709"/>
      <c r="P31" s="709"/>
      <c r="Q31" s="709"/>
      <c r="R31" s="709"/>
      <c r="S31" s="709"/>
      <c r="T31" s="709"/>
      <c r="U31" s="709"/>
      <c r="V31" s="709"/>
      <c r="W31" s="709"/>
      <c r="X31" s="709"/>
      <c r="Y31" s="709"/>
      <c r="Z31" s="709"/>
      <c r="AA31" s="709"/>
      <c r="AB31" s="709"/>
      <c r="AC31" s="709"/>
      <c r="AD31" s="709"/>
      <c r="AE31" s="709"/>
      <c r="AF31" s="709"/>
      <c r="AG31" s="709"/>
      <c r="AH31" s="709"/>
      <c r="AI31" s="709"/>
      <c r="AJ31" s="709"/>
      <c r="AK31" s="709"/>
      <c r="AL31" s="709"/>
      <c r="AM31" s="709"/>
      <c r="AN31" s="709"/>
      <c r="AO31" s="709"/>
      <c r="AP31" s="709"/>
      <c r="AQ31" s="709"/>
      <c r="AR31" s="78"/>
      <c r="AS31" s="2"/>
      <c r="AT31" s="2"/>
      <c r="AU31" s="2"/>
      <c r="AV31" s="2"/>
      <c r="AW31" s="2"/>
      <c r="AX31" s="2"/>
      <c r="AY31" s="2"/>
      <c r="AZ31" s="2"/>
      <c r="BA31" s="2"/>
      <c r="BB31" s="2"/>
      <c r="BC31" s="2"/>
      <c r="BD31" s="2"/>
      <c r="BE31" s="2"/>
      <c r="BF31" s="2"/>
      <c r="BG31" s="2"/>
      <c r="BH31" s="2"/>
      <c r="BI31" s="2"/>
      <c r="BO31" s="131"/>
    </row>
    <row r="32" spans="2:67" x14ac:dyDescent="0.25">
      <c r="B32" s="16"/>
      <c r="C32" t="s">
        <v>676</v>
      </c>
      <c r="D32" s="19"/>
      <c r="E32" s="19">
        <v>3650</v>
      </c>
      <c r="F32" s="19"/>
      <c r="G32" s="19">
        <f t="shared" ref="G32:G54" ca="1" si="1">SUMIF($AR$3:$BP$3,"&lt;"&amp;TODAY(),$AR32:$BP32)</f>
        <v>0</v>
      </c>
      <c r="H32" s="19"/>
      <c r="I32" s="19"/>
      <c r="J32" s="693"/>
      <c r="K32" s="709"/>
      <c r="L32" s="709"/>
      <c r="M32" s="709"/>
      <c r="N32" s="709"/>
      <c r="O32" s="709"/>
      <c r="P32" s="709"/>
      <c r="Q32" s="709"/>
      <c r="R32" s="709"/>
      <c r="S32" s="709"/>
      <c r="T32" s="709"/>
      <c r="U32" s="709"/>
      <c r="V32" s="709"/>
      <c r="W32" s="709"/>
      <c r="X32" s="709"/>
      <c r="Y32" s="709"/>
      <c r="Z32" s="709"/>
      <c r="AA32" s="709"/>
      <c r="AB32" s="709"/>
      <c r="AC32" s="709"/>
      <c r="AD32" s="709"/>
      <c r="AE32" s="709"/>
      <c r="AF32" s="709"/>
      <c r="AG32" s="709"/>
      <c r="AH32" s="709"/>
      <c r="AI32" s="709"/>
      <c r="AJ32" s="709"/>
      <c r="AK32" s="709"/>
      <c r="AL32" s="709"/>
      <c r="AM32" s="709"/>
      <c r="AN32" s="709"/>
      <c r="AO32" s="709"/>
      <c r="AP32" s="709"/>
      <c r="AQ32" s="709"/>
      <c r="AR32" s="78"/>
      <c r="AS32" s="2"/>
      <c r="AT32" s="2"/>
      <c r="AU32" s="2"/>
      <c r="AV32" s="2"/>
      <c r="AW32" s="2"/>
      <c r="AX32" s="2"/>
      <c r="AY32" s="2"/>
      <c r="AZ32" s="2"/>
      <c r="BA32" s="2"/>
      <c r="BB32" s="2"/>
      <c r="BC32" s="2"/>
      <c r="BD32" s="2"/>
      <c r="BE32" s="2"/>
      <c r="BF32" s="2"/>
      <c r="BG32" s="2"/>
      <c r="BH32" s="2"/>
      <c r="BI32" s="2"/>
      <c r="BO32" s="131"/>
    </row>
    <row r="33" spans="2:67" x14ac:dyDescent="0.25">
      <c r="B33" s="16" t="s">
        <v>445</v>
      </c>
      <c r="C33" t="s">
        <v>677</v>
      </c>
      <c r="D33" s="19"/>
      <c r="E33" s="19">
        <v>12215</v>
      </c>
      <c r="F33" s="19"/>
      <c r="G33" s="19">
        <f t="shared" ca="1" si="1"/>
        <v>0</v>
      </c>
      <c r="H33" s="19"/>
      <c r="I33" s="19"/>
      <c r="J33" s="19" t="s">
        <v>678</v>
      </c>
      <c r="K33" s="709"/>
      <c r="L33" s="709"/>
      <c r="M33" s="709"/>
      <c r="N33" s="709"/>
      <c r="O33" s="709"/>
      <c r="P33" s="709"/>
      <c r="Q33" s="709"/>
      <c r="R33" s="709"/>
      <c r="S33" s="709"/>
      <c r="T33" s="709"/>
      <c r="U33" s="709"/>
      <c r="V33" s="709"/>
      <c r="W33" s="709"/>
      <c r="X33" s="709"/>
      <c r="Y33" s="709"/>
      <c r="Z33" s="709"/>
      <c r="AA33" s="709"/>
      <c r="AB33" s="709"/>
      <c r="AC33" s="709"/>
      <c r="AD33" s="709"/>
      <c r="AE33" s="709"/>
      <c r="AF33" s="709"/>
      <c r="AG33" s="709"/>
      <c r="AH33" s="709"/>
      <c r="AI33" s="709"/>
      <c r="AJ33" s="709"/>
      <c r="AK33" s="709"/>
      <c r="AL33" s="709"/>
      <c r="AM33" s="709"/>
      <c r="AN33" s="709"/>
      <c r="AO33" s="709"/>
      <c r="AP33" s="709"/>
      <c r="AQ33" s="709"/>
      <c r="AR33" s="78"/>
      <c r="AS33" s="2"/>
      <c r="AT33" s="2"/>
      <c r="AU33" s="2"/>
      <c r="AV33" s="2"/>
      <c r="AW33" s="2"/>
      <c r="AX33" s="2"/>
      <c r="AY33" s="2"/>
      <c r="AZ33" s="2"/>
      <c r="BA33" s="2"/>
      <c r="BB33" s="2"/>
      <c r="BC33" s="2"/>
      <c r="BD33" s="2"/>
      <c r="BE33" s="2"/>
      <c r="BF33" s="2"/>
      <c r="BG33" s="2"/>
      <c r="BH33" s="2"/>
      <c r="BI33" s="2"/>
      <c r="BO33" s="131"/>
    </row>
    <row r="34" spans="2:67" x14ac:dyDescent="0.25">
      <c r="B34" s="16"/>
      <c r="C34" s="744" t="s">
        <v>679</v>
      </c>
      <c r="D34" s="792">
        <v>2880</v>
      </c>
      <c r="E34" s="789">
        <v>2880</v>
      </c>
      <c r="F34" s="19"/>
      <c r="G34" s="19"/>
      <c r="H34" s="19"/>
      <c r="I34" s="19"/>
      <c r="J34" s="645"/>
      <c r="K34" s="709"/>
      <c r="L34" s="709"/>
      <c r="M34" s="709"/>
      <c r="N34" s="709"/>
      <c r="O34" s="709"/>
      <c r="P34" s="709"/>
      <c r="Q34" s="709"/>
      <c r="R34" s="709"/>
      <c r="S34" s="709"/>
      <c r="T34" s="709"/>
      <c r="U34" s="709"/>
      <c r="V34" s="709"/>
      <c r="W34" s="709"/>
      <c r="X34" s="709"/>
      <c r="Y34" s="709"/>
      <c r="Z34" s="709"/>
      <c r="AA34" s="709"/>
      <c r="AB34" s="709"/>
      <c r="AC34" s="709"/>
      <c r="AD34" s="709"/>
      <c r="AE34" s="709"/>
      <c r="AF34" s="709"/>
      <c r="AG34" s="709"/>
      <c r="AH34" s="709"/>
      <c r="AI34" s="709"/>
      <c r="AJ34" s="709"/>
      <c r="AK34" s="709"/>
      <c r="AL34" s="709"/>
      <c r="AM34" s="709"/>
      <c r="AN34" s="709"/>
      <c r="AO34" s="709"/>
      <c r="AP34" s="709"/>
      <c r="AQ34" s="709"/>
      <c r="AR34" s="78"/>
      <c r="AS34" s="2"/>
      <c r="AT34" s="2"/>
      <c r="AU34" s="2"/>
      <c r="AV34" s="2"/>
      <c r="AW34" s="2"/>
      <c r="AX34" s="2"/>
      <c r="AY34" s="2"/>
      <c r="AZ34" s="2"/>
      <c r="BA34" s="2"/>
      <c r="BB34" s="2"/>
      <c r="BC34" s="2"/>
      <c r="BD34" s="2"/>
      <c r="BE34" s="2"/>
      <c r="BF34" s="2"/>
      <c r="BG34" s="2"/>
      <c r="BH34" s="2"/>
      <c r="BI34" s="2"/>
      <c r="BO34" s="131"/>
    </row>
    <row r="35" spans="2:67" x14ac:dyDescent="0.25">
      <c r="B35" s="16"/>
      <c r="C35" s="791" t="s">
        <v>672</v>
      </c>
      <c r="D35" s="793">
        <v>780</v>
      </c>
      <c r="E35" s="510">
        <v>780</v>
      </c>
      <c r="F35" s="19"/>
      <c r="G35" s="19"/>
      <c r="H35" s="19"/>
      <c r="I35" s="19"/>
      <c r="J35" s="645"/>
      <c r="K35" s="709"/>
      <c r="L35" s="709"/>
      <c r="M35" s="709"/>
      <c r="N35" s="709"/>
      <c r="O35" s="709"/>
      <c r="P35" s="709"/>
      <c r="Q35" s="709"/>
      <c r="R35" s="709"/>
      <c r="S35" s="709"/>
      <c r="T35" s="709"/>
      <c r="U35" s="709"/>
      <c r="V35" s="709"/>
      <c r="W35" s="709"/>
      <c r="X35" s="709"/>
      <c r="Y35" s="709"/>
      <c r="Z35" s="709"/>
      <c r="AA35" s="709"/>
      <c r="AB35" s="709"/>
      <c r="AC35" s="709"/>
      <c r="AD35" s="709"/>
      <c r="AE35" s="709"/>
      <c r="AF35" s="709"/>
      <c r="AG35" s="709"/>
      <c r="AH35" s="709"/>
      <c r="AI35" s="709"/>
      <c r="AJ35" s="709"/>
      <c r="AK35" s="709"/>
      <c r="AL35" s="709"/>
      <c r="AM35" s="709"/>
      <c r="AN35" s="709"/>
      <c r="AO35" s="709"/>
      <c r="AP35" s="709"/>
      <c r="AQ35" s="709"/>
      <c r="AR35" s="78"/>
      <c r="AS35" s="2"/>
      <c r="AT35" s="2"/>
      <c r="AU35" s="2"/>
      <c r="AV35" s="2"/>
      <c r="AW35" s="2"/>
      <c r="AX35" s="2"/>
      <c r="AY35" s="2"/>
      <c r="AZ35" s="2"/>
      <c r="BA35" s="2"/>
      <c r="BB35" s="2"/>
      <c r="BC35" s="2"/>
      <c r="BD35" s="2"/>
      <c r="BE35" s="2"/>
      <c r="BF35" s="2"/>
      <c r="BG35" s="2"/>
      <c r="BH35" s="2"/>
      <c r="BI35" s="2"/>
      <c r="BO35" s="131"/>
    </row>
    <row r="36" spans="2:67" x14ac:dyDescent="0.25">
      <c r="B36" s="16" t="s">
        <v>680</v>
      </c>
      <c r="C36" t="s">
        <v>681</v>
      </c>
      <c r="D36" s="19"/>
      <c r="E36" s="19">
        <v>5376.02</v>
      </c>
      <c r="F36" s="19"/>
      <c r="G36" s="19">
        <f t="shared" ca="1" si="1"/>
        <v>0</v>
      </c>
      <c r="H36" s="19"/>
      <c r="I36" s="19"/>
      <c r="J36" s="693" t="s">
        <v>682</v>
      </c>
      <c r="K36" s="709"/>
      <c r="L36" s="709"/>
      <c r="M36" s="709"/>
      <c r="N36" s="709"/>
      <c r="O36" s="709"/>
      <c r="P36" s="709"/>
      <c r="Q36" s="709"/>
      <c r="R36" s="709"/>
      <c r="S36" s="709"/>
      <c r="T36" s="709"/>
      <c r="U36" s="709"/>
      <c r="V36" s="709"/>
      <c r="W36" s="709"/>
      <c r="X36" s="709"/>
      <c r="Y36" s="709"/>
      <c r="Z36" s="709"/>
      <c r="AA36" s="709"/>
      <c r="AB36" s="709"/>
      <c r="AC36" s="709"/>
      <c r="AD36" s="709"/>
      <c r="AE36" s="709"/>
      <c r="AF36" s="709"/>
      <c r="AG36" s="709"/>
      <c r="AH36" s="709"/>
      <c r="AI36" s="709"/>
      <c r="AJ36" s="709"/>
      <c r="AK36" s="709"/>
      <c r="AL36" s="709"/>
      <c r="AM36" s="709"/>
      <c r="AN36" s="709"/>
      <c r="AO36" s="709"/>
      <c r="AP36" s="709"/>
      <c r="AQ36" s="709"/>
      <c r="AR36" s="78"/>
      <c r="AS36" s="2"/>
      <c r="AT36" s="2"/>
      <c r="AU36" s="2"/>
      <c r="AV36" s="2"/>
      <c r="AW36" s="2"/>
      <c r="AX36" s="2"/>
      <c r="AY36" s="2"/>
      <c r="AZ36" s="2"/>
      <c r="BA36" s="2"/>
      <c r="BB36" s="2"/>
      <c r="BC36" s="2"/>
      <c r="BD36" s="2"/>
      <c r="BE36" s="2"/>
      <c r="BF36" s="2"/>
      <c r="BG36" s="2"/>
      <c r="BH36" s="2"/>
      <c r="BI36" s="2"/>
      <c r="BO36" s="131"/>
    </row>
    <row r="37" spans="2:67" x14ac:dyDescent="0.25">
      <c r="B37" s="16"/>
      <c r="C37" s="552" t="s">
        <v>683</v>
      </c>
      <c r="D37" s="19"/>
      <c r="E37" s="193">
        <v>6240</v>
      </c>
      <c r="F37" s="19"/>
      <c r="G37" s="19">
        <f t="shared" ca="1" si="1"/>
        <v>0</v>
      </c>
      <c r="H37" s="19"/>
      <c r="I37" s="19"/>
      <c r="J37" s="693" t="s">
        <v>682</v>
      </c>
      <c r="K37" s="709"/>
      <c r="L37" s="709"/>
      <c r="M37" s="709"/>
      <c r="N37" s="709"/>
      <c r="O37" s="709"/>
      <c r="P37" s="709"/>
      <c r="Q37" s="709"/>
      <c r="R37" s="709"/>
      <c r="S37" s="709"/>
      <c r="T37" s="709"/>
      <c r="U37" s="709"/>
      <c r="V37" s="709"/>
      <c r="W37" s="709"/>
      <c r="X37" s="709"/>
      <c r="Y37" s="709"/>
      <c r="Z37" s="709"/>
      <c r="AA37" s="709"/>
      <c r="AB37" s="709"/>
      <c r="AC37" s="709"/>
      <c r="AD37" s="709"/>
      <c r="AE37" s="709"/>
      <c r="AF37" s="709"/>
      <c r="AG37" s="709"/>
      <c r="AH37" s="709"/>
      <c r="AI37" s="709"/>
      <c r="AJ37" s="709"/>
      <c r="AK37" s="709"/>
      <c r="AL37" s="709"/>
      <c r="AM37" s="709"/>
      <c r="AN37" s="709"/>
      <c r="AO37" s="709"/>
      <c r="AP37" s="709"/>
      <c r="AQ37" s="709"/>
      <c r="AR37" s="78"/>
      <c r="AS37" s="2"/>
      <c r="AT37" s="2"/>
      <c r="AU37" s="2"/>
      <c r="AV37" s="2"/>
      <c r="AW37" s="2"/>
      <c r="AX37" s="2"/>
      <c r="AY37" s="2"/>
      <c r="AZ37" s="2"/>
      <c r="BA37" s="2"/>
      <c r="BB37" s="2"/>
      <c r="BC37" s="2"/>
      <c r="BD37" s="2"/>
      <c r="BE37" s="2"/>
      <c r="BF37" s="2"/>
      <c r="BG37" s="2"/>
      <c r="BH37" s="2"/>
      <c r="BI37" s="2"/>
      <c r="BO37" s="131"/>
    </row>
    <row r="38" spans="2:67" x14ac:dyDescent="0.25">
      <c r="B38" s="16"/>
      <c r="C38" s="552" t="s">
        <v>684</v>
      </c>
      <c r="D38" s="19"/>
      <c r="E38" s="193">
        <v>13250</v>
      </c>
      <c r="F38" s="19"/>
      <c r="G38" s="19"/>
      <c r="H38" s="19"/>
      <c r="I38" s="19"/>
      <c r="J38" s="693"/>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709"/>
      <c r="AK38" s="709"/>
      <c r="AL38" s="709"/>
      <c r="AM38" s="709"/>
      <c r="AN38" s="709"/>
      <c r="AO38" s="709"/>
      <c r="AP38" s="709"/>
      <c r="AQ38" s="709"/>
      <c r="AR38" s="78"/>
      <c r="AS38" s="2"/>
      <c r="AT38" s="2"/>
      <c r="AU38" s="2"/>
      <c r="AV38" s="2"/>
      <c r="AW38" s="2"/>
      <c r="AX38" s="2"/>
      <c r="AY38" s="2"/>
      <c r="AZ38" s="2"/>
      <c r="BA38" s="2"/>
      <c r="BB38" s="2"/>
      <c r="BC38" s="2"/>
      <c r="BD38" s="2"/>
      <c r="BE38" s="2"/>
      <c r="BF38" s="2"/>
      <c r="BG38" s="2"/>
      <c r="BH38" s="2"/>
      <c r="BI38" s="2"/>
      <c r="BO38" s="131"/>
    </row>
    <row r="39" spans="2:67" x14ac:dyDescent="0.25">
      <c r="B39" s="16"/>
      <c r="C39" t="s">
        <v>672</v>
      </c>
      <c r="D39" s="19"/>
      <c r="E39" s="19">
        <v>2832</v>
      </c>
      <c r="F39" s="19"/>
      <c r="G39" s="19"/>
      <c r="H39" s="19"/>
      <c r="I39" s="19"/>
      <c r="J39" s="693" t="s">
        <v>682</v>
      </c>
      <c r="K39" s="709"/>
      <c r="L39" s="709"/>
      <c r="M39" s="709"/>
      <c r="N39" s="709"/>
      <c r="O39" s="709"/>
      <c r="P39" s="709"/>
      <c r="Q39" s="709"/>
      <c r="R39" s="709"/>
      <c r="S39" s="709"/>
      <c r="T39" s="709"/>
      <c r="U39" s="709"/>
      <c r="V39" s="709"/>
      <c r="W39" s="709"/>
      <c r="X39" s="709"/>
      <c r="Y39" s="709"/>
      <c r="Z39" s="709"/>
      <c r="AA39" s="709"/>
      <c r="AB39" s="709"/>
      <c r="AC39" s="709"/>
      <c r="AD39" s="709"/>
      <c r="AE39" s="709"/>
      <c r="AF39" s="709"/>
      <c r="AG39" s="709"/>
      <c r="AH39" s="709"/>
      <c r="AI39" s="709"/>
      <c r="AJ39" s="709"/>
      <c r="AK39" s="709"/>
      <c r="AL39" s="709"/>
      <c r="AM39" s="709"/>
      <c r="AN39" s="709"/>
      <c r="AO39" s="709"/>
      <c r="AP39" s="709"/>
      <c r="AQ39" s="709"/>
      <c r="AR39" s="78"/>
      <c r="AS39" s="2"/>
      <c r="AT39" s="2"/>
      <c r="AU39" s="2"/>
      <c r="AV39" s="2"/>
      <c r="AW39" s="2"/>
      <c r="AX39" s="2"/>
      <c r="AY39" s="2"/>
      <c r="AZ39" s="2"/>
      <c r="BA39" s="2"/>
      <c r="BB39" s="2"/>
      <c r="BC39" s="2"/>
      <c r="BD39" s="2"/>
      <c r="BE39" s="2"/>
      <c r="BF39" s="2"/>
      <c r="BG39" s="2"/>
      <c r="BH39" s="2"/>
      <c r="BI39" s="2"/>
      <c r="BO39" s="131"/>
    </row>
    <row r="40" spans="2:67" x14ac:dyDescent="0.25">
      <c r="B40" s="16" t="s">
        <v>60</v>
      </c>
      <c r="C40" t="s">
        <v>685</v>
      </c>
      <c r="D40" s="19"/>
      <c r="E40" s="19">
        <v>7450</v>
      </c>
      <c r="F40" s="19"/>
      <c r="G40" s="19">
        <f t="shared" ca="1" si="1"/>
        <v>0</v>
      </c>
      <c r="H40" s="19"/>
      <c r="I40" s="19"/>
      <c r="J40" s="693" t="s">
        <v>209</v>
      </c>
      <c r="K40" s="709"/>
      <c r="L40" s="709"/>
      <c r="M40" s="709"/>
      <c r="N40" s="709"/>
      <c r="O40" s="709"/>
      <c r="P40" s="709"/>
      <c r="Q40" s="709"/>
      <c r="R40" s="709"/>
      <c r="S40" s="709"/>
      <c r="T40" s="709"/>
      <c r="U40" s="709"/>
      <c r="V40" s="709"/>
      <c r="W40" s="709"/>
      <c r="X40" s="709"/>
      <c r="Y40" s="709"/>
      <c r="Z40" s="709"/>
      <c r="AA40" s="709"/>
      <c r="AB40" s="709"/>
      <c r="AC40" s="709"/>
      <c r="AD40" s="709"/>
      <c r="AE40" s="709"/>
      <c r="AF40" s="709"/>
      <c r="AG40" s="709"/>
      <c r="AH40" s="709"/>
      <c r="AI40" s="709"/>
      <c r="AJ40" s="709"/>
      <c r="AK40" s="709"/>
      <c r="AL40" s="709"/>
      <c r="AM40" s="709"/>
      <c r="AN40" s="709"/>
      <c r="AO40" s="709"/>
      <c r="AP40" s="709"/>
      <c r="AQ40" s="709"/>
      <c r="AR40" s="78"/>
      <c r="AS40" s="2"/>
      <c r="AT40" s="2"/>
      <c r="AU40" s="2"/>
      <c r="AV40" s="2"/>
      <c r="AW40" s="2"/>
      <c r="AX40" s="2"/>
      <c r="AY40" s="2"/>
      <c r="AZ40" s="2"/>
      <c r="BA40" s="2"/>
      <c r="BB40" s="2"/>
      <c r="BC40" s="2"/>
      <c r="BD40" s="2"/>
      <c r="BE40" s="2"/>
      <c r="BF40" s="2"/>
      <c r="BG40" s="2"/>
      <c r="BH40" s="2"/>
      <c r="BI40" s="2"/>
      <c r="BO40" s="131"/>
    </row>
    <row r="41" spans="2:67" x14ac:dyDescent="0.25">
      <c r="B41" s="16"/>
      <c r="C41" s="791" t="s">
        <v>686</v>
      </c>
      <c r="D41" s="794">
        <v>2800</v>
      </c>
      <c r="E41" s="19">
        <v>3100</v>
      </c>
      <c r="F41" s="19"/>
      <c r="G41" s="19"/>
      <c r="H41" s="19"/>
      <c r="I41" s="19"/>
      <c r="J41" s="693"/>
      <c r="K41" s="709"/>
      <c r="L41" s="709"/>
      <c r="M41" s="709"/>
      <c r="N41" s="709"/>
      <c r="O41" s="709"/>
      <c r="P41" s="709"/>
      <c r="Q41" s="709"/>
      <c r="R41" s="709"/>
      <c r="S41" s="709"/>
      <c r="T41" s="709"/>
      <c r="U41" s="709"/>
      <c r="V41" s="709"/>
      <c r="W41" s="709"/>
      <c r="X41" s="709"/>
      <c r="Y41" s="709"/>
      <c r="Z41" s="709"/>
      <c r="AA41" s="709"/>
      <c r="AB41" s="709"/>
      <c r="AC41" s="709"/>
      <c r="AD41" s="709"/>
      <c r="AE41" s="709"/>
      <c r="AF41" s="709"/>
      <c r="AG41" s="709"/>
      <c r="AH41" s="709"/>
      <c r="AI41" s="709"/>
      <c r="AJ41" s="709"/>
      <c r="AK41" s="709"/>
      <c r="AL41" s="709"/>
      <c r="AM41" s="709"/>
      <c r="AN41" s="709"/>
      <c r="AO41" s="709"/>
      <c r="AP41" s="709"/>
      <c r="AQ41" s="709"/>
      <c r="AR41" s="78"/>
      <c r="AS41" s="2"/>
      <c r="AT41" s="2"/>
      <c r="AU41" s="2"/>
      <c r="AV41" s="2"/>
      <c r="AW41" s="2"/>
      <c r="AX41" s="2"/>
      <c r="AY41" s="2"/>
      <c r="AZ41" s="2"/>
      <c r="BA41" s="2"/>
      <c r="BB41" s="2"/>
      <c r="BC41" s="2"/>
      <c r="BD41" s="2"/>
      <c r="BE41" s="2"/>
      <c r="BF41" s="2"/>
      <c r="BG41" s="2"/>
      <c r="BH41" s="2"/>
      <c r="BI41" s="2"/>
      <c r="BO41" s="131"/>
    </row>
    <row r="42" spans="2:67" x14ac:dyDescent="0.25">
      <c r="B42" s="16" t="s">
        <v>687</v>
      </c>
      <c r="C42" t="s">
        <v>687</v>
      </c>
      <c r="D42" s="19"/>
      <c r="E42" s="789">
        <v>7175</v>
      </c>
      <c r="F42" s="19"/>
      <c r="G42" s="19">
        <f t="shared" ca="1" si="1"/>
        <v>0</v>
      </c>
      <c r="H42" s="19"/>
      <c r="I42" s="19"/>
      <c r="J42" s="19" t="s">
        <v>306</v>
      </c>
      <c r="K42" s="709"/>
      <c r="L42" s="709"/>
      <c r="M42" s="709"/>
      <c r="N42" s="709"/>
      <c r="O42" s="709"/>
      <c r="P42" s="709"/>
      <c r="Q42" s="709"/>
      <c r="R42" s="709"/>
      <c r="S42" s="709"/>
      <c r="T42" s="709"/>
      <c r="U42" s="709"/>
      <c r="V42" s="709"/>
      <c r="W42" s="709"/>
      <c r="X42" s="709"/>
      <c r="Y42" s="709"/>
      <c r="Z42" s="709"/>
      <c r="AA42" s="709"/>
      <c r="AB42" s="709"/>
      <c r="AC42" s="709"/>
      <c r="AD42" s="709"/>
      <c r="AE42" s="709"/>
      <c r="AF42" s="709"/>
      <c r="AG42" s="709"/>
      <c r="AH42" s="709"/>
      <c r="AI42" s="709"/>
      <c r="AJ42" s="709"/>
      <c r="AK42" s="709"/>
      <c r="AL42" s="709"/>
      <c r="AM42" s="709"/>
      <c r="AN42" s="709"/>
      <c r="AO42" s="709"/>
      <c r="AP42" s="709"/>
      <c r="AQ42" s="709"/>
      <c r="AR42" s="78"/>
      <c r="AS42" s="2"/>
      <c r="AU42" s="2"/>
      <c r="AV42" s="2"/>
      <c r="AW42" s="2"/>
      <c r="AX42" s="2"/>
      <c r="AY42" s="2"/>
      <c r="AZ42" s="2"/>
      <c r="BA42" s="2"/>
      <c r="BB42" s="2"/>
      <c r="BC42" s="2"/>
      <c r="BD42" s="2"/>
      <c r="BE42" s="2"/>
      <c r="BG42" s="2"/>
      <c r="BH42" s="2"/>
      <c r="BI42" s="2"/>
      <c r="BO42" s="131"/>
    </row>
    <row r="43" spans="2:67" x14ac:dyDescent="0.25">
      <c r="B43" s="16" t="s">
        <v>487</v>
      </c>
      <c r="C43" t="s">
        <v>688</v>
      </c>
      <c r="D43" s="19"/>
      <c r="E43" s="19">
        <v>1470</v>
      </c>
      <c r="F43" s="19"/>
      <c r="G43" s="19">
        <f t="shared" ca="1" si="1"/>
        <v>0</v>
      </c>
      <c r="H43" s="19"/>
      <c r="I43" s="19"/>
      <c r="J43" s="19" t="s">
        <v>689</v>
      </c>
      <c r="K43" s="709"/>
      <c r="L43" s="709"/>
      <c r="M43" s="709"/>
      <c r="N43" s="709"/>
      <c r="O43" s="709"/>
      <c r="P43" s="709"/>
      <c r="Q43" s="709"/>
      <c r="R43" s="709"/>
      <c r="S43" s="709"/>
      <c r="T43" s="709"/>
      <c r="U43" s="709"/>
      <c r="V43" s="709"/>
      <c r="W43" s="709"/>
      <c r="X43" s="709"/>
      <c r="Y43" s="709"/>
      <c r="Z43" s="709"/>
      <c r="AA43" s="709"/>
      <c r="AB43" s="709"/>
      <c r="AC43" s="709"/>
      <c r="AD43" s="709"/>
      <c r="AE43" s="709"/>
      <c r="AF43" s="709"/>
      <c r="AG43" s="709"/>
      <c r="AH43" s="709"/>
      <c r="AI43" s="709"/>
      <c r="AJ43" s="709"/>
      <c r="AK43" s="709"/>
      <c r="AL43" s="709"/>
      <c r="AM43" s="709"/>
      <c r="AN43" s="709"/>
      <c r="AO43" s="709"/>
      <c r="AP43" s="709"/>
      <c r="AQ43" s="709"/>
      <c r="AR43" s="78"/>
      <c r="AS43" s="2"/>
      <c r="AT43" s="2"/>
      <c r="AU43" s="2"/>
      <c r="AV43" s="2"/>
      <c r="AW43" s="2"/>
      <c r="AX43" s="2"/>
      <c r="AY43" s="2"/>
      <c r="AZ43" s="2"/>
      <c r="BA43" s="2"/>
      <c r="BB43" s="2"/>
      <c r="BC43" s="2"/>
      <c r="BD43" s="2"/>
      <c r="BE43" s="2"/>
      <c r="BF43" s="2"/>
      <c r="BG43" s="2"/>
      <c r="BH43" s="2"/>
      <c r="BI43" s="2"/>
      <c r="BO43" s="131"/>
    </row>
    <row r="44" spans="2:67" x14ac:dyDescent="0.25">
      <c r="B44" s="16"/>
      <c r="C44" s="57" t="s">
        <v>690</v>
      </c>
      <c r="D44" s="19"/>
      <c r="E44" s="19"/>
      <c r="F44" s="19"/>
      <c r="G44" s="19"/>
      <c r="H44" s="19"/>
      <c r="I44" s="19"/>
      <c r="J44" s="19"/>
      <c r="K44" s="709"/>
      <c r="L44" s="709"/>
      <c r="M44" s="709"/>
      <c r="N44" s="709"/>
      <c r="O44" s="709"/>
      <c r="P44" s="709"/>
      <c r="Q44" s="709"/>
      <c r="R44" s="709"/>
      <c r="S44" s="709"/>
      <c r="T44" s="709"/>
      <c r="U44" s="709"/>
      <c r="V44" s="709"/>
      <c r="W44" s="709"/>
      <c r="X44" s="709"/>
      <c r="Y44" s="709"/>
      <c r="Z44" s="709"/>
      <c r="AA44" s="709"/>
      <c r="AB44" s="709"/>
      <c r="AC44" s="709"/>
      <c r="AD44" s="709"/>
      <c r="AE44" s="709"/>
      <c r="AF44" s="709"/>
      <c r="AG44" s="709"/>
      <c r="AH44" s="709"/>
      <c r="AI44" s="709"/>
      <c r="AJ44" s="709"/>
      <c r="AK44" s="709"/>
      <c r="AL44" s="709"/>
      <c r="AM44" s="709"/>
      <c r="AN44" s="709"/>
      <c r="AO44" s="709"/>
      <c r="AP44" s="709"/>
      <c r="AQ44" s="709"/>
      <c r="AR44" s="78"/>
      <c r="AS44" s="2"/>
      <c r="AT44" s="2"/>
      <c r="AU44" s="2"/>
      <c r="AV44" s="2"/>
      <c r="AW44" s="2"/>
      <c r="AX44" s="2"/>
      <c r="AY44" s="2"/>
      <c r="AZ44" s="2"/>
      <c r="BA44" s="2"/>
      <c r="BB44" s="2"/>
      <c r="BC44" s="2"/>
      <c r="BD44" s="2"/>
      <c r="BE44" s="2"/>
      <c r="BF44" s="2"/>
      <c r="BG44" s="2"/>
      <c r="BH44" s="2"/>
      <c r="BI44" s="2"/>
      <c r="BO44" s="131"/>
    </row>
    <row r="45" spans="2:67" x14ac:dyDescent="0.25">
      <c r="B45" s="16" t="s">
        <v>489</v>
      </c>
      <c r="C45" s="57" t="s">
        <v>490</v>
      </c>
      <c r="D45" s="19"/>
      <c r="E45" s="19">
        <v>4560</v>
      </c>
      <c r="F45" s="19"/>
      <c r="G45" s="19">
        <f t="shared" ca="1" si="1"/>
        <v>0</v>
      </c>
      <c r="H45" s="19"/>
      <c r="I45" s="19"/>
      <c r="J45" s="703" t="s">
        <v>691</v>
      </c>
      <c r="K45" s="709"/>
      <c r="L45" s="709"/>
      <c r="M45" s="709"/>
      <c r="N45" s="709"/>
      <c r="O45" s="709"/>
      <c r="P45" s="709"/>
      <c r="Q45" s="709"/>
      <c r="R45" s="709"/>
      <c r="S45" s="709"/>
      <c r="T45" s="709"/>
      <c r="U45" s="709"/>
      <c r="V45" s="709"/>
      <c r="W45" s="709"/>
      <c r="X45" s="709"/>
      <c r="Y45" s="709"/>
      <c r="Z45" s="709"/>
      <c r="AA45" s="709"/>
      <c r="AB45" s="709"/>
      <c r="AC45" s="709"/>
      <c r="AD45" s="709"/>
      <c r="AE45" s="709"/>
      <c r="AF45" s="709"/>
      <c r="AG45" s="709"/>
      <c r="AH45" s="709"/>
      <c r="AI45" s="709"/>
      <c r="AJ45" s="709"/>
      <c r="AK45" s="709"/>
      <c r="AL45" s="709"/>
      <c r="AM45" s="709"/>
      <c r="AN45" s="709"/>
      <c r="AO45" s="709"/>
      <c r="AP45" s="709"/>
      <c r="AQ45" s="709"/>
      <c r="AR45" s="78"/>
      <c r="AS45" s="2"/>
      <c r="AT45" s="2"/>
      <c r="AU45" s="2"/>
      <c r="AV45" s="2"/>
      <c r="AW45" s="2"/>
      <c r="AX45" s="2"/>
      <c r="AY45" s="2"/>
      <c r="AZ45" s="2"/>
      <c r="BA45" s="2"/>
      <c r="BB45" s="2"/>
      <c r="BC45" s="2"/>
      <c r="BD45" s="2"/>
      <c r="BE45" s="2"/>
      <c r="BF45" s="2"/>
      <c r="BG45" s="2"/>
      <c r="BH45" s="2"/>
      <c r="BI45" s="2"/>
      <c r="BO45" s="131"/>
    </row>
    <row r="46" spans="2:67" x14ac:dyDescent="0.25">
      <c r="B46" s="16" t="s">
        <v>311</v>
      </c>
      <c r="C46" t="s">
        <v>499</v>
      </c>
      <c r="D46" s="19"/>
      <c r="E46" s="789">
        <v>2340</v>
      </c>
      <c r="F46" s="19"/>
      <c r="G46" s="19">
        <f t="shared" ca="1" si="1"/>
        <v>0</v>
      </c>
      <c r="H46" s="19"/>
      <c r="I46" s="19"/>
      <c r="J46" s="645" t="s">
        <v>654</v>
      </c>
      <c r="K46" s="709"/>
      <c r="L46" s="709"/>
      <c r="M46" s="709"/>
      <c r="N46" s="709"/>
      <c r="O46" s="709"/>
      <c r="P46" s="709"/>
      <c r="Q46" s="709"/>
      <c r="R46" s="709"/>
      <c r="S46" s="709"/>
      <c r="T46" s="709"/>
      <c r="U46" s="709"/>
      <c r="V46" s="709"/>
      <c r="W46" s="709"/>
      <c r="X46" s="709"/>
      <c r="Y46" s="709"/>
      <c r="Z46" s="709"/>
      <c r="AA46" s="709"/>
      <c r="AB46" s="709"/>
      <c r="AC46" s="709"/>
      <c r="AD46" s="709"/>
      <c r="AE46" s="709"/>
      <c r="AF46" s="709"/>
      <c r="AG46" s="709"/>
      <c r="AH46" s="709"/>
      <c r="AI46" s="709"/>
      <c r="AJ46" s="709"/>
      <c r="AK46" s="709"/>
      <c r="AL46" s="709"/>
      <c r="AM46" s="709"/>
      <c r="AN46" s="709"/>
      <c r="AO46" s="709"/>
      <c r="AP46" s="709"/>
      <c r="AQ46" s="709"/>
      <c r="AR46" s="78"/>
      <c r="AS46" s="2"/>
      <c r="AT46" s="2"/>
      <c r="AU46" s="2"/>
      <c r="AV46" s="2"/>
      <c r="AW46" s="2"/>
      <c r="AX46" s="2"/>
      <c r="AY46" s="2"/>
      <c r="AZ46" s="2"/>
      <c r="BA46" s="2"/>
      <c r="BB46" s="2"/>
      <c r="BC46" s="2"/>
      <c r="BD46" s="2"/>
      <c r="BE46" s="2"/>
      <c r="BF46" s="2"/>
      <c r="BG46" s="2"/>
      <c r="BH46" s="2"/>
      <c r="BI46" s="2"/>
      <c r="BO46" s="131"/>
    </row>
    <row r="47" spans="2:67" x14ac:dyDescent="0.25">
      <c r="B47" s="16" t="s">
        <v>692</v>
      </c>
      <c r="C47" t="s">
        <v>310</v>
      </c>
      <c r="D47" s="19"/>
      <c r="E47" s="789">
        <v>3170</v>
      </c>
      <c r="F47" s="19"/>
      <c r="G47" s="19">
        <f t="shared" ca="1" si="1"/>
        <v>0</v>
      </c>
      <c r="H47" s="19"/>
      <c r="I47" s="19"/>
      <c r="J47" s="645" t="s">
        <v>654</v>
      </c>
      <c r="K47" s="709"/>
      <c r="L47" s="709"/>
      <c r="M47" s="709"/>
      <c r="N47" s="709"/>
      <c r="O47" s="709"/>
      <c r="P47" s="709"/>
      <c r="Q47" s="709"/>
      <c r="R47" s="709"/>
      <c r="S47" s="709"/>
      <c r="T47" s="709"/>
      <c r="U47" s="709"/>
      <c r="V47" s="709"/>
      <c r="W47" s="709"/>
      <c r="X47" s="709"/>
      <c r="Y47" s="709"/>
      <c r="Z47" s="709"/>
      <c r="AA47" s="709"/>
      <c r="AB47" s="709"/>
      <c r="AC47" s="709"/>
      <c r="AD47" s="709"/>
      <c r="AE47" s="709"/>
      <c r="AF47" s="709"/>
      <c r="AG47" s="709"/>
      <c r="AH47" s="709"/>
      <c r="AI47" s="709"/>
      <c r="AJ47" s="709"/>
      <c r="AK47" s="709"/>
      <c r="AL47" s="709"/>
      <c r="AM47" s="709"/>
      <c r="AN47" s="709"/>
      <c r="AO47" s="709"/>
      <c r="AP47" s="709"/>
      <c r="AQ47" s="709"/>
      <c r="AR47" s="78"/>
      <c r="AS47" s="2"/>
      <c r="AT47" s="2"/>
      <c r="AU47" s="2"/>
      <c r="AV47" s="2"/>
      <c r="AW47" s="2"/>
      <c r="AX47" s="2"/>
      <c r="AY47" s="2"/>
      <c r="AZ47" s="2"/>
      <c r="BA47" s="2"/>
      <c r="BB47" s="2"/>
      <c r="BC47" s="2"/>
      <c r="BD47" s="2"/>
      <c r="BE47" s="2"/>
      <c r="BF47" s="2"/>
      <c r="BG47" s="2"/>
      <c r="BH47" s="2"/>
      <c r="BI47" s="2"/>
      <c r="BO47" s="131"/>
    </row>
    <row r="48" spans="2:67" x14ac:dyDescent="0.25">
      <c r="B48" s="16"/>
      <c r="C48" t="s">
        <v>693</v>
      </c>
      <c r="D48" s="19"/>
      <c r="E48" s="789">
        <v>1490</v>
      </c>
      <c r="F48" s="19"/>
      <c r="G48" s="19"/>
      <c r="H48" s="19"/>
      <c r="I48" s="19"/>
      <c r="J48" s="645"/>
      <c r="K48" s="709"/>
      <c r="L48" s="709"/>
      <c r="M48" s="709"/>
      <c r="N48" s="709"/>
      <c r="O48" s="709"/>
      <c r="P48" s="709"/>
      <c r="Q48" s="709"/>
      <c r="R48" s="709"/>
      <c r="S48" s="709"/>
      <c r="T48" s="709"/>
      <c r="U48" s="709"/>
      <c r="V48" s="709"/>
      <c r="W48" s="709"/>
      <c r="X48" s="709"/>
      <c r="Y48" s="709"/>
      <c r="Z48" s="709"/>
      <c r="AA48" s="709"/>
      <c r="AB48" s="709"/>
      <c r="AC48" s="709"/>
      <c r="AD48" s="709"/>
      <c r="AE48" s="709"/>
      <c r="AF48" s="709"/>
      <c r="AG48" s="709"/>
      <c r="AH48" s="709"/>
      <c r="AI48" s="709"/>
      <c r="AJ48" s="709"/>
      <c r="AK48" s="709"/>
      <c r="AL48" s="709"/>
      <c r="AM48" s="709"/>
      <c r="AN48" s="709"/>
      <c r="AO48" s="709"/>
      <c r="AP48" s="709"/>
      <c r="AQ48" s="709"/>
      <c r="AR48" s="78"/>
      <c r="AS48" s="2"/>
      <c r="AT48" s="2"/>
      <c r="AU48" s="2"/>
      <c r="AV48" s="2"/>
      <c r="AW48" s="2"/>
      <c r="AX48" s="2"/>
      <c r="AY48" s="2"/>
      <c r="AZ48" s="2"/>
      <c r="BA48" s="2"/>
      <c r="BB48" s="2"/>
      <c r="BC48" s="2"/>
      <c r="BD48" s="2"/>
      <c r="BE48" s="2"/>
      <c r="BF48" s="2"/>
      <c r="BG48" s="2"/>
      <c r="BH48" s="2"/>
      <c r="BI48" s="2"/>
      <c r="BO48" s="131"/>
    </row>
    <row r="49" spans="2:67" x14ac:dyDescent="0.25">
      <c r="B49" s="16" t="s">
        <v>493</v>
      </c>
      <c r="C49" t="s">
        <v>494</v>
      </c>
      <c r="D49" s="19"/>
      <c r="E49" s="790">
        <v>5720</v>
      </c>
      <c r="F49" s="19"/>
      <c r="G49" s="19">
        <f t="shared" ca="1" si="1"/>
        <v>0</v>
      </c>
      <c r="H49" s="19"/>
      <c r="I49" s="19"/>
      <c r="J49" s="645" t="s">
        <v>694</v>
      </c>
      <c r="K49" s="709"/>
      <c r="L49" s="709"/>
      <c r="M49" s="709"/>
      <c r="N49" s="709"/>
      <c r="O49" s="709"/>
      <c r="P49" s="709"/>
      <c r="Q49" s="709"/>
      <c r="R49" s="709"/>
      <c r="S49" s="709"/>
      <c r="T49" s="709"/>
      <c r="U49" s="709"/>
      <c r="V49" s="709"/>
      <c r="W49" s="709"/>
      <c r="X49" s="709"/>
      <c r="Y49" s="709"/>
      <c r="Z49" s="709"/>
      <c r="AA49" s="709"/>
      <c r="AB49" s="709"/>
      <c r="AC49" s="709"/>
      <c r="AD49" s="709"/>
      <c r="AE49" s="709"/>
      <c r="AF49" s="709"/>
      <c r="AG49" s="709"/>
      <c r="AH49" s="709"/>
      <c r="AI49" s="709"/>
      <c r="AJ49" s="709"/>
      <c r="AK49" s="709"/>
      <c r="AL49" s="709"/>
      <c r="AM49" s="709"/>
      <c r="AN49" s="709"/>
      <c r="AO49" s="709"/>
      <c r="AP49" s="709"/>
      <c r="AQ49" s="709"/>
      <c r="AR49" s="78"/>
      <c r="AS49" s="2"/>
      <c r="AT49" s="2"/>
      <c r="AU49" s="2"/>
      <c r="AV49" s="2"/>
      <c r="AW49" s="2"/>
      <c r="AX49" s="2"/>
      <c r="AY49" s="2"/>
      <c r="AZ49" s="2"/>
      <c r="BA49" s="2"/>
      <c r="BB49" s="2"/>
      <c r="BC49" s="2"/>
      <c r="BD49" s="2"/>
      <c r="BE49" s="2"/>
      <c r="BF49" s="2"/>
      <c r="BG49" s="2"/>
      <c r="BH49" s="2"/>
      <c r="BI49" s="2"/>
      <c r="BO49" s="131"/>
    </row>
    <row r="50" spans="2:67" x14ac:dyDescent="0.25">
      <c r="B50" s="16" t="s">
        <v>512</v>
      </c>
      <c r="C50" t="s">
        <v>512</v>
      </c>
      <c r="D50" s="19"/>
      <c r="E50" s="19">
        <v>31080</v>
      </c>
      <c r="F50" s="19"/>
      <c r="G50" s="19">
        <f t="shared" ca="1" si="1"/>
        <v>0</v>
      </c>
      <c r="H50" s="19"/>
      <c r="I50" s="19"/>
      <c r="J50" s="693" t="s">
        <v>316</v>
      </c>
      <c r="K50" s="709"/>
      <c r="L50" s="709"/>
      <c r="M50" s="709"/>
      <c r="N50" s="709"/>
      <c r="O50" s="709"/>
      <c r="P50" s="709"/>
      <c r="Q50" s="709"/>
      <c r="R50" s="709"/>
      <c r="S50" s="709"/>
      <c r="T50" s="709"/>
      <c r="U50" s="709"/>
      <c r="V50" s="709"/>
      <c r="W50" s="709"/>
      <c r="X50" s="709"/>
      <c r="Y50" s="709"/>
      <c r="Z50" s="709"/>
      <c r="AA50" s="709"/>
      <c r="AB50" s="709"/>
      <c r="AC50" s="709"/>
      <c r="AD50" s="709"/>
      <c r="AE50" s="709"/>
      <c r="AF50" s="709"/>
      <c r="AG50" s="709"/>
      <c r="AH50" s="709"/>
      <c r="AI50" s="709"/>
      <c r="AJ50" s="709"/>
      <c r="AK50" s="709"/>
      <c r="AL50" s="709"/>
      <c r="AM50" s="709"/>
      <c r="AN50" s="709"/>
      <c r="AO50" s="709"/>
      <c r="AP50" s="709"/>
      <c r="AQ50" s="709"/>
      <c r="AR50" s="78"/>
      <c r="AS50" s="2"/>
      <c r="AT50" s="2"/>
      <c r="AU50" s="2"/>
      <c r="AV50" s="2"/>
      <c r="AW50" s="2"/>
      <c r="AX50" s="2"/>
      <c r="AY50" s="2"/>
      <c r="AZ50" s="2"/>
      <c r="BA50" s="2"/>
      <c r="BB50" s="2"/>
      <c r="BC50" s="2"/>
      <c r="BD50" s="2"/>
      <c r="BE50" s="2"/>
      <c r="BF50" s="2"/>
      <c r="BG50" s="2"/>
      <c r="BH50" s="2"/>
      <c r="BI50" s="2"/>
      <c r="BO50" s="131"/>
    </row>
    <row r="51" spans="2:67" x14ac:dyDescent="0.25">
      <c r="B51" s="16" t="s">
        <v>518</v>
      </c>
      <c r="C51" t="s">
        <v>695</v>
      </c>
      <c r="D51" s="19"/>
      <c r="E51" s="19"/>
      <c r="F51" s="19"/>
      <c r="G51" s="19">
        <f t="shared" ca="1" si="1"/>
        <v>0</v>
      </c>
      <c r="H51" s="19"/>
      <c r="I51" s="19"/>
      <c r="J51" s="42" t="s">
        <v>696</v>
      </c>
      <c r="K51" s="709"/>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09"/>
      <c r="AM51" s="709"/>
      <c r="AN51" s="709"/>
      <c r="AO51" s="709"/>
      <c r="AP51" s="709"/>
      <c r="AQ51" s="709"/>
      <c r="AR51" s="78"/>
      <c r="AS51" s="2"/>
      <c r="AT51" s="2"/>
      <c r="AU51" s="2"/>
      <c r="AV51" s="2"/>
      <c r="AW51" s="2"/>
      <c r="AX51" s="2"/>
      <c r="AY51" s="2"/>
      <c r="AZ51" s="2"/>
      <c r="BA51" s="2"/>
      <c r="BB51" s="2"/>
      <c r="BC51" s="2"/>
      <c r="BD51" s="2"/>
      <c r="BE51" s="2"/>
      <c r="BF51" s="2"/>
      <c r="BG51" s="2"/>
      <c r="BH51" s="2"/>
      <c r="BI51" s="2"/>
      <c r="BO51" s="131"/>
    </row>
    <row r="52" spans="2:67" x14ac:dyDescent="0.25">
      <c r="B52" s="16" t="s">
        <v>697</v>
      </c>
      <c r="C52" t="s">
        <v>698</v>
      </c>
      <c r="D52" s="19"/>
      <c r="E52" s="19">
        <v>1582.53</v>
      </c>
      <c r="F52" s="19"/>
      <c r="G52" s="19"/>
      <c r="H52" s="2"/>
      <c r="I52" s="19"/>
      <c r="J52" s="19" t="s">
        <v>517</v>
      </c>
      <c r="K52" s="709"/>
      <c r="L52" s="709"/>
      <c r="M52" s="709"/>
      <c r="N52" s="709"/>
      <c r="O52" s="709"/>
      <c r="P52" s="709"/>
      <c r="Q52" s="709"/>
      <c r="R52" s="709"/>
      <c r="S52" s="709"/>
      <c r="T52" s="709"/>
      <c r="U52" s="709"/>
      <c r="V52" s="709"/>
      <c r="W52" s="709"/>
      <c r="X52" s="709"/>
      <c r="Y52" s="709"/>
      <c r="Z52" s="709"/>
      <c r="AA52" s="709"/>
      <c r="AB52" s="709"/>
      <c r="AC52" s="709"/>
      <c r="AD52" s="709"/>
      <c r="AE52" s="709"/>
      <c r="AF52" s="709"/>
      <c r="AG52" s="709"/>
      <c r="AH52" s="709"/>
      <c r="AI52" s="709"/>
      <c r="AJ52" s="709"/>
      <c r="AK52" s="709"/>
      <c r="AL52" s="709"/>
      <c r="AM52" s="709"/>
      <c r="AN52" s="709"/>
      <c r="AO52" s="709"/>
      <c r="AP52" s="709"/>
      <c r="AQ52" s="709"/>
      <c r="AR52" s="78"/>
      <c r="AS52" s="2"/>
      <c r="AT52" s="2"/>
      <c r="AU52" s="2"/>
      <c r="AV52" s="2"/>
      <c r="AW52" s="2"/>
      <c r="AX52" s="2"/>
      <c r="AY52" s="2"/>
      <c r="AZ52" s="2"/>
      <c r="BA52" s="2"/>
      <c r="BB52" s="2"/>
      <c r="BC52" s="2"/>
      <c r="BD52" s="2"/>
      <c r="BE52" s="2"/>
      <c r="BF52" s="2"/>
      <c r="BG52" s="2"/>
      <c r="BH52" s="2"/>
      <c r="BI52" s="2"/>
      <c r="BO52" s="131"/>
    </row>
    <row r="53" spans="2:67" x14ac:dyDescent="0.25">
      <c r="B53" s="16" t="s">
        <v>699</v>
      </c>
      <c r="C53" t="s">
        <v>522</v>
      </c>
      <c r="D53" s="19"/>
      <c r="E53" s="19">
        <v>13500</v>
      </c>
      <c r="F53" s="19"/>
      <c r="G53" s="19"/>
      <c r="H53" s="2"/>
      <c r="I53" s="19"/>
      <c r="J53" s="19" t="s">
        <v>649</v>
      </c>
      <c r="K53" s="709"/>
      <c r="L53" s="709"/>
      <c r="M53" s="709"/>
      <c r="N53" s="709"/>
      <c r="O53" s="709"/>
      <c r="P53" s="709"/>
      <c r="Q53" s="709"/>
      <c r="R53" s="709"/>
      <c r="S53" s="709"/>
      <c r="T53" s="709"/>
      <c r="U53" s="709"/>
      <c r="V53" s="709"/>
      <c r="W53" s="709"/>
      <c r="X53" s="709"/>
      <c r="Y53" s="709"/>
      <c r="Z53" s="709"/>
      <c r="AA53" s="709"/>
      <c r="AB53" s="709"/>
      <c r="AC53" s="709"/>
      <c r="AD53" s="709"/>
      <c r="AE53" s="709"/>
      <c r="AF53" s="709"/>
      <c r="AG53" s="709"/>
      <c r="AH53" s="709"/>
      <c r="AI53" s="709"/>
      <c r="AJ53" s="709"/>
      <c r="AK53" s="709"/>
      <c r="AL53" s="709"/>
      <c r="AM53" s="709"/>
      <c r="AN53" s="709"/>
      <c r="AO53" s="709"/>
      <c r="AP53" s="709"/>
      <c r="AQ53" s="709"/>
      <c r="AR53" s="78"/>
      <c r="AS53" s="2"/>
      <c r="AT53" s="2"/>
      <c r="AU53" s="2"/>
      <c r="AV53" s="2"/>
      <c r="AW53" s="2"/>
      <c r="AX53" s="2"/>
      <c r="AY53" s="2"/>
      <c r="AZ53" s="2"/>
      <c r="BA53" s="2"/>
      <c r="BB53" s="2"/>
      <c r="BC53" s="2"/>
      <c r="BD53" s="2"/>
      <c r="BE53" s="2"/>
      <c r="BF53" s="2"/>
      <c r="BG53" s="2"/>
      <c r="BH53" s="2"/>
      <c r="BI53" s="2"/>
      <c r="BO53" s="131"/>
    </row>
    <row r="54" spans="2:67" x14ac:dyDescent="0.25">
      <c r="B54" s="682"/>
      <c r="C54" s="439" t="s">
        <v>700</v>
      </c>
      <c r="D54" s="327"/>
      <c r="E54" s="327">
        <v>25000</v>
      </c>
      <c r="F54" s="327"/>
      <c r="G54" s="42">
        <f t="shared" ca="1" si="1"/>
        <v>0</v>
      </c>
      <c r="H54" s="42"/>
      <c r="I54" s="42"/>
      <c r="J54" s="42" t="s">
        <v>701</v>
      </c>
      <c r="K54" s="709"/>
      <c r="L54" s="709"/>
      <c r="M54" s="709"/>
      <c r="N54" s="709"/>
      <c r="O54" s="709"/>
      <c r="P54" s="709"/>
      <c r="Q54" s="709"/>
      <c r="R54" s="709"/>
      <c r="S54" s="709"/>
      <c r="T54" s="709"/>
      <c r="U54" s="709"/>
      <c r="V54" s="709"/>
      <c r="W54" s="709"/>
      <c r="X54" s="709"/>
      <c r="Y54" s="709"/>
      <c r="Z54" s="709"/>
      <c r="AA54" s="709"/>
      <c r="AB54" s="709"/>
      <c r="AC54" s="709"/>
      <c r="AD54" s="709"/>
      <c r="AE54" s="709"/>
      <c r="AF54" s="709"/>
      <c r="AG54" s="709"/>
      <c r="AH54" s="709"/>
      <c r="AI54" s="709"/>
      <c r="AJ54" s="709"/>
      <c r="AK54" s="709"/>
      <c r="AL54" s="709"/>
      <c r="AM54" s="709"/>
      <c r="AN54" s="709"/>
      <c r="AO54" s="709"/>
      <c r="AP54" s="709"/>
      <c r="AQ54" s="709"/>
      <c r="AR54" s="78"/>
      <c r="AS54" s="2"/>
      <c r="AT54" s="2"/>
      <c r="AU54" s="2"/>
      <c r="AV54" s="2"/>
      <c r="AW54" s="2"/>
      <c r="AX54" s="2"/>
      <c r="AY54" s="2"/>
      <c r="AZ54" s="2"/>
      <c r="BA54" s="2"/>
      <c r="BB54" s="2"/>
      <c r="BC54" s="2"/>
      <c r="BD54" s="2"/>
      <c r="BE54" s="2"/>
      <c r="BF54" s="2"/>
      <c r="BG54" s="2"/>
      <c r="BH54" s="2"/>
      <c r="BI54" s="2"/>
      <c r="BO54" s="131"/>
    </row>
    <row r="55" spans="2:67" x14ac:dyDescent="0.25">
      <c r="B55" s="14" t="s">
        <v>93</v>
      </c>
      <c r="C55" s="15" t="s">
        <v>94</v>
      </c>
      <c r="D55" s="20" cm="1">
        <f t="array" ref="D55">SUM(D8:D54*0.1)</f>
        <v>646</v>
      </c>
      <c r="E55" s="20" cm="1">
        <f t="array" ref="E55">SUM(E8:E54*0.1)</f>
        <v>85240.554999999993</v>
      </c>
      <c r="F55" s="79"/>
      <c r="G55" s="644"/>
      <c r="H55" s="644"/>
      <c r="I55" s="394"/>
      <c r="J55" s="394"/>
      <c r="K55" s="709"/>
      <c r="L55" s="709"/>
      <c r="M55" s="709"/>
      <c r="N55" s="709"/>
      <c r="O55" s="709"/>
      <c r="P55" s="709"/>
      <c r="Q55" s="709"/>
      <c r="R55" s="709"/>
      <c r="S55" s="709"/>
      <c r="T55" s="709"/>
      <c r="U55" s="709"/>
      <c r="V55" s="709"/>
      <c r="W55" s="709"/>
      <c r="X55" s="709"/>
      <c r="Y55" s="709"/>
      <c r="Z55" s="709"/>
      <c r="AA55" s="709"/>
      <c r="AB55" s="709"/>
      <c r="AC55" s="709"/>
      <c r="AD55" s="709"/>
      <c r="AE55" s="709"/>
      <c r="AF55" s="709"/>
      <c r="AG55" s="709"/>
      <c r="AH55" s="709"/>
      <c r="AI55" s="709"/>
      <c r="AJ55" s="709"/>
      <c r="AK55" s="709"/>
      <c r="AL55" s="709"/>
      <c r="AM55" s="709"/>
      <c r="AN55" s="709"/>
      <c r="AO55" s="709"/>
      <c r="AP55" s="709"/>
      <c r="AQ55" s="709"/>
      <c r="AR55" s="80">
        <f t="shared" ref="AR55:BO55" si="2">SUM(AR8:AR54)*0.1</f>
        <v>0</v>
      </c>
      <c r="AS55" s="136">
        <f t="shared" si="2"/>
        <v>550</v>
      </c>
      <c r="AT55" s="136">
        <f t="shared" si="2"/>
        <v>0</v>
      </c>
      <c r="AU55" s="136">
        <f t="shared" si="2"/>
        <v>0</v>
      </c>
      <c r="AV55" s="136">
        <f t="shared" si="2"/>
        <v>0</v>
      </c>
      <c r="AW55" s="136">
        <f t="shared" si="2"/>
        <v>0</v>
      </c>
      <c r="AX55" s="136">
        <f t="shared" si="2"/>
        <v>0</v>
      </c>
      <c r="AY55" s="136">
        <f t="shared" si="2"/>
        <v>0</v>
      </c>
      <c r="AZ55" s="136">
        <f t="shared" si="2"/>
        <v>0</v>
      </c>
      <c r="BA55" s="136">
        <f t="shared" si="2"/>
        <v>0</v>
      </c>
      <c r="BB55" s="136">
        <f t="shared" si="2"/>
        <v>0</v>
      </c>
      <c r="BC55" s="136">
        <f t="shared" si="2"/>
        <v>0</v>
      </c>
      <c r="BD55" s="136">
        <f t="shared" si="2"/>
        <v>0</v>
      </c>
      <c r="BE55" s="136">
        <f t="shared" si="2"/>
        <v>0</v>
      </c>
      <c r="BF55" s="136">
        <f t="shared" si="2"/>
        <v>0</v>
      </c>
      <c r="BG55" s="136">
        <f t="shared" si="2"/>
        <v>0</v>
      </c>
      <c r="BH55" s="136">
        <f t="shared" si="2"/>
        <v>0</v>
      </c>
      <c r="BI55" s="136">
        <f t="shared" si="2"/>
        <v>0</v>
      </c>
      <c r="BJ55" s="136">
        <f t="shared" si="2"/>
        <v>0</v>
      </c>
      <c r="BK55" s="136">
        <f t="shared" si="2"/>
        <v>0</v>
      </c>
      <c r="BL55" s="136">
        <f t="shared" si="2"/>
        <v>0</v>
      </c>
      <c r="BM55" s="136">
        <f t="shared" si="2"/>
        <v>0</v>
      </c>
      <c r="BN55" s="136">
        <f t="shared" si="2"/>
        <v>0</v>
      </c>
      <c r="BO55" s="140">
        <f t="shared" si="2"/>
        <v>0</v>
      </c>
    </row>
    <row r="56" spans="2:67" x14ac:dyDescent="0.25">
      <c r="B56" s="14" t="s">
        <v>148</v>
      </c>
      <c r="C56" s="15"/>
      <c r="D56" s="21"/>
      <c r="E56" s="21">
        <f>SUM(AR56:BO56)</f>
        <v>0</v>
      </c>
      <c r="F56" s="21"/>
      <c r="G56" s="20">
        <f ca="1">SUMIF($AR$3:$BO$3,"&lt;"&amp;TODAY(),$AR56:$BO56)</f>
        <v>0</v>
      </c>
      <c r="H56" s="20"/>
      <c r="I56" s="20"/>
      <c r="J56" s="20"/>
      <c r="K56" s="709"/>
      <c r="L56" s="709"/>
      <c r="M56" s="709"/>
      <c r="N56" s="709"/>
      <c r="O56" s="709"/>
      <c r="P56" s="709"/>
      <c r="Q56" s="709"/>
      <c r="R56" s="709"/>
      <c r="S56" s="709"/>
      <c r="T56" s="709"/>
      <c r="U56" s="709"/>
      <c r="V56" s="709"/>
      <c r="W56" s="709"/>
      <c r="X56" s="709"/>
      <c r="Y56" s="709"/>
      <c r="Z56" s="709"/>
      <c r="AA56" s="709"/>
      <c r="AB56" s="709"/>
      <c r="AC56" s="709"/>
      <c r="AD56" s="709"/>
      <c r="AE56" s="709"/>
      <c r="AF56" s="709"/>
      <c r="AG56" s="709"/>
      <c r="AH56" s="709"/>
      <c r="AI56" s="709"/>
      <c r="AJ56" s="709"/>
      <c r="AK56" s="709"/>
      <c r="AL56" s="709"/>
      <c r="AM56" s="709"/>
      <c r="AN56" s="709"/>
      <c r="AO56" s="709"/>
      <c r="AP56" s="709"/>
      <c r="AQ56" s="709"/>
      <c r="AR56" s="78"/>
      <c r="AS56" s="2"/>
      <c r="AT56" s="2"/>
      <c r="AU56" s="2"/>
      <c r="AV56" s="2"/>
      <c r="AW56" s="2"/>
      <c r="AX56" s="2"/>
      <c r="AY56" s="2"/>
      <c r="AZ56" s="2"/>
      <c r="BA56" s="2"/>
      <c r="BB56" s="2"/>
      <c r="BC56" s="2"/>
      <c r="BD56" s="2"/>
      <c r="BE56" s="2"/>
      <c r="BF56" s="2"/>
      <c r="BG56" s="2"/>
      <c r="BH56" s="2"/>
      <c r="BI56" s="2"/>
      <c r="BO56" s="131"/>
    </row>
    <row r="57" spans="2:67" x14ac:dyDescent="0.25">
      <c r="B57" s="14" t="s">
        <v>95</v>
      </c>
      <c r="C57" s="15"/>
      <c r="D57" s="21"/>
      <c r="E57" s="21">
        <f>SUM(AR57:BO57)</f>
        <v>0</v>
      </c>
      <c r="F57" s="21"/>
      <c r="G57" s="20">
        <f ca="1">SUMIF($AR$3:$BO$3,"&lt;"&amp;TODAY(),$AR57:$BO57)</f>
        <v>0</v>
      </c>
      <c r="H57" s="20"/>
      <c r="I57" s="20"/>
      <c r="J57" s="21"/>
      <c r="K57" s="709"/>
      <c r="L57" s="709"/>
      <c r="M57" s="709"/>
      <c r="N57" s="709"/>
      <c r="O57" s="709"/>
      <c r="P57" s="709"/>
      <c r="Q57" s="709"/>
      <c r="R57" s="709"/>
      <c r="S57" s="709"/>
      <c r="T57" s="709"/>
      <c r="U57" s="709"/>
      <c r="V57" s="709"/>
      <c r="W57" s="709"/>
      <c r="X57" s="709"/>
      <c r="Y57" s="709"/>
      <c r="Z57" s="709"/>
      <c r="AA57" s="709"/>
      <c r="AB57" s="709"/>
      <c r="AC57" s="709"/>
      <c r="AD57" s="709"/>
      <c r="AE57" s="709"/>
      <c r="AF57" s="709"/>
      <c r="AG57" s="709"/>
      <c r="AH57" s="709"/>
      <c r="AI57" s="709"/>
      <c r="AJ57" s="709"/>
      <c r="AK57" s="709"/>
      <c r="AL57" s="709"/>
      <c r="AM57" s="709"/>
      <c r="AN57" s="709"/>
      <c r="AO57" s="709"/>
      <c r="AP57" s="709"/>
      <c r="AQ57" s="709"/>
      <c r="AR57" s="78"/>
      <c r="AS57" s="2"/>
      <c r="AT57" s="2"/>
      <c r="AU57" s="2"/>
      <c r="AV57" s="2"/>
      <c r="AW57" s="2"/>
      <c r="AX57" s="2"/>
      <c r="AY57" s="2"/>
      <c r="AZ57" s="2"/>
      <c r="BA57" s="2"/>
      <c r="BB57" s="2"/>
      <c r="BF57" s="2"/>
      <c r="BG57" s="2"/>
      <c r="BH57" s="2"/>
      <c r="BI57" s="2"/>
      <c r="BJ57" s="2"/>
      <c r="BK57" s="2"/>
      <c r="BO57" s="131"/>
    </row>
    <row r="58" spans="2:67" ht="15.75" thickBot="1" x14ac:dyDescent="0.3">
      <c r="B58" s="8" t="s">
        <v>97</v>
      </c>
      <c r="C58" t="s">
        <v>213</v>
      </c>
      <c r="D58" s="19"/>
      <c r="E58" s="21">
        <f>SUM(AR58:BO58)</f>
        <v>0</v>
      </c>
      <c r="F58" s="19"/>
      <c r="G58" s="20">
        <f ca="1">SUMIF($AR$3:$BO$3,"&lt;"&amp;TODAY(),$AR58:$BO58)</f>
        <v>0</v>
      </c>
      <c r="H58" s="19"/>
      <c r="I58" s="19"/>
      <c r="J58" s="19"/>
      <c r="K58" s="709"/>
      <c r="L58" s="709"/>
      <c r="M58" s="709"/>
      <c r="N58" s="709"/>
      <c r="O58" s="709"/>
      <c r="P58" s="709"/>
      <c r="Q58" s="709"/>
      <c r="R58" s="709"/>
      <c r="S58" s="709"/>
      <c r="T58" s="709"/>
      <c r="U58" s="709"/>
      <c r="V58" s="709"/>
      <c r="W58" s="709"/>
      <c r="X58" s="709"/>
      <c r="Y58" s="709"/>
      <c r="Z58" s="709"/>
      <c r="AA58" s="709"/>
      <c r="AB58" s="709"/>
      <c r="AC58" s="709"/>
      <c r="AD58" s="709"/>
      <c r="AE58" s="709"/>
      <c r="AF58" s="709"/>
      <c r="AG58" s="709"/>
      <c r="AH58" s="709"/>
      <c r="AI58" s="709"/>
      <c r="AJ58" s="709"/>
      <c r="AK58" s="709"/>
      <c r="AL58" s="709"/>
      <c r="AM58" s="709"/>
      <c r="AN58" s="709"/>
      <c r="AO58" s="709"/>
      <c r="AP58" s="709"/>
      <c r="AQ58" s="709"/>
      <c r="AR58" s="78"/>
      <c r="AS58" s="2"/>
      <c r="AT58" s="2"/>
      <c r="AU58" s="2"/>
      <c r="AV58" s="2"/>
      <c r="AW58" s="2"/>
      <c r="AX58" s="2"/>
      <c r="AY58" s="2"/>
      <c r="AZ58" s="2"/>
      <c r="BA58" s="2"/>
      <c r="BB58" s="2"/>
      <c r="BF58" s="2"/>
      <c r="BG58" s="2"/>
      <c r="BH58" s="2"/>
      <c r="BI58" s="2"/>
      <c r="BJ58" s="2"/>
      <c r="BK58" s="2"/>
      <c r="BO58" s="131"/>
    </row>
    <row r="59" spans="2:67" ht="15.75" thickBot="1" x14ac:dyDescent="0.3">
      <c r="B59" s="11" t="s">
        <v>98</v>
      </c>
      <c r="C59" s="12"/>
      <c r="D59" s="22">
        <f>SUM(D4:D58)</f>
        <v>7106</v>
      </c>
      <c r="E59" s="22">
        <f>SUM(E4:E58)</f>
        <v>1061646.105</v>
      </c>
      <c r="F59" s="22">
        <f>SUM(F4:F58)</f>
        <v>146512.5</v>
      </c>
      <c r="G59" s="22">
        <f ca="1">SUM(G4:G58)</f>
        <v>2540512.5</v>
      </c>
      <c r="H59" s="22"/>
      <c r="I59" s="22"/>
      <c r="J59" s="22"/>
      <c r="K59" s="709"/>
      <c r="L59" s="709"/>
      <c r="M59" s="709"/>
      <c r="N59" s="709"/>
      <c r="O59" s="709"/>
      <c r="P59" s="709"/>
      <c r="Q59" s="709"/>
      <c r="R59" s="709"/>
      <c r="S59" s="709"/>
      <c r="T59" s="709"/>
      <c r="U59" s="709"/>
      <c r="V59" s="709"/>
      <c r="W59" s="709"/>
      <c r="X59" s="709"/>
      <c r="Y59" s="709"/>
      <c r="Z59" s="709"/>
      <c r="AA59" s="709"/>
      <c r="AB59" s="709"/>
      <c r="AC59" s="709"/>
      <c r="AD59" s="709"/>
      <c r="AE59" s="709"/>
      <c r="AF59" s="709"/>
      <c r="AG59" s="709"/>
      <c r="AH59" s="709"/>
      <c r="AI59" s="709"/>
      <c r="AJ59" s="709"/>
      <c r="AK59" s="709"/>
      <c r="AL59" s="709"/>
      <c r="AM59" s="709"/>
      <c r="AN59" s="709"/>
      <c r="AO59" s="709"/>
      <c r="AP59" s="709"/>
      <c r="AQ59" s="709"/>
      <c r="AR59" s="81">
        <f t="shared" ref="AR59:BO59" si="3">SUM(AR4:AR58)</f>
        <v>60562.5</v>
      </c>
      <c r="AS59" s="155">
        <f t="shared" si="3"/>
        <v>6050</v>
      </c>
      <c r="AT59" s="155">
        <f t="shared" si="3"/>
        <v>0</v>
      </c>
      <c r="AU59" s="155">
        <f t="shared" si="3"/>
        <v>0</v>
      </c>
      <c r="AV59" s="155">
        <f t="shared" si="3"/>
        <v>0</v>
      </c>
      <c r="AW59" s="155">
        <f t="shared" si="3"/>
        <v>0</v>
      </c>
      <c r="AX59" s="155">
        <f t="shared" si="3"/>
        <v>0</v>
      </c>
      <c r="AY59" s="155">
        <f t="shared" si="3"/>
        <v>0</v>
      </c>
      <c r="AZ59" s="155">
        <f t="shared" si="3"/>
        <v>0</v>
      </c>
      <c r="BA59" s="155">
        <f t="shared" si="3"/>
        <v>3293040</v>
      </c>
      <c r="BB59" s="155">
        <f t="shared" si="3"/>
        <v>0</v>
      </c>
      <c r="BC59" s="155">
        <f t="shared" si="3"/>
        <v>0</v>
      </c>
      <c r="BD59" s="155">
        <f t="shared" si="3"/>
        <v>0</v>
      </c>
      <c r="BE59" s="155">
        <f t="shared" si="3"/>
        <v>0</v>
      </c>
      <c r="BF59" s="155">
        <f t="shared" si="3"/>
        <v>0</v>
      </c>
      <c r="BG59" s="155">
        <f t="shared" si="3"/>
        <v>0</v>
      </c>
      <c r="BH59" s="155">
        <f t="shared" si="3"/>
        <v>0</v>
      </c>
      <c r="BI59" s="155">
        <f t="shared" si="3"/>
        <v>0</v>
      </c>
      <c r="BJ59" s="155">
        <f t="shared" si="3"/>
        <v>0</v>
      </c>
      <c r="BK59" s="155">
        <f t="shared" si="3"/>
        <v>0</v>
      </c>
      <c r="BL59" s="155">
        <f t="shared" si="3"/>
        <v>0</v>
      </c>
      <c r="BM59" s="155">
        <f t="shared" si="3"/>
        <v>2093040</v>
      </c>
      <c r="BN59" s="155">
        <f t="shared" si="3"/>
        <v>0</v>
      </c>
      <c r="BO59" s="156">
        <f t="shared" si="3"/>
        <v>0</v>
      </c>
    </row>
    <row r="60" spans="2:67" ht="15.75" thickBot="1" x14ac:dyDescent="0.3">
      <c r="B60" s="35" t="s">
        <v>319</v>
      </c>
      <c r="C60" s="183">
        <v>1000</v>
      </c>
      <c r="D60" s="36"/>
      <c r="E60" s="36"/>
      <c r="F60" s="36"/>
      <c r="G60" s="36"/>
      <c r="H60" s="36"/>
      <c r="I60" s="36"/>
      <c r="J60" s="36"/>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09"/>
      <c r="AJ60" s="709"/>
      <c r="AK60" s="709"/>
      <c r="AL60" s="709"/>
      <c r="AM60" s="709"/>
      <c r="AN60" s="709"/>
      <c r="AO60" s="709"/>
      <c r="AP60" s="709"/>
      <c r="AQ60" s="709"/>
      <c r="AR60" s="78"/>
      <c r="AS60" s="2"/>
      <c r="AT60" s="2"/>
      <c r="AU60" s="2"/>
      <c r="AV60" s="2"/>
      <c r="AW60" s="2"/>
      <c r="AX60" s="2"/>
      <c r="AY60" s="2"/>
      <c r="AZ60" s="2"/>
      <c r="BA60" s="2"/>
      <c r="BB60" s="2"/>
      <c r="BC60" s="2"/>
      <c r="BD60" s="2"/>
      <c r="BE60" s="2"/>
      <c r="BF60" s="2"/>
      <c r="BG60" s="2"/>
      <c r="BH60" s="2"/>
      <c r="BI60" s="2"/>
      <c r="BO60" s="131"/>
    </row>
    <row r="61" spans="2:67" ht="15.75" thickBot="1" x14ac:dyDescent="0.3">
      <c r="B61" s="35" t="s">
        <v>100</v>
      </c>
      <c r="C61" s="10"/>
      <c r="D61" s="23">
        <f>SUM(D59/C60)</f>
        <v>7.1059999999999999</v>
      </c>
      <c r="E61" s="23">
        <f>E59/$C$60</f>
        <v>1061.646105</v>
      </c>
      <c r="F61" s="23">
        <f>F59/$C$60</f>
        <v>146.51249999999999</v>
      </c>
      <c r="G61" s="23">
        <f ca="1">G59/$C$60</f>
        <v>2540.5124999999998</v>
      </c>
      <c r="H61" s="23"/>
      <c r="I61" s="23"/>
      <c r="J61" s="23"/>
      <c r="K61" s="709"/>
      <c r="L61" s="709"/>
      <c r="M61" s="709"/>
      <c r="N61" s="709"/>
      <c r="O61" s="709"/>
      <c r="P61" s="709"/>
      <c r="Q61" s="709"/>
      <c r="R61" s="709"/>
      <c r="S61" s="709"/>
      <c r="T61" s="709"/>
      <c r="U61" s="709"/>
      <c r="V61" s="709"/>
      <c r="W61" s="709"/>
      <c r="X61" s="709"/>
      <c r="Y61" s="709"/>
      <c r="Z61" s="709"/>
      <c r="AA61" s="709"/>
      <c r="AB61" s="709"/>
      <c r="AC61" s="709"/>
      <c r="AD61" s="709"/>
      <c r="AE61" s="709"/>
      <c r="AF61" s="709"/>
      <c r="AG61" s="709"/>
      <c r="AH61" s="709"/>
      <c r="AI61" s="709"/>
      <c r="AJ61" s="709"/>
      <c r="AK61" s="709"/>
      <c r="AL61" s="709"/>
      <c r="AM61" s="709"/>
      <c r="AN61" s="709"/>
      <c r="AO61" s="709"/>
      <c r="AP61" s="709"/>
      <c r="AQ61" s="709"/>
      <c r="AR61" s="9"/>
      <c r="AS61" s="10"/>
      <c r="AT61" s="10"/>
      <c r="AU61" s="10"/>
      <c r="AV61" s="10"/>
      <c r="AW61" s="10"/>
      <c r="AX61" s="10"/>
      <c r="AY61" s="10"/>
      <c r="AZ61" s="10"/>
      <c r="BA61" s="10"/>
      <c r="BB61" s="10"/>
      <c r="BC61" s="10"/>
      <c r="BD61" s="10"/>
      <c r="BE61" s="10"/>
      <c r="BF61" s="10"/>
      <c r="BG61" s="10"/>
      <c r="BH61" s="10"/>
      <c r="BI61" s="10"/>
      <c r="BJ61" s="10"/>
      <c r="BK61" s="10"/>
      <c r="BL61" s="10"/>
      <c r="BM61" s="10"/>
      <c r="BN61" s="10"/>
      <c r="BO61" s="132"/>
    </row>
    <row r="62" spans="2:67" x14ac:dyDescent="0.25">
      <c r="K62" s="709"/>
      <c r="L62" s="709"/>
      <c r="M62" s="709"/>
      <c r="N62" s="709"/>
      <c r="O62" s="709"/>
      <c r="P62" s="709"/>
      <c r="Q62" s="709"/>
      <c r="R62" s="709"/>
      <c r="S62" s="709"/>
      <c r="T62" s="709"/>
      <c r="U62" s="709"/>
      <c r="V62" s="709"/>
      <c r="W62" s="709"/>
      <c r="X62" s="709"/>
      <c r="Y62" s="709"/>
      <c r="Z62" s="709"/>
      <c r="AA62" s="709"/>
      <c r="AB62" s="709"/>
      <c r="AC62" s="709"/>
      <c r="AD62" s="709"/>
      <c r="AE62" s="709"/>
      <c r="AF62" s="709"/>
      <c r="AG62" s="709"/>
      <c r="AH62" s="709"/>
      <c r="AI62" s="709"/>
      <c r="AJ62" s="709"/>
      <c r="AK62" s="709"/>
      <c r="AL62" s="709"/>
      <c r="AM62" s="709"/>
      <c r="AN62" s="709"/>
      <c r="AO62" s="709"/>
      <c r="AP62" s="709"/>
      <c r="AQ62" s="709"/>
    </row>
    <row r="63" spans="2:67" x14ac:dyDescent="0.25">
      <c r="K63" s="709"/>
      <c r="L63" s="709"/>
      <c r="M63" s="709"/>
      <c r="N63" s="709"/>
      <c r="O63" s="709"/>
      <c r="P63" s="709"/>
      <c r="Q63" s="709"/>
      <c r="R63" s="709"/>
      <c r="S63" s="709"/>
      <c r="T63" s="709"/>
      <c r="U63" s="709"/>
      <c r="V63" s="709"/>
      <c r="W63" s="709"/>
      <c r="X63" s="709"/>
      <c r="Y63" s="709"/>
      <c r="Z63" s="709"/>
      <c r="AA63" s="709"/>
      <c r="AB63" s="709"/>
      <c r="AC63" s="709"/>
      <c r="AD63" s="709"/>
      <c r="AE63" s="709"/>
      <c r="AF63" s="709"/>
      <c r="AG63" s="709"/>
      <c r="AH63" s="709"/>
      <c r="AI63" s="709"/>
      <c r="AJ63" s="709"/>
      <c r="AK63" s="709"/>
      <c r="AL63" s="709"/>
      <c r="AM63" s="709"/>
      <c r="AN63" s="709"/>
      <c r="AO63" s="709"/>
      <c r="AP63" s="709"/>
      <c r="AQ63" s="709"/>
    </row>
    <row r="64" spans="2:67" x14ac:dyDescent="0.25">
      <c r="K64" s="709"/>
      <c r="L64" s="709"/>
      <c r="M64" s="709"/>
      <c r="N64" s="709"/>
      <c r="O64" s="709"/>
      <c r="P64" s="709"/>
      <c r="Q64" s="709"/>
      <c r="R64" s="709"/>
      <c r="S64" s="709"/>
      <c r="T64" s="709"/>
      <c r="U64" s="709"/>
      <c r="V64" s="709"/>
      <c r="W64" s="709"/>
      <c r="X64" s="709"/>
      <c r="Y64" s="709"/>
      <c r="Z64" s="709"/>
      <c r="AA64" s="709"/>
      <c r="AB64" s="709"/>
      <c r="AC64" s="709"/>
      <c r="AD64" s="709"/>
      <c r="AE64" s="709"/>
      <c r="AF64" s="709"/>
      <c r="AG64" s="709"/>
      <c r="AH64" s="709"/>
      <c r="AI64" s="709"/>
      <c r="AJ64" s="709"/>
      <c r="AK64" s="709"/>
      <c r="AL64" s="709"/>
      <c r="AM64" s="709"/>
      <c r="AN64" s="709"/>
      <c r="AO64" s="709"/>
      <c r="AP64" s="709"/>
      <c r="AQ64" s="709"/>
    </row>
    <row r="65" spans="11:43" x14ac:dyDescent="0.25">
      <c r="K65" s="709"/>
      <c r="L65" s="709"/>
      <c r="M65" s="709"/>
      <c r="N65" s="709"/>
      <c r="O65" s="709"/>
      <c r="P65" s="709"/>
      <c r="Q65" s="709"/>
      <c r="R65" s="709"/>
      <c r="S65" s="709"/>
      <c r="T65" s="709"/>
      <c r="U65" s="709"/>
      <c r="V65" s="709"/>
      <c r="W65" s="709"/>
      <c r="X65" s="709"/>
      <c r="Y65" s="709"/>
      <c r="Z65" s="709"/>
      <c r="AA65" s="709"/>
      <c r="AB65" s="709"/>
      <c r="AC65" s="709"/>
      <c r="AD65" s="709"/>
      <c r="AE65" s="709"/>
      <c r="AF65" s="709"/>
      <c r="AG65" s="709"/>
      <c r="AH65" s="709"/>
      <c r="AI65" s="709"/>
      <c r="AJ65" s="709"/>
      <c r="AK65" s="709"/>
      <c r="AL65" s="709"/>
      <c r="AM65" s="709"/>
      <c r="AN65" s="709"/>
      <c r="AO65" s="709"/>
      <c r="AP65" s="709"/>
      <c r="AQ65" s="709"/>
    </row>
    <row r="66" spans="11:43" x14ac:dyDescent="0.25">
      <c r="K66" s="709"/>
      <c r="L66" s="709"/>
      <c r="M66" s="709"/>
      <c r="N66" s="709"/>
      <c r="O66" s="709"/>
      <c r="P66" s="709"/>
      <c r="Q66" s="709"/>
      <c r="R66" s="709"/>
      <c r="S66" s="709"/>
      <c r="T66" s="709"/>
      <c r="U66" s="709"/>
      <c r="V66" s="709"/>
      <c r="W66" s="709"/>
      <c r="X66" s="709"/>
      <c r="Y66" s="709"/>
      <c r="Z66" s="709"/>
      <c r="AA66" s="709"/>
      <c r="AB66" s="709"/>
      <c r="AC66" s="709"/>
      <c r="AD66" s="709"/>
      <c r="AE66" s="709"/>
      <c r="AF66" s="709"/>
      <c r="AG66" s="709"/>
      <c r="AH66" s="709"/>
      <c r="AI66" s="709"/>
      <c r="AJ66" s="709"/>
      <c r="AK66" s="709"/>
      <c r="AL66" s="709"/>
      <c r="AM66" s="709"/>
      <c r="AN66" s="709"/>
      <c r="AO66" s="709"/>
      <c r="AP66" s="709"/>
      <c r="AQ66" s="709"/>
    </row>
    <row r="67" spans="11:43" x14ac:dyDescent="0.25">
      <c r="K67" s="709"/>
      <c r="L67" s="709"/>
      <c r="M67" s="709"/>
      <c r="N67" s="709"/>
      <c r="O67" s="709"/>
      <c r="P67" s="709"/>
      <c r="Q67" s="709"/>
      <c r="R67" s="709"/>
      <c r="S67" s="709"/>
      <c r="T67" s="709"/>
      <c r="U67" s="709"/>
      <c r="V67" s="709"/>
      <c r="W67" s="709"/>
      <c r="X67" s="709"/>
      <c r="Y67" s="709"/>
      <c r="Z67" s="709"/>
      <c r="AA67" s="709"/>
      <c r="AB67" s="709"/>
      <c r="AC67" s="709"/>
      <c r="AD67" s="709"/>
      <c r="AE67" s="709"/>
      <c r="AF67" s="709"/>
      <c r="AG67" s="709"/>
      <c r="AH67" s="709"/>
      <c r="AI67" s="709"/>
      <c r="AJ67" s="709"/>
      <c r="AK67" s="709"/>
      <c r="AL67" s="709"/>
      <c r="AM67" s="709"/>
      <c r="AN67" s="709"/>
      <c r="AO67" s="709"/>
      <c r="AP67" s="709"/>
      <c r="AQ67" s="709"/>
    </row>
    <row r="68" spans="11:43" x14ac:dyDescent="0.25">
      <c r="K68" s="709"/>
      <c r="L68" s="709"/>
      <c r="M68" s="709"/>
      <c r="N68" s="709"/>
      <c r="O68" s="709"/>
      <c r="P68" s="709"/>
      <c r="Q68" s="709"/>
      <c r="R68" s="709"/>
      <c r="S68" s="709"/>
      <c r="T68" s="709"/>
      <c r="U68" s="709"/>
      <c r="V68" s="709"/>
      <c r="W68" s="709"/>
      <c r="X68" s="709"/>
      <c r="Y68" s="709"/>
      <c r="Z68" s="709"/>
      <c r="AA68" s="709"/>
      <c r="AB68" s="709"/>
      <c r="AC68" s="709"/>
      <c r="AD68" s="709"/>
      <c r="AE68" s="709"/>
      <c r="AF68" s="709"/>
      <c r="AG68" s="709"/>
      <c r="AH68" s="709"/>
      <c r="AI68" s="709"/>
      <c r="AJ68" s="709"/>
      <c r="AK68" s="709"/>
      <c r="AL68" s="709"/>
      <c r="AM68" s="709"/>
      <c r="AN68" s="709"/>
      <c r="AO68" s="709"/>
      <c r="AP68" s="709"/>
      <c r="AQ68" s="709"/>
    </row>
    <row r="69" spans="11:43" x14ac:dyDescent="0.25">
      <c r="K69" s="709"/>
      <c r="L69" s="709"/>
      <c r="M69" s="709"/>
      <c r="N69" s="709"/>
      <c r="O69" s="709"/>
      <c r="P69" s="709"/>
      <c r="Q69" s="709"/>
      <c r="R69" s="709"/>
      <c r="S69" s="709"/>
      <c r="T69" s="709"/>
      <c r="U69" s="709"/>
      <c r="V69" s="709"/>
      <c r="W69" s="709"/>
      <c r="X69" s="709"/>
      <c r="Y69" s="709"/>
      <c r="Z69" s="709"/>
      <c r="AA69" s="709"/>
      <c r="AB69" s="709"/>
      <c r="AC69" s="709"/>
      <c r="AD69" s="709"/>
      <c r="AE69" s="709"/>
      <c r="AF69" s="709"/>
      <c r="AG69" s="709"/>
      <c r="AH69" s="709"/>
      <c r="AI69" s="709"/>
      <c r="AJ69" s="709"/>
      <c r="AK69" s="709"/>
      <c r="AL69" s="709"/>
      <c r="AM69" s="709"/>
      <c r="AN69" s="709"/>
      <c r="AO69" s="709"/>
      <c r="AP69" s="709"/>
      <c r="AQ69" s="709"/>
    </row>
    <row r="70" spans="11:43" x14ac:dyDescent="0.25">
      <c r="K70" s="709"/>
      <c r="L70" s="709"/>
      <c r="M70" s="709"/>
      <c r="N70" s="709"/>
      <c r="O70" s="709"/>
      <c r="P70" s="709"/>
      <c r="Q70" s="709"/>
      <c r="R70" s="709"/>
      <c r="S70" s="709"/>
      <c r="T70" s="709"/>
      <c r="U70" s="709"/>
      <c r="V70" s="709"/>
      <c r="W70" s="709"/>
      <c r="X70" s="709"/>
      <c r="Y70" s="709"/>
      <c r="Z70" s="709"/>
      <c r="AA70" s="709"/>
      <c r="AB70" s="709"/>
      <c r="AC70" s="709"/>
      <c r="AD70" s="709"/>
      <c r="AE70" s="709"/>
      <c r="AF70" s="709"/>
      <c r="AG70" s="709"/>
      <c r="AH70" s="709"/>
      <c r="AI70" s="709"/>
      <c r="AJ70" s="709"/>
      <c r="AK70" s="709"/>
      <c r="AL70" s="709"/>
      <c r="AM70" s="709"/>
      <c r="AN70" s="709"/>
      <c r="AO70" s="709"/>
      <c r="AP70" s="709"/>
      <c r="AQ70" s="709"/>
    </row>
    <row r="71" spans="11:43" x14ac:dyDescent="0.25">
      <c r="K71" s="709"/>
      <c r="L71" s="709"/>
      <c r="M71" s="709"/>
      <c r="N71" s="709"/>
      <c r="O71" s="709"/>
      <c r="P71" s="709"/>
      <c r="Q71" s="709"/>
      <c r="R71" s="709"/>
      <c r="S71" s="709"/>
      <c r="T71" s="709"/>
      <c r="U71" s="709"/>
      <c r="V71" s="709"/>
      <c r="W71" s="709"/>
      <c r="X71" s="709"/>
      <c r="Y71" s="709"/>
      <c r="Z71" s="709"/>
      <c r="AA71" s="709"/>
      <c r="AB71" s="709"/>
      <c r="AC71" s="709"/>
      <c r="AD71" s="709"/>
      <c r="AE71" s="709"/>
      <c r="AF71" s="709"/>
      <c r="AG71" s="709"/>
      <c r="AH71" s="709"/>
      <c r="AI71" s="709"/>
      <c r="AJ71" s="709"/>
      <c r="AK71" s="709"/>
      <c r="AL71" s="709"/>
      <c r="AM71" s="709"/>
      <c r="AN71" s="709"/>
      <c r="AO71" s="709"/>
      <c r="AP71" s="709"/>
      <c r="AQ71" s="709"/>
    </row>
    <row r="72" spans="11:43" x14ac:dyDescent="0.25">
      <c r="K72" s="709"/>
      <c r="L72" s="709"/>
      <c r="M72" s="709"/>
      <c r="N72" s="709"/>
      <c r="O72" s="709"/>
      <c r="P72" s="709"/>
      <c r="Q72" s="709"/>
      <c r="R72" s="709"/>
      <c r="S72" s="709"/>
      <c r="T72" s="709"/>
      <c r="U72" s="709"/>
      <c r="V72" s="709"/>
      <c r="W72" s="709"/>
      <c r="X72" s="709"/>
      <c r="Y72" s="709"/>
      <c r="Z72" s="709"/>
      <c r="AA72" s="709"/>
      <c r="AB72" s="709"/>
      <c r="AC72" s="709"/>
      <c r="AD72" s="709"/>
      <c r="AE72" s="709"/>
      <c r="AF72" s="709"/>
      <c r="AG72" s="709"/>
      <c r="AH72" s="709"/>
      <c r="AI72" s="709"/>
      <c r="AJ72" s="709"/>
      <c r="AK72" s="709"/>
      <c r="AL72" s="709"/>
      <c r="AM72" s="709"/>
      <c r="AN72" s="709"/>
      <c r="AO72" s="709"/>
      <c r="AP72" s="709"/>
      <c r="AQ72" s="709"/>
    </row>
    <row r="73" spans="11:43" x14ac:dyDescent="0.25">
      <c r="K73" s="709"/>
      <c r="L73" s="709"/>
      <c r="M73" s="709"/>
      <c r="N73" s="709"/>
      <c r="O73" s="709"/>
      <c r="P73" s="709"/>
      <c r="Q73" s="709"/>
      <c r="R73" s="709"/>
      <c r="S73" s="709"/>
      <c r="T73" s="709"/>
      <c r="U73" s="709"/>
      <c r="V73" s="709"/>
      <c r="W73" s="709"/>
      <c r="X73" s="709"/>
      <c r="Y73" s="709"/>
      <c r="Z73" s="709"/>
      <c r="AA73" s="709"/>
      <c r="AB73" s="709"/>
      <c r="AC73" s="709"/>
      <c r="AD73" s="709"/>
      <c r="AE73" s="709"/>
      <c r="AF73" s="709"/>
      <c r="AG73" s="709"/>
      <c r="AH73" s="709"/>
      <c r="AI73" s="709"/>
      <c r="AJ73" s="709"/>
      <c r="AK73" s="709"/>
      <c r="AL73" s="709"/>
      <c r="AM73" s="709"/>
      <c r="AN73" s="709"/>
      <c r="AO73" s="709"/>
      <c r="AP73" s="709"/>
      <c r="AQ73" s="709"/>
    </row>
    <row r="74" spans="11:43" x14ac:dyDescent="0.25">
      <c r="K74" s="709"/>
      <c r="L74" s="709"/>
      <c r="M74" s="709"/>
      <c r="N74" s="709"/>
      <c r="O74" s="709"/>
      <c r="P74" s="709"/>
      <c r="Q74" s="709"/>
      <c r="R74" s="709"/>
      <c r="S74" s="709"/>
      <c r="T74" s="709"/>
      <c r="U74" s="709"/>
      <c r="V74" s="709"/>
      <c r="W74" s="709"/>
      <c r="X74" s="709"/>
      <c r="Y74" s="709"/>
      <c r="Z74" s="709"/>
      <c r="AA74" s="709"/>
      <c r="AB74" s="709"/>
      <c r="AC74" s="709"/>
      <c r="AD74" s="709"/>
      <c r="AE74" s="709"/>
      <c r="AF74" s="709"/>
      <c r="AG74" s="709"/>
      <c r="AH74" s="709"/>
      <c r="AI74" s="709"/>
      <c r="AJ74" s="709"/>
      <c r="AK74" s="709"/>
      <c r="AL74" s="709"/>
      <c r="AM74" s="709"/>
      <c r="AN74" s="709"/>
      <c r="AO74" s="709"/>
      <c r="AP74" s="709"/>
      <c r="AQ74" s="709"/>
    </row>
    <row r="75" spans="11:43" x14ac:dyDescent="0.25">
      <c r="K75" s="709"/>
      <c r="L75" s="709"/>
      <c r="M75" s="709"/>
      <c r="N75" s="709"/>
      <c r="O75" s="709"/>
      <c r="P75" s="709"/>
      <c r="Q75" s="709"/>
      <c r="R75" s="709"/>
      <c r="S75" s="709"/>
      <c r="T75" s="709"/>
      <c r="U75" s="709"/>
      <c r="V75" s="709"/>
      <c r="W75" s="709"/>
      <c r="X75" s="709"/>
      <c r="Y75" s="709"/>
      <c r="Z75" s="709"/>
      <c r="AA75" s="709"/>
      <c r="AB75" s="709"/>
      <c r="AC75" s="709"/>
      <c r="AD75" s="709"/>
      <c r="AE75" s="709"/>
      <c r="AF75" s="709"/>
      <c r="AG75" s="709"/>
      <c r="AH75" s="709"/>
      <c r="AI75" s="709"/>
      <c r="AJ75" s="709"/>
      <c r="AK75" s="709"/>
      <c r="AL75" s="709"/>
      <c r="AM75" s="709"/>
      <c r="AN75" s="709"/>
      <c r="AO75" s="709"/>
      <c r="AP75" s="709"/>
      <c r="AQ75" s="709"/>
    </row>
    <row r="76" spans="11:43" x14ac:dyDescent="0.25">
      <c r="K76" s="709"/>
      <c r="L76" s="709"/>
      <c r="M76" s="709"/>
      <c r="N76" s="709"/>
      <c r="O76" s="709"/>
      <c r="P76" s="709"/>
      <c r="Q76" s="709"/>
      <c r="R76" s="709"/>
      <c r="S76" s="709"/>
      <c r="T76" s="709"/>
      <c r="U76" s="709"/>
      <c r="V76" s="709"/>
      <c r="W76" s="709"/>
      <c r="X76" s="709"/>
      <c r="Y76" s="709"/>
      <c r="Z76" s="709"/>
      <c r="AA76" s="709"/>
      <c r="AB76" s="709"/>
      <c r="AC76" s="709"/>
      <c r="AD76" s="709"/>
      <c r="AE76" s="709"/>
      <c r="AF76" s="709"/>
      <c r="AG76" s="709"/>
      <c r="AH76" s="709"/>
      <c r="AI76" s="709"/>
      <c r="AJ76" s="709"/>
      <c r="AK76" s="709"/>
      <c r="AL76" s="709"/>
      <c r="AM76" s="709"/>
      <c r="AN76" s="709"/>
      <c r="AO76" s="709"/>
      <c r="AP76" s="709"/>
      <c r="AQ76" s="709"/>
    </row>
    <row r="77" spans="11:43" x14ac:dyDescent="0.25">
      <c r="K77" s="709"/>
      <c r="L77" s="709"/>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09"/>
      <c r="AJ77" s="709"/>
      <c r="AK77" s="709"/>
      <c r="AL77" s="709"/>
      <c r="AM77" s="709"/>
      <c r="AN77" s="709"/>
      <c r="AO77" s="709"/>
      <c r="AP77" s="709"/>
      <c r="AQ77" s="709"/>
    </row>
    <row r="78" spans="11:43" x14ac:dyDescent="0.25">
      <c r="K78" s="709"/>
      <c r="L78" s="709"/>
      <c r="M78" s="709"/>
      <c r="N78" s="709"/>
      <c r="O78" s="709"/>
      <c r="P78" s="709"/>
      <c r="Q78" s="709"/>
      <c r="R78" s="709"/>
      <c r="S78" s="709"/>
      <c r="T78" s="709"/>
      <c r="U78" s="709"/>
      <c r="V78" s="709"/>
      <c r="W78" s="709"/>
      <c r="X78" s="709"/>
      <c r="Y78" s="709"/>
      <c r="Z78" s="709"/>
      <c r="AA78" s="709"/>
      <c r="AB78" s="709"/>
      <c r="AC78" s="709"/>
      <c r="AD78" s="709"/>
      <c r="AE78" s="709"/>
      <c r="AF78" s="709"/>
      <c r="AG78" s="709"/>
      <c r="AH78" s="709"/>
      <c r="AI78" s="709"/>
      <c r="AJ78" s="709"/>
      <c r="AK78" s="709"/>
      <c r="AL78" s="709"/>
      <c r="AM78" s="709"/>
      <c r="AN78" s="709"/>
      <c r="AO78" s="709"/>
      <c r="AP78" s="709"/>
      <c r="AQ78" s="709"/>
    </row>
    <row r="79" spans="11:43" x14ac:dyDescent="0.25">
      <c r="K79" s="709"/>
      <c r="L79" s="709"/>
      <c r="M79" s="709"/>
      <c r="N79" s="709"/>
      <c r="O79" s="709"/>
      <c r="P79" s="709"/>
      <c r="Q79" s="709"/>
      <c r="R79" s="709"/>
      <c r="S79" s="709"/>
      <c r="T79" s="709"/>
      <c r="U79" s="709"/>
      <c r="V79" s="709"/>
      <c r="W79" s="709"/>
      <c r="X79" s="709"/>
      <c r="Y79" s="709"/>
      <c r="Z79" s="709"/>
      <c r="AA79" s="709"/>
      <c r="AB79" s="709"/>
      <c r="AC79" s="709"/>
      <c r="AD79" s="709"/>
      <c r="AE79" s="709"/>
      <c r="AF79" s="709"/>
      <c r="AG79" s="709"/>
      <c r="AH79" s="709"/>
      <c r="AI79" s="709"/>
      <c r="AJ79" s="709"/>
      <c r="AK79" s="709"/>
      <c r="AL79" s="709"/>
      <c r="AM79" s="709"/>
      <c r="AN79" s="709"/>
      <c r="AO79" s="709"/>
      <c r="AP79" s="709"/>
      <c r="AQ79" s="709"/>
    </row>
    <row r="80" spans="11:43" x14ac:dyDescent="0.25">
      <c r="K80" s="709"/>
      <c r="L80" s="709"/>
      <c r="M80" s="709"/>
      <c r="N80" s="709"/>
      <c r="O80" s="709"/>
      <c r="P80" s="709"/>
      <c r="Q80" s="709"/>
      <c r="R80" s="709"/>
      <c r="S80" s="709"/>
      <c r="T80" s="709"/>
      <c r="U80" s="709"/>
      <c r="V80" s="709"/>
      <c r="W80" s="709"/>
      <c r="X80" s="709"/>
      <c r="Y80" s="709"/>
      <c r="Z80" s="709"/>
      <c r="AA80" s="709"/>
      <c r="AB80" s="709"/>
      <c r="AC80" s="709"/>
      <c r="AD80" s="709"/>
      <c r="AE80" s="709"/>
      <c r="AF80" s="709"/>
      <c r="AG80" s="709"/>
      <c r="AH80" s="709"/>
      <c r="AI80" s="709"/>
      <c r="AJ80" s="709"/>
      <c r="AK80" s="709"/>
      <c r="AL80" s="709"/>
      <c r="AM80" s="709"/>
      <c r="AN80" s="709"/>
      <c r="AO80" s="709"/>
      <c r="AP80" s="709"/>
      <c r="AQ80" s="709"/>
    </row>
    <row r="81" spans="11:43" x14ac:dyDescent="0.25">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09"/>
      <c r="AJ81" s="709"/>
      <c r="AK81" s="709"/>
      <c r="AL81" s="709"/>
      <c r="AM81" s="709"/>
      <c r="AN81" s="709"/>
      <c r="AO81" s="709"/>
      <c r="AP81" s="709"/>
      <c r="AQ81" s="709"/>
    </row>
    <row r="82" spans="11:43" x14ac:dyDescent="0.25">
      <c r="K82" s="709"/>
      <c r="L82" s="709"/>
      <c r="M82" s="709"/>
      <c r="N82" s="709"/>
      <c r="O82" s="709"/>
      <c r="P82" s="709"/>
      <c r="Q82" s="709"/>
      <c r="R82" s="709"/>
      <c r="S82" s="709"/>
      <c r="T82" s="709"/>
      <c r="U82" s="709"/>
      <c r="V82" s="709"/>
      <c r="W82" s="709"/>
      <c r="X82" s="709"/>
      <c r="Y82" s="709"/>
      <c r="Z82" s="709"/>
      <c r="AA82" s="709"/>
      <c r="AB82" s="709"/>
      <c r="AC82" s="709"/>
      <c r="AD82" s="709"/>
      <c r="AE82" s="709"/>
      <c r="AF82" s="709"/>
      <c r="AG82" s="709"/>
      <c r="AH82" s="709"/>
      <c r="AI82" s="709"/>
      <c r="AJ82" s="709"/>
      <c r="AK82" s="709"/>
      <c r="AL82" s="709"/>
      <c r="AM82" s="709"/>
      <c r="AN82" s="709"/>
      <c r="AO82" s="709"/>
      <c r="AP82" s="709"/>
      <c r="AQ82" s="709"/>
    </row>
    <row r="83" spans="11:43" x14ac:dyDescent="0.25">
      <c r="K83" s="709"/>
      <c r="L83" s="709"/>
      <c r="M83" s="709"/>
      <c r="N83" s="709"/>
      <c r="O83" s="709"/>
      <c r="P83" s="709"/>
      <c r="Q83" s="709"/>
      <c r="R83" s="709"/>
      <c r="S83" s="709"/>
      <c r="T83" s="709"/>
      <c r="U83" s="709"/>
      <c r="V83" s="709"/>
      <c r="W83" s="709"/>
      <c r="X83" s="709"/>
      <c r="Y83" s="709"/>
      <c r="Z83" s="709"/>
      <c r="AA83" s="709"/>
      <c r="AB83" s="709"/>
      <c r="AC83" s="709"/>
      <c r="AD83" s="709"/>
      <c r="AE83" s="709"/>
      <c r="AF83" s="709"/>
      <c r="AG83" s="709"/>
      <c r="AH83" s="709"/>
      <c r="AI83" s="709"/>
      <c r="AJ83" s="709"/>
      <c r="AK83" s="709"/>
      <c r="AL83" s="709"/>
      <c r="AM83" s="709"/>
      <c r="AN83" s="709"/>
      <c r="AO83" s="709"/>
      <c r="AP83" s="709"/>
      <c r="AQ83" s="709"/>
    </row>
    <row r="84" spans="11:43" x14ac:dyDescent="0.25">
      <c r="K84" s="709"/>
      <c r="L84" s="709"/>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09"/>
      <c r="AN84" s="709"/>
      <c r="AO84" s="709"/>
      <c r="AP84" s="709"/>
      <c r="AQ84" s="709"/>
    </row>
    <row r="85" spans="11:43" x14ac:dyDescent="0.25">
      <c r="K85" s="709"/>
      <c r="L85" s="709"/>
      <c r="M85" s="709"/>
      <c r="N85" s="709"/>
      <c r="O85" s="709"/>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09"/>
      <c r="AN85" s="709"/>
      <c r="AO85" s="709"/>
      <c r="AP85" s="709"/>
      <c r="AQ85" s="709"/>
    </row>
    <row r="86" spans="11:43" x14ac:dyDescent="0.25">
      <c r="K86" s="709"/>
      <c r="L86" s="709"/>
      <c r="M86" s="709"/>
      <c r="N86" s="709"/>
      <c r="O86" s="709"/>
      <c r="P86" s="709"/>
      <c r="Q86" s="709"/>
      <c r="R86" s="709"/>
      <c r="S86" s="709"/>
      <c r="T86" s="709"/>
      <c r="U86" s="709"/>
      <c r="V86" s="709"/>
      <c r="W86" s="709"/>
      <c r="X86" s="709"/>
      <c r="Y86" s="709"/>
      <c r="Z86" s="709"/>
      <c r="AA86" s="709"/>
      <c r="AB86" s="709"/>
      <c r="AC86" s="709"/>
      <c r="AD86" s="709"/>
      <c r="AE86" s="709"/>
      <c r="AF86" s="709"/>
      <c r="AG86" s="709"/>
      <c r="AH86" s="709"/>
      <c r="AI86" s="709"/>
      <c r="AJ86" s="709"/>
      <c r="AK86" s="709"/>
      <c r="AL86" s="709"/>
      <c r="AM86" s="709"/>
      <c r="AN86" s="709"/>
      <c r="AO86" s="709"/>
      <c r="AP86" s="709"/>
      <c r="AQ86" s="709"/>
    </row>
    <row r="87" spans="11:43" x14ac:dyDescent="0.25">
      <c r="K87" s="709"/>
      <c r="L87" s="709"/>
      <c r="M87" s="709"/>
      <c r="N87" s="709"/>
      <c r="O87" s="709"/>
      <c r="P87" s="709"/>
      <c r="Q87" s="709"/>
      <c r="R87" s="709"/>
      <c r="S87" s="709"/>
      <c r="T87" s="709"/>
      <c r="U87" s="709"/>
      <c r="V87" s="709"/>
      <c r="W87" s="709"/>
      <c r="X87" s="709"/>
      <c r="Y87" s="709"/>
      <c r="Z87" s="709"/>
      <c r="AA87" s="709"/>
      <c r="AB87" s="709"/>
      <c r="AC87" s="709"/>
      <c r="AD87" s="709"/>
      <c r="AE87" s="709"/>
      <c r="AF87" s="709"/>
      <c r="AG87" s="709"/>
      <c r="AH87" s="709"/>
      <c r="AI87" s="709"/>
      <c r="AJ87" s="709"/>
      <c r="AK87" s="709"/>
      <c r="AL87" s="709"/>
      <c r="AM87" s="709"/>
      <c r="AN87" s="709"/>
      <c r="AO87" s="709"/>
      <c r="AP87" s="709"/>
      <c r="AQ87" s="709"/>
    </row>
    <row r="88" spans="11:43" x14ac:dyDescent="0.25">
      <c r="K88" s="709"/>
      <c r="L88" s="709"/>
      <c r="M88" s="709"/>
      <c r="N88" s="709"/>
      <c r="O88" s="709"/>
      <c r="P88" s="709"/>
      <c r="Q88" s="709"/>
      <c r="R88" s="709"/>
      <c r="S88" s="709"/>
      <c r="T88" s="709"/>
      <c r="U88" s="709"/>
      <c r="V88" s="709"/>
      <c r="W88" s="709"/>
      <c r="X88" s="709"/>
      <c r="Y88" s="709"/>
      <c r="Z88" s="709"/>
      <c r="AA88" s="709"/>
      <c r="AB88" s="709"/>
      <c r="AC88" s="709"/>
      <c r="AD88" s="709"/>
      <c r="AE88" s="709"/>
      <c r="AF88" s="709"/>
      <c r="AG88" s="709"/>
      <c r="AH88" s="709"/>
      <c r="AI88" s="709"/>
      <c r="AJ88" s="709"/>
      <c r="AK88" s="709"/>
      <c r="AL88" s="709"/>
      <c r="AM88" s="709"/>
      <c r="AN88" s="709"/>
      <c r="AO88" s="709"/>
      <c r="AP88" s="709"/>
      <c r="AQ88" s="709"/>
    </row>
    <row r="89" spans="11:43" x14ac:dyDescent="0.25">
      <c r="K89" s="709"/>
      <c r="L89" s="709"/>
      <c r="M89" s="709"/>
      <c r="N89" s="709"/>
      <c r="O89" s="709"/>
      <c r="P89" s="709"/>
      <c r="Q89" s="709"/>
      <c r="R89" s="709"/>
      <c r="S89" s="709"/>
      <c r="T89" s="709"/>
      <c r="U89" s="709"/>
      <c r="V89" s="709"/>
      <c r="W89" s="709"/>
      <c r="X89" s="709"/>
      <c r="Y89" s="709"/>
      <c r="Z89" s="709"/>
      <c r="AA89" s="709"/>
      <c r="AB89" s="709"/>
      <c r="AC89" s="709"/>
      <c r="AD89" s="709"/>
      <c r="AE89" s="709"/>
      <c r="AF89" s="709"/>
      <c r="AG89" s="709"/>
      <c r="AH89" s="709"/>
      <c r="AI89" s="709"/>
      <c r="AJ89" s="709"/>
      <c r="AK89" s="709"/>
      <c r="AL89" s="709"/>
      <c r="AM89" s="709"/>
      <c r="AN89" s="709"/>
      <c r="AO89" s="709"/>
      <c r="AP89" s="709"/>
      <c r="AQ89" s="709"/>
    </row>
    <row r="90" spans="11:43" x14ac:dyDescent="0.25">
      <c r="K90" s="709"/>
      <c r="L90" s="709"/>
      <c r="M90" s="709"/>
      <c r="N90" s="709"/>
      <c r="O90" s="709"/>
      <c r="P90" s="709"/>
      <c r="Q90" s="709"/>
      <c r="R90" s="709"/>
      <c r="S90" s="709"/>
      <c r="T90" s="709"/>
      <c r="U90" s="709"/>
      <c r="V90" s="709"/>
      <c r="W90" s="709"/>
      <c r="X90" s="709"/>
      <c r="Y90" s="709"/>
      <c r="Z90" s="709"/>
      <c r="AA90" s="709"/>
      <c r="AB90" s="709"/>
      <c r="AC90" s="709"/>
      <c r="AD90" s="709"/>
      <c r="AE90" s="709"/>
      <c r="AF90" s="709"/>
      <c r="AG90" s="709"/>
      <c r="AH90" s="709"/>
      <c r="AI90" s="709"/>
      <c r="AJ90" s="709"/>
      <c r="AK90" s="709"/>
      <c r="AL90" s="709"/>
      <c r="AM90" s="709"/>
      <c r="AN90" s="709"/>
      <c r="AO90" s="709"/>
      <c r="AP90" s="709"/>
      <c r="AQ90" s="709"/>
    </row>
    <row r="91" spans="11:43" x14ac:dyDescent="0.25">
      <c r="K91" s="709"/>
      <c r="L91" s="709"/>
      <c r="M91" s="709"/>
      <c r="N91" s="709"/>
      <c r="O91" s="709"/>
      <c r="P91" s="709"/>
      <c r="Q91" s="709"/>
      <c r="R91" s="709"/>
      <c r="S91" s="709"/>
      <c r="T91" s="709"/>
      <c r="U91" s="709"/>
      <c r="V91" s="709"/>
      <c r="W91" s="709"/>
      <c r="X91" s="709"/>
      <c r="Y91" s="709"/>
      <c r="Z91" s="709"/>
      <c r="AA91" s="709"/>
      <c r="AB91" s="709"/>
      <c r="AC91" s="709"/>
      <c r="AD91" s="709"/>
      <c r="AE91" s="709"/>
      <c r="AF91" s="709"/>
      <c r="AG91" s="709"/>
      <c r="AH91" s="709"/>
      <c r="AI91" s="709"/>
      <c r="AJ91" s="709"/>
      <c r="AK91" s="709"/>
      <c r="AL91" s="709"/>
      <c r="AM91" s="709"/>
      <c r="AN91" s="709"/>
      <c r="AO91" s="709"/>
      <c r="AP91" s="709"/>
      <c r="AQ91" s="709"/>
    </row>
    <row r="92" spans="11:43" x14ac:dyDescent="0.25">
      <c r="K92" s="709"/>
      <c r="L92" s="709"/>
      <c r="M92" s="709"/>
      <c r="N92" s="709"/>
      <c r="O92" s="709"/>
      <c r="P92" s="709"/>
      <c r="Q92" s="709"/>
      <c r="R92" s="709"/>
      <c r="S92" s="709"/>
      <c r="T92" s="709"/>
      <c r="U92" s="709"/>
      <c r="V92" s="709"/>
      <c r="W92" s="709"/>
      <c r="X92" s="709"/>
      <c r="Y92" s="709"/>
      <c r="Z92" s="709"/>
      <c r="AA92" s="709"/>
      <c r="AB92" s="709"/>
      <c r="AC92" s="709"/>
      <c r="AD92" s="709"/>
      <c r="AE92" s="709"/>
      <c r="AF92" s="709"/>
      <c r="AG92" s="709"/>
      <c r="AH92" s="709"/>
      <c r="AI92" s="709"/>
      <c r="AJ92" s="709"/>
      <c r="AK92" s="709"/>
      <c r="AL92" s="709"/>
      <c r="AM92" s="709"/>
      <c r="AN92" s="709"/>
      <c r="AO92" s="709"/>
      <c r="AP92" s="709"/>
      <c r="AQ92" s="709"/>
    </row>
    <row r="93" spans="11:43" x14ac:dyDescent="0.25">
      <c r="K93" s="709"/>
      <c r="L93" s="709"/>
      <c r="M93" s="709"/>
      <c r="N93" s="709"/>
      <c r="O93" s="709"/>
      <c r="P93" s="709"/>
      <c r="Q93" s="709"/>
      <c r="R93" s="709"/>
      <c r="S93" s="709"/>
      <c r="T93" s="709"/>
      <c r="U93" s="709"/>
      <c r="V93" s="709"/>
      <c r="W93" s="709"/>
      <c r="X93" s="709"/>
      <c r="Y93" s="709"/>
      <c r="Z93" s="709"/>
      <c r="AA93" s="709"/>
      <c r="AB93" s="709"/>
      <c r="AC93" s="709"/>
      <c r="AD93" s="709"/>
      <c r="AE93" s="709"/>
      <c r="AF93" s="709"/>
      <c r="AG93" s="709"/>
      <c r="AH93" s="709"/>
      <c r="AI93" s="709"/>
      <c r="AJ93" s="709"/>
      <c r="AK93" s="709"/>
      <c r="AL93" s="709"/>
      <c r="AM93" s="709"/>
      <c r="AN93" s="709"/>
      <c r="AO93" s="709"/>
      <c r="AP93" s="709"/>
      <c r="AQ93" s="709"/>
    </row>
    <row r="94" spans="11:43" x14ac:dyDescent="0.25">
      <c r="K94" s="709"/>
      <c r="L94" s="709"/>
      <c r="M94" s="709"/>
      <c r="N94" s="709"/>
      <c r="O94" s="709"/>
      <c r="P94" s="709"/>
      <c r="Q94" s="709"/>
      <c r="R94" s="709"/>
      <c r="S94" s="709"/>
      <c r="T94" s="709"/>
      <c r="U94" s="709"/>
      <c r="V94" s="709"/>
      <c r="W94" s="709"/>
      <c r="X94" s="709"/>
      <c r="Y94" s="709"/>
      <c r="Z94" s="709"/>
      <c r="AA94" s="709"/>
      <c r="AB94" s="709"/>
      <c r="AC94" s="709"/>
      <c r="AD94" s="709"/>
      <c r="AE94" s="709"/>
      <c r="AF94" s="709"/>
      <c r="AG94" s="709"/>
      <c r="AH94" s="709"/>
      <c r="AI94" s="709"/>
      <c r="AJ94" s="709"/>
      <c r="AK94" s="709"/>
      <c r="AL94" s="709"/>
      <c r="AM94" s="709"/>
      <c r="AN94" s="709"/>
      <c r="AO94" s="709"/>
      <c r="AP94" s="709"/>
      <c r="AQ94" s="709"/>
    </row>
    <row r="95" spans="11:43" x14ac:dyDescent="0.25">
      <c r="K95" s="709"/>
      <c r="L95" s="709"/>
      <c r="M95" s="709"/>
      <c r="N95" s="709"/>
      <c r="O95" s="709"/>
      <c r="P95" s="709"/>
      <c r="Q95" s="709"/>
      <c r="R95" s="709"/>
      <c r="S95" s="709"/>
      <c r="T95" s="709"/>
      <c r="U95" s="709"/>
      <c r="V95" s="709"/>
      <c r="W95" s="709"/>
      <c r="X95" s="709"/>
      <c r="Y95" s="709"/>
      <c r="Z95" s="709"/>
      <c r="AA95" s="709"/>
      <c r="AB95" s="709"/>
      <c r="AC95" s="709"/>
      <c r="AD95" s="709"/>
      <c r="AE95" s="709"/>
      <c r="AF95" s="709"/>
      <c r="AG95" s="709"/>
      <c r="AH95" s="709"/>
      <c r="AI95" s="709"/>
      <c r="AJ95" s="709"/>
      <c r="AK95" s="709"/>
      <c r="AL95" s="709"/>
      <c r="AM95" s="709"/>
      <c r="AN95" s="709"/>
      <c r="AO95" s="709"/>
      <c r="AP95" s="709"/>
      <c r="AQ95" s="709"/>
    </row>
    <row r="96" spans="11:43" x14ac:dyDescent="0.25">
      <c r="K96" s="710"/>
      <c r="L96" s="710"/>
      <c r="M96" s="710"/>
      <c r="N96" s="710"/>
      <c r="O96" s="710"/>
      <c r="P96" s="710"/>
      <c r="Q96" s="710"/>
      <c r="R96" s="710"/>
      <c r="S96" s="710"/>
      <c r="T96" s="710"/>
      <c r="U96" s="710"/>
      <c r="V96" s="710"/>
      <c r="W96" s="710"/>
      <c r="X96" s="710"/>
      <c r="Y96" s="710"/>
      <c r="Z96" s="710"/>
      <c r="AA96" s="710"/>
      <c r="AB96" s="710"/>
      <c r="AC96" s="710"/>
      <c r="AD96" s="710"/>
      <c r="AE96" s="710"/>
      <c r="AF96" s="710"/>
      <c r="AG96" s="710"/>
      <c r="AH96" s="710"/>
      <c r="AI96" s="710"/>
      <c r="AJ96" s="710"/>
      <c r="AK96" s="710"/>
      <c r="AL96" s="710"/>
      <c r="AM96" s="710"/>
      <c r="AN96" s="710"/>
      <c r="AO96" s="710"/>
      <c r="AP96" s="710"/>
      <c r="AQ96" s="710"/>
    </row>
    <row r="97" spans="11:43" x14ac:dyDescent="0.25">
      <c r="K97" s="709"/>
      <c r="L97" s="709"/>
      <c r="M97" s="709"/>
      <c r="N97" s="709"/>
      <c r="O97" s="709"/>
      <c r="P97" s="709"/>
      <c r="Q97" s="709"/>
      <c r="R97" s="709"/>
      <c r="S97" s="709"/>
      <c r="T97" s="709"/>
      <c r="U97" s="709"/>
      <c r="V97" s="709"/>
      <c r="W97" s="709"/>
      <c r="X97" s="709"/>
      <c r="Y97" s="709"/>
      <c r="Z97" s="709"/>
      <c r="AA97" s="709"/>
      <c r="AB97" s="709"/>
      <c r="AC97" s="709"/>
      <c r="AD97" s="709"/>
      <c r="AE97" s="709"/>
      <c r="AF97" s="709"/>
      <c r="AG97" s="709"/>
      <c r="AH97" s="709"/>
      <c r="AI97" s="709"/>
      <c r="AJ97" s="709"/>
      <c r="AK97" s="709"/>
      <c r="AL97" s="709"/>
      <c r="AM97" s="709"/>
      <c r="AN97" s="709"/>
      <c r="AO97" s="709"/>
      <c r="AP97" s="709"/>
      <c r="AQ97" s="709"/>
    </row>
    <row r="98" spans="11:43" x14ac:dyDescent="0.25">
      <c r="K98" s="709"/>
      <c r="L98" s="709"/>
      <c r="M98" s="709"/>
      <c r="N98" s="709"/>
      <c r="O98" s="709"/>
      <c r="P98" s="709"/>
      <c r="Q98" s="709"/>
      <c r="R98" s="709"/>
      <c r="S98" s="709"/>
      <c r="T98" s="709"/>
      <c r="U98" s="709"/>
      <c r="V98" s="709"/>
      <c r="W98" s="709"/>
      <c r="X98" s="709"/>
      <c r="Y98" s="709"/>
      <c r="Z98" s="709"/>
      <c r="AA98" s="709"/>
      <c r="AB98" s="709"/>
      <c r="AC98" s="709"/>
      <c r="AD98" s="709"/>
      <c r="AE98" s="709"/>
      <c r="AF98" s="709"/>
      <c r="AG98" s="709"/>
      <c r="AH98" s="709"/>
      <c r="AI98" s="709"/>
      <c r="AJ98" s="709"/>
      <c r="AK98" s="709"/>
      <c r="AL98" s="709"/>
      <c r="AM98" s="709"/>
      <c r="AN98" s="709"/>
      <c r="AO98" s="709"/>
      <c r="AP98" s="709"/>
      <c r="AQ98" s="709"/>
    </row>
    <row r="99" spans="11:43" x14ac:dyDescent="0.25">
      <c r="K99" s="709"/>
      <c r="L99" s="709"/>
      <c r="M99" s="709"/>
      <c r="N99" s="709"/>
      <c r="O99" s="709"/>
      <c r="P99" s="709"/>
      <c r="Q99" s="709"/>
      <c r="R99" s="709"/>
      <c r="S99" s="709"/>
      <c r="T99" s="709"/>
      <c r="U99" s="709"/>
      <c r="V99" s="709"/>
      <c r="W99" s="709"/>
      <c r="X99" s="709"/>
      <c r="Y99" s="709"/>
      <c r="Z99" s="709"/>
      <c r="AA99" s="709"/>
      <c r="AB99" s="709"/>
      <c r="AC99" s="709"/>
      <c r="AD99" s="709"/>
      <c r="AE99" s="709"/>
      <c r="AF99" s="709"/>
      <c r="AG99" s="709"/>
      <c r="AH99" s="709"/>
      <c r="AI99" s="709"/>
      <c r="AJ99" s="709"/>
      <c r="AK99" s="709"/>
      <c r="AL99" s="709"/>
      <c r="AM99" s="709"/>
      <c r="AN99" s="709"/>
      <c r="AO99" s="709"/>
      <c r="AP99" s="709"/>
      <c r="AQ99" s="709"/>
    </row>
    <row r="100" spans="11:43" x14ac:dyDescent="0.25">
      <c r="K100" s="710"/>
      <c r="L100" s="710"/>
      <c r="M100" s="710"/>
      <c r="N100" s="710"/>
      <c r="O100" s="710">
        <f>SUM(O4:O99)</f>
        <v>0</v>
      </c>
      <c r="P100" s="710"/>
      <c r="Q100" s="710"/>
      <c r="R100" s="710"/>
      <c r="S100" s="710"/>
      <c r="T100" s="710"/>
      <c r="U100" s="710"/>
      <c r="V100" s="710"/>
      <c r="W100" s="710"/>
      <c r="X100" s="710"/>
      <c r="Y100" s="710"/>
      <c r="Z100" s="710"/>
      <c r="AA100" s="710"/>
      <c r="AB100" s="710"/>
      <c r="AC100" s="710"/>
      <c r="AD100" s="710"/>
      <c r="AE100" s="710"/>
      <c r="AF100" s="710"/>
      <c r="AG100" s="710"/>
      <c r="AH100" s="710"/>
      <c r="AI100" s="710"/>
      <c r="AJ100" s="710"/>
      <c r="AK100" s="710"/>
      <c r="AL100" s="710"/>
      <c r="AM100" s="710"/>
      <c r="AN100" s="710"/>
      <c r="AO100" s="710"/>
      <c r="AP100" s="710"/>
      <c r="AQ100" s="710"/>
    </row>
    <row r="101" spans="11:43" x14ac:dyDescent="0.25">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1:43" ht="15.75" thickBot="1" x14ac:dyDescent="0.3">
      <c r="K102" s="162"/>
      <c r="L102" s="162"/>
      <c r="M102" s="162"/>
      <c r="N102" s="162"/>
      <c r="O102" s="162"/>
      <c r="P102" s="162"/>
      <c r="Q102" s="162"/>
      <c r="R102" s="162"/>
      <c r="S102" s="162"/>
      <c r="T102" s="162"/>
      <c r="U102" s="162"/>
      <c r="V102" s="162"/>
      <c r="W102" s="162"/>
      <c r="X102" s="162"/>
      <c r="Y102" s="162"/>
      <c r="Z102" s="162"/>
      <c r="AA102" s="162"/>
      <c r="AB102" s="162"/>
      <c r="AC102" s="162"/>
      <c r="AD102" s="162"/>
      <c r="AE102" s="162"/>
      <c r="AF102" s="162"/>
      <c r="AG102" s="162"/>
      <c r="AH102" s="162"/>
      <c r="AI102" s="162"/>
      <c r="AJ102" s="162"/>
      <c r="AK102" s="162"/>
      <c r="AL102" s="162"/>
      <c r="AM102" s="162"/>
      <c r="AN102" s="162"/>
      <c r="AO102" s="162"/>
      <c r="AP102" s="162"/>
      <c r="AQ102" s="162"/>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AE8D-5854-441A-A69C-1063C9E265CA}">
  <dimension ref="A1:AE32"/>
  <sheetViews>
    <sheetView workbookViewId="0">
      <selection activeCell="I7" sqref="I7"/>
    </sheetView>
  </sheetViews>
  <sheetFormatPr defaultRowHeight="15" x14ac:dyDescent="0.25"/>
  <sheetData>
    <row r="1" spans="1:31" ht="30.75" thickBot="1" x14ac:dyDescent="0.3">
      <c r="A1" s="377" t="s">
        <v>702</v>
      </c>
      <c r="H1" s="147"/>
      <c r="I1" s="146"/>
      <c r="J1" s="146"/>
      <c r="K1" s="146"/>
      <c r="L1" s="184" t="s">
        <v>321</v>
      </c>
      <c r="M1" s="146"/>
      <c r="N1" s="146"/>
      <c r="O1" s="146"/>
      <c r="P1" s="150" t="s">
        <v>527</v>
      </c>
      <c r="Q1" s="146"/>
      <c r="R1" s="146"/>
      <c r="S1" s="146"/>
      <c r="T1" s="148"/>
      <c r="U1" s="148"/>
      <c r="V1" s="151"/>
      <c r="W1" s="151"/>
      <c r="X1" s="148"/>
      <c r="Y1" s="148"/>
      <c r="Z1" s="151" t="s">
        <v>323</v>
      </c>
      <c r="AA1" s="148"/>
      <c r="AB1" s="148"/>
      <c r="AC1" s="148"/>
      <c r="AD1" s="148"/>
      <c r="AE1" s="149"/>
    </row>
    <row r="2" spans="1:31" ht="90.75" thickBot="1" x14ac:dyDescent="0.3">
      <c r="A2" s="39" t="s">
        <v>16</v>
      </c>
      <c r="B2" s="40" t="s">
        <v>17</v>
      </c>
      <c r="C2" s="120" t="s">
        <v>184</v>
      </c>
      <c r="D2" s="121" t="s">
        <v>185</v>
      </c>
      <c r="E2" s="41" t="s">
        <v>186</v>
      </c>
      <c r="F2" s="134" t="s">
        <v>187</v>
      </c>
      <c r="G2" s="41" t="s">
        <v>111</v>
      </c>
      <c r="H2" s="171">
        <v>45078</v>
      </c>
      <c r="I2" s="171">
        <v>45108</v>
      </c>
      <c r="J2" s="171">
        <v>45139</v>
      </c>
      <c r="K2" s="171">
        <v>45170</v>
      </c>
      <c r="L2" s="171">
        <v>45200</v>
      </c>
      <c r="M2" s="171">
        <v>45231</v>
      </c>
      <c r="N2" s="171">
        <v>45261</v>
      </c>
      <c r="O2" s="171">
        <v>45292</v>
      </c>
      <c r="P2" s="171">
        <v>45323</v>
      </c>
      <c r="Q2" s="171">
        <v>45352</v>
      </c>
      <c r="R2" s="171">
        <v>45383</v>
      </c>
      <c r="S2" s="171">
        <v>45413</v>
      </c>
      <c r="T2" s="171">
        <v>45444</v>
      </c>
      <c r="U2" s="171">
        <v>45474</v>
      </c>
      <c r="V2" s="171">
        <v>45505</v>
      </c>
      <c r="W2" s="171">
        <v>45536</v>
      </c>
      <c r="X2" s="171">
        <v>45566</v>
      </c>
      <c r="Y2" s="171">
        <v>45597</v>
      </c>
      <c r="Z2" s="171">
        <v>45627</v>
      </c>
      <c r="AA2" s="171">
        <v>45658</v>
      </c>
      <c r="AB2" s="171">
        <v>45689</v>
      </c>
      <c r="AC2" s="171">
        <v>45717</v>
      </c>
      <c r="AD2" s="171">
        <v>45748</v>
      </c>
      <c r="AE2" s="171">
        <v>45778</v>
      </c>
    </row>
    <row r="3" spans="1:31" x14ac:dyDescent="0.25">
      <c r="A3" s="8" t="s">
        <v>29</v>
      </c>
      <c r="B3" t="s">
        <v>170</v>
      </c>
      <c r="C3" s="19"/>
      <c r="D3" s="19">
        <f t="shared" ref="D3:D25" si="0">SUM(H3:AE3)</f>
        <v>0</v>
      </c>
      <c r="E3" s="19"/>
      <c r="F3" s="19">
        <f t="shared" ref="F3:F25" ca="1" si="1">SUMIF($I$3:$AF$3,"&lt;"&amp;TODAY(),$I3:$AF3)</f>
        <v>0</v>
      </c>
      <c r="G3" s="19"/>
      <c r="H3" s="173"/>
      <c r="I3" s="174"/>
      <c r="J3" s="174"/>
      <c r="K3" s="174"/>
      <c r="L3" s="174"/>
      <c r="M3" s="174"/>
      <c r="N3" s="174"/>
      <c r="O3" s="174"/>
      <c r="P3" s="174"/>
      <c r="Q3" s="174"/>
      <c r="R3" s="174"/>
      <c r="S3" s="174"/>
      <c r="T3" s="174"/>
      <c r="U3" s="174"/>
      <c r="V3" s="174"/>
      <c r="W3" s="174"/>
      <c r="X3" s="174"/>
      <c r="Y3" s="174"/>
      <c r="Z3" s="118"/>
      <c r="AA3" s="118"/>
      <c r="AB3" s="118"/>
      <c r="AC3" s="118"/>
      <c r="AD3" s="118"/>
      <c r="AE3" s="175"/>
    </row>
    <row r="4" spans="1:31" x14ac:dyDescent="0.25">
      <c r="A4" s="8"/>
      <c r="B4" t="s">
        <v>111</v>
      </c>
      <c r="C4" s="19"/>
      <c r="D4" s="19">
        <f t="shared" si="0"/>
        <v>0</v>
      </c>
      <c r="E4" s="19"/>
      <c r="F4" s="19">
        <f t="shared" ca="1" si="1"/>
        <v>0</v>
      </c>
      <c r="G4" s="19"/>
      <c r="H4" s="78"/>
      <c r="I4" s="2"/>
      <c r="J4" s="2"/>
      <c r="K4" s="2"/>
      <c r="L4" s="2"/>
      <c r="M4" s="2"/>
      <c r="N4" s="2"/>
      <c r="O4" s="2"/>
      <c r="P4" s="2"/>
      <c r="Q4" s="2"/>
      <c r="R4" s="2"/>
      <c r="S4" s="2"/>
      <c r="T4" s="2"/>
      <c r="U4" s="2"/>
      <c r="V4" s="2"/>
      <c r="W4" s="2"/>
      <c r="X4" s="2"/>
      <c r="Y4" s="2"/>
      <c r="AE4" s="131"/>
    </row>
    <row r="5" spans="1:31" x14ac:dyDescent="0.25">
      <c r="A5" s="13"/>
      <c r="B5" s="6" t="s">
        <v>32</v>
      </c>
      <c r="C5" s="20"/>
      <c r="D5" s="20">
        <f t="shared" si="0"/>
        <v>0</v>
      </c>
      <c r="E5" s="20"/>
      <c r="F5" s="20">
        <f t="shared" ca="1" si="1"/>
        <v>0</v>
      </c>
      <c r="G5" s="20"/>
      <c r="H5" s="78"/>
      <c r="I5" s="2"/>
      <c r="J5" s="2"/>
      <c r="K5" s="2"/>
      <c r="L5" s="2"/>
      <c r="M5" s="2"/>
      <c r="N5" s="2"/>
      <c r="O5" s="2"/>
      <c r="P5" s="2"/>
      <c r="Q5" s="2"/>
      <c r="R5" s="2"/>
      <c r="S5" s="2"/>
      <c r="T5" s="2"/>
      <c r="U5" s="2"/>
      <c r="V5" s="2"/>
      <c r="W5" s="2"/>
      <c r="X5" s="2"/>
      <c r="Y5" s="2"/>
      <c r="AE5" s="131"/>
    </row>
    <row r="6" spans="1:31" x14ac:dyDescent="0.25">
      <c r="A6" s="14" t="s">
        <v>35</v>
      </c>
      <c r="B6" s="15"/>
      <c r="C6" s="21"/>
      <c r="D6" s="21">
        <f t="shared" si="0"/>
        <v>0</v>
      </c>
      <c r="E6" s="21"/>
      <c r="F6" s="21">
        <f t="shared" ca="1" si="1"/>
        <v>0</v>
      </c>
      <c r="G6" s="21"/>
      <c r="H6" s="78"/>
      <c r="I6" s="2"/>
      <c r="J6" s="2"/>
      <c r="K6" s="2"/>
      <c r="L6" s="2"/>
      <c r="M6" s="2"/>
      <c r="N6" s="2"/>
      <c r="O6" s="2"/>
      <c r="P6" s="2"/>
      <c r="Q6" s="2"/>
      <c r="R6" s="2"/>
      <c r="S6" s="2"/>
      <c r="T6" s="2"/>
      <c r="U6" s="2"/>
      <c r="V6" s="2"/>
      <c r="W6" s="2"/>
      <c r="X6" s="2"/>
      <c r="Y6" s="2"/>
      <c r="AE6" s="131"/>
    </row>
    <row r="7" spans="1:31" x14ac:dyDescent="0.25">
      <c r="A7" s="14" t="s">
        <v>205</v>
      </c>
      <c r="B7" s="15"/>
      <c r="C7" s="21"/>
      <c r="D7" s="21">
        <f t="shared" si="0"/>
        <v>0</v>
      </c>
      <c r="E7" s="21"/>
      <c r="F7" s="21">
        <f t="shared" ca="1" si="1"/>
        <v>0</v>
      </c>
      <c r="G7" s="21"/>
      <c r="H7" s="78"/>
      <c r="I7" s="2"/>
      <c r="J7" s="2"/>
      <c r="K7" s="2"/>
      <c r="L7" s="2"/>
      <c r="M7" s="2"/>
      <c r="N7" s="2"/>
      <c r="O7" s="2"/>
      <c r="P7" s="2"/>
      <c r="Q7" s="2"/>
      <c r="R7" s="2"/>
      <c r="S7" s="2"/>
      <c r="T7" s="2"/>
      <c r="U7" s="2"/>
      <c r="V7" s="2"/>
      <c r="W7" s="2"/>
      <c r="X7" s="2"/>
      <c r="Y7" s="2"/>
      <c r="AE7" s="131"/>
    </row>
    <row r="8" spans="1:31" x14ac:dyDescent="0.25">
      <c r="A8" s="14" t="s">
        <v>40</v>
      </c>
      <c r="B8" s="15"/>
      <c r="C8" s="21"/>
      <c r="D8" s="21">
        <f t="shared" si="0"/>
        <v>0</v>
      </c>
      <c r="E8" s="21"/>
      <c r="F8" s="21">
        <f t="shared" ca="1" si="1"/>
        <v>0</v>
      </c>
      <c r="G8" s="21"/>
      <c r="H8" s="78"/>
      <c r="I8" s="2"/>
      <c r="K8" s="2"/>
      <c r="L8" s="2"/>
      <c r="M8" s="2"/>
      <c r="N8" s="2"/>
      <c r="O8" s="2"/>
      <c r="P8" s="2"/>
      <c r="Q8" s="2"/>
      <c r="R8" s="2"/>
      <c r="S8" s="2"/>
      <c r="T8" s="2"/>
      <c r="V8" s="2"/>
      <c r="W8" s="2"/>
      <c r="X8" s="2"/>
      <c r="Y8" s="2"/>
      <c r="Z8" s="2"/>
      <c r="AA8" s="2"/>
      <c r="AB8" s="2"/>
      <c r="AE8" s="131"/>
    </row>
    <row r="9" spans="1:31" x14ac:dyDescent="0.25">
      <c r="A9" s="14" t="s">
        <v>37</v>
      </c>
      <c r="B9" s="15"/>
      <c r="C9" s="21"/>
      <c r="D9" s="21">
        <f t="shared" si="0"/>
        <v>0</v>
      </c>
      <c r="E9" s="21"/>
      <c r="F9" s="21">
        <f t="shared" ca="1" si="1"/>
        <v>0</v>
      </c>
      <c r="G9" s="21"/>
      <c r="H9" s="78"/>
      <c r="I9" s="2"/>
      <c r="K9" s="2"/>
      <c r="L9" s="2"/>
      <c r="M9" s="2"/>
      <c r="N9" s="2"/>
      <c r="O9" s="2"/>
      <c r="P9" s="2"/>
      <c r="Q9" s="2"/>
      <c r="R9" s="2"/>
      <c r="S9" s="2"/>
      <c r="T9" s="2"/>
      <c r="U9" s="2"/>
      <c r="V9" s="2"/>
      <c r="W9" s="2"/>
      <c r="X9" s="2"/>
      <c r="Y9" s="2"/>
      <c r="AE9" s="131"/>
    </row>
    <row r="10" spans="1:31" x14ac:dyDescent="0.25">
      <c r="A10" s="16" t="s">
        <v>42</v>
      </c>
      <c r="B10" t="s">
        <v>43</v>
      </c>
      <c r="C10" s="19"/>
      <c r="D10" s="19">
        <f t="shared" si="0"/>
        <v>0</v>
      </c>
      <c r="E10" s="19"/>
      <c r="F10" s="19">
        <f t="shared" ca="1" si="1"/>
        <v>0</v>
      </c>
      <c r="G10" s="19"/>
      <c r="H10" s="78"/>
      <c r="I10" s="2"/>
      <c r="K10" s="2"/>
      <c r="L10" s="2"/>
      <c r="M10" s="2"/>
      <c r="N10" s="2"/>
      <c r="O10" s="2"/>
      <c r="P10" s="2"/>
      <c r="Q10" s="2"/>
      <c r="R10" s="2"/>
      <c r="S10" s="2"/>
      <c r="T10" s="2"/>
      <c r="U10" s="2"/>
      <c r="V10" s="2"/>
      <c r="W10" s="2"/>
      <c r="X10" s="2"/>
      <c r="Y10" s="2"/>
      <c r="AE10" s="131"/>
    </row>
    <row r="11" spans="1:31" x14ac:dyDescent="0.25">
      <c r="A11" s="16"/>
      <c r="B11" t="s">
        <v>44</v>
      </c>
      <c r="C11" s="19"/>
      <c r="D11" s="19">
        <f t="shared" si="0"/>
        <v>0</v>
      </c>
      <c r="E11" s="19"/>
      <c r="F11" s="19">
        <f t="shared" ca="1" si="1"/>
        <v>0</v>
      </c>
      <c r="G11" s="19"/>
      <c r="H11" s="78"/>
      <c r="I11" s="2"/>
      <c r="K11" s="2"/>
      <c r="L11" s="2"/>
      <c r="M11" s="2"/>
      <c r="N11" s="2"/>
      <c r="O11" s="2"/>
      <c r="P11" s="2"/>
      <c r="Q11" s="2"/>
      <c r="R11" s="2"/>
      <c r="S11" s="2"/>
      <c r="T11" s="2"/>
      <c r="U11" s="2"/>
      <c r="V11" s="2"/>
      <c r="W11" s="2"/>
      <c r="X11" s="2"/>
      <c r="Y11" s="2"/>
      <c r="AE11" s="131"/>
    </row>
    <row r="12" spans="1:31" x14ac:dyDescent="0.25">
      <c r="A12" s="16"/>
      <c r="B12" t="s">
        <v>46</v>
      </c>
      <c r="C12" s="19"/>
      <c r="D12" s="19">
        <f t="shared" si="0"/>
        <v>0</v>
      </c>
      <c r="E12" s="19"/>
      <c r="F12" s="19">
        <f t="shared" ca="1" si="1"/>
        <v>0</v>
      </c>
      <c r="G12" s="19"/>
      <c r="H12" s="78"/>
      <c r="I12" s="2"/>
      <c r="K12" s="2"/>
      <c r="L12" s="2"/>
      <c r="M12" s="2"/>
      <c r="N12" s="2"/>
      <c r="O12" s="2"/>
      <c r="P12" s="2"/>
      <c r="Q12" s="2"/>
      <c r="R12" s="2"/>
      <c r="S12" s="2"/>
      <c r="T12" s="2"/>
      <c r="U12" s="2"/>
      <c r="V12" s="2"/>
      <c r="W12" s="2"/>
      <c r="X12" s="2"/>
      <c r="Y12" s="2"/>
      <c r="AE12" s="131"/>
    </row>
    <row r="13" spans="1:31" x14ac:dyDescent="0.25">
      <c r="A13" s="16"/>
      <c r="B13" t="s">
        <v>47</v>
      </c>
      <c r="C13" s="19"/>
      <c r="D13" s="19">
        <f t="shared" si="0"/>
        <v>0</v>
      </c>
      <c r="E13" s="19"/>
      <c r="F13" s="19">
        <f t="shared" ca="1" si="1"/>
        <v>0</v>
      </c>
      <c r="G13" s="19"/>
      <c r="H13" s="78"/>
      <c r="I13" s="2"/>
      <c r="K13" s="2"/>
      <c r="L13" s="2"/>
      <c r="M13" s="2"/>
      <c r="N13" s="2"/>
      <c r="O13" s="2"/>
      <c r="P13" s="2"/>
      <c r="Q13" s="2"/>
      <c r="R13" s="2"/>
      <c r="S13" s="2"/>
      <c r="T13" s="2"/>
      <c r="U13" s="2"/>
      <c r="V13" s="2"/>
      <c r="W13" s="2"/>
      <c r="X13" s="2"/>
      <c r="Y13" s="2"/>
      <c r="AE13" s="131"/>
    </row>
    <row r="14" spans="1:31" x14ac:dyDescent="0.25">
      <c r="A14" s="16"/>
      <c r="B14" t="s">
        <v>48</v>
      </c>
      <c r="C14" s="19"/>
      <c r="D14" s="19">
        <f t="shared" si="0"/>
        <v>0</v>
      </c>
      <c r="E14" s="19"/>
      <c r="F14" s="19">
        <f t="shared" ca="1" si="1"/>
        <v>0</v>
      </c>
      <c r="G14" s="19"/>
      <c r="H14" s="78"/>
      <c r="I14" s="2"/>
      <c r="K14" s="2"/>
      <c r="L14" s="2"/>
      <c r="M14" s="2"/>
      <c r="N14" s="2"/>
      <c r="O14" s="2"/>
      <c r="P14" s="2"/>
      <c r="Q14" s="2"/>
      <c r="R14" s="2"/>
      <c r="S14" s="2"/>
      <c r="T14" s="2"/>
      <c r="U14" s="2"/>
      <c r="V14" s="2"/>
      <c r="W14" s="2"/>
      <c r="X14" s="2"/>
      <c r="Y14" s="2"/>
      <c r="AE14" s="131"/>
    </row>
    <row r="15" spans="1:31" x14ac:dyDescent="0.25">
      <c r="A15" s="16"/>
      <c r="B15" t="s">
        <v>171</v>
      </c>
      <c r="C15" s="19"/>
      <c r="D15" s="19">
        <f t="shared" si="0"/>
        <v>0</v>
      </c>
      <c r="E15" s="19"/>
      <c r="F15" s="19">
        <f t="shared" ca="1" si="1"/>
        <v>0</v>
      </c>
      <c r="G15" s="19"/>
      <c r="H15" s="78"/>
      <c r="I15" s="2"/>
      <c r="J15" s="2"/>
      <c r="K15" s="2"/>
      <c r="O15" s="2"/>
      <c r="P15" s="2"/>
      <c r="Q15" s="2"/>
      <c r="R15" s="2"/>
      <c r="S15" s="2"/>
      <c r="T15" s="2"/>
      <c r="U15" s="2"/>
      <c r="X15" s="2"/>
      <c r="Y15" s="2"/>
      <c r="Z15" s="2"/>
      <c r="AE15" s="131"/>
    </row>
    <row r="16" spans="1:31" x14ac:dyDescent="0.25">
      <c r="A16" s="16"/>
      <c r="B16" t="s">
        <v>172</v>
      </c>
      <c r="C16" s="19"/>
      <c r="D16" s="19">
        <f t="shared" si="0"/>
        <v>0</v>
      </c>
      <c r="E16" s="19"/>
      <c r="F16" s="19">
        <f t="shared" ca="1" si="1"/>
        <v>0</v>
      </c>
      <c r="G16" s="19"/>
      <c r="H16" s="78"/>
      <c r="I16" s="2"/>
      <c r="J16" s="2"/>
      <c r="K16" s="2"/>
      <c r="L16" s="2"/>
      <c r="M16" s="2"/>
      <c r="N16" s="2"/>
      <c r="O16" s="2"/>
      <c r="P16" s="2"/>
      <c r="Q16" s="2"/>
      <c r="R16" s="2"/>
      <c r="S16" s="2"/>
      <c r="T16" s="2"/>
      <c r="U16" s="2"/>
      <c r="V16" s="2"/>
      <c r="W16" s="2"/>
      <c r="X16" s="2"/>
      <c r="Y16" s="2"/>
      <c r="AE16" s="131"/>
    </row>
    <row r="17" spans="1:31" x14ac:dyDescent="0.25">
      <c r="A17" s="16"/>
      <c r="B17" t="s">
        <v>54</v>
      </c>
      <c r="C17" s="19"/>
      <c r="D17" s="19">
        <f t="shared" si="0"/>
        <v>0</v>
      </c>
      <c r="E17" s="19"/>
      <c r="F17" s="19">
        <f t="shared" ca="1" si="1"/>
        <v>0</v>
      </c>
      <c r="G17" s="19"/>
      <c r="H17" s="78"/>
      <c r="I17" s="2"/>
      <c r="J17" s="2"/>
      <c r="K17" s="2"/>
      <c r="L17" s="2"/>
      <c r="M17" s="2"/>
      <c r="N17" s="2"/>
      <c r="O17" s="2"/>
      <c r="P17" s="2"/>
      <c r="Q17" s="2"/>
      <c r="R17" s="2"/>
      <c r="S17" s="2"/>
      <c r="T17" s="2"/>
      <c r="U17" s="2"/>
      <c r="V17" s="2"/>
      <c r="W17" s="2"/>
      <c r="X17" s="2"/>
      <c r="Y17" s="2"/>
      <c r="AE17" s="131"/>
    </row>
    <row r="18" spans="1:31" x14ac:dyDescent="0.25">
      <c r="A18" s="16"/>
      <c r="B18" t="s">
        <v>56</v>
      </c>
      <c r="C18" s="19"/>
      <c r="D18" s="19">
        <f t="shared" si="0"/>
        <v>0</v>
      </c>
      <c r="E18" s="19"/>
      <c r="F18" s="19">
        <f t="shared" ca="1" si="1"/>
        <v>0</v>
      </c>
      <c r="G18" s="19"/>
      <c r="H18" s="78"/>
      <c r="I18" s="2"/>
      <c r="J18" s="2"/>
      <c r="K18" s="2"/>
      <c r="L18" s="2"/>
      <c r="M18" s="2"/>
      <c r="N18" s="2"/>
      <c r="O18" s="2"/>
      <c r="P18" s="2"/>
      <c r="Q18" s="2"/>
      <c r="R18" s="2"/>
      <c r="S18" s="2"/>
      <c r="T18" s="2"/>
      <c r="U18" s="2"/>
      <c r="V18" s="2"/>
      <c r="W18" s="2"/>
      <c r="X18" s="2"/>
      <c r="Y18" s="2"/>
      <c r="AE18" s="131"/>
    </row>
    <row r="19" spans="1:31" x14ac:dyDescent="0.25">
      <c r="A19" s="16"/>
      <c r="B19" t="s">
        <v>58</v>
      </c>
      <c r="C19" s="19"/>
      <c r="D19" s="19">
        <f t="shared" si="0"/>
        <v>0</v>
      </c>
      <c r="E19" s="19"/>
      <c r="F19" s="19">
        <f t="shared" ca="1" si="1"/>
        <v>0</v>
      </c>
      <c r="G19" s="19"/>
      <c r="H19" s="78"/>
      <c r="I19" s="2"/>
      <c r="K19" s="2"/>
      <c r="L19" s="2"/>
      <c r="M19" s="2"/>
      <c r="N19" s="2"/>
      <c r="O19" s="2"/>
      <c r="P19" s="2"/>
      <c r="Q19" s="2"/>
      <c r="R19" s="2"/>
      <c r="S19" s="2"/>
      <c r="T19" s="2"/>
      <c r="U19" s="2"/>
      <c r="W19" s="2"/>
      <c r="X19" s="2"/>
      <c r="Y19" s="2"/>
      <c r="AE19" s="131"/>
    </row>
    <row r="20" spans="1:31" x14ac:dyDescent="0.25">
      <c r="A20" s="16"/>
      <c r="B20" t="s">
        <v>59</v>
      </c>
      <c r="C20" s="19"/>
      <c r="D20" s="19">
        <f t="shared" si="0"/>
        <v>0</v>
      </c>
      <c r="E20" s="19"/>
      <c r="F20" s="19">
        <f t="shared" ca="1" si="1"/>
        <v>0</v>
      </c>
      <c r="G20" s="19"/>
      <c r="H20" s="78"/>
      <c r="I20" s="2"/>
      <c r="J20" s="2"/>
      <c r="K20" s="2"/>
      <c r="L20" s="2"/>
      <c r="M20" s="2"/>
      <c r="N20" s="2"/>
      <c r="O20" s="2"/>
      <c r="P20" s="2"/>
      <c r="Q20" s="2"/>
      <c r="R20" s="2"/>
      <c r="S20" s="2"/>
      <c r="T20" s="2"/>
      <c r="U20" s="2"/>
      <c r="V20" s="2"/>
      <c r="W20" s="2"/>
      <c r="X20" s="2"/>
      <c r="Y20" s="2"/>
      <c r="AE20" s="131"/>
    </row>
    <row r="21" spans="1:31" x14ac:dyDescent="0.25">
      <c r="A21" s="16"/>
      <c r="B21" t="s">
        <v>60</v>
      </c>
      <c r="C21" s="19"/>
      <c r="D21" s="19">
        <f t="shared" si="0"/>
        <v>0</v>
      </c>
      <c r="E21" s="19"/>
      <c r="F21" s="19">
        <f t="shared" ca="1" si="1"/>
        <v>0</v>
      </c>
      <c r="G21" s="19"/>
      <c r="H21" s="78"/>
      <c r="I21" s="2"/>
      <c r="J21" s="2"/>
      <c r="K21" s="2"/>
      <c r="L21" s="2"/>
      <c r="M21" s="2"/>
      <c r="N21" s="2"/>
      <c r="O21" s="2"/>
      <c r="P21" s="2"/>
      <c r="Q21" s="2"/>
      <c r="R21" s="2"/>
      <c r="S21" s="2"/>
      <c r="T21" s="2"/>
      <c r="U21" s="2"/>
      <c r="V21" s="2"/>
      <c r="W21" s="2"/>
      <c r="X21" s="2"/>
      <c r="Y21" s="2"/>
      <c r="AE21" s="131"/>
    </row>
    <row r="22" spans="1:31" x14ac:dyDescent="0.25">
      <c r="A22" s="16"/>
      <c r="B22" t="s">
        <v>61</v>
      </c>
      <c r="C22" s="19"/>
      <c r="D22" s="19">
        <f t="shared" si="0"/>
        <v>0</v>
      </c>
      <c r="E22" s="19"/>
      <c r="F22" s="19">
        <f t="shared" ca="1" si="1"/>
        <v>0</v>
      </c>
      <c r="G22" s="19"/>
      <c r="H22" s="78"/>
      <c r="I22" s="2"/>
      <c r="J22" s="2"/>
      <c r="K22" s="2"/>
      <c r="L22" s="2"/>
      <c r="M22" s="2"/>
      <c r="N22" s="2"/>
      <c r="O22" s="2"/>
      <c r="P22" s="2"/>
      <c r="Q22" s="2"/>
      <c r="R22" s="2"/>
      <c r="S22" s="2"/>
      <c r="T22" s="2"/>
      <c r="U22" s="2"/>
      <c r="V22" s="2"/>
      <c r="W22" s="2"/>
      <c r="X22" s="2"/>
      <c r="Y22" s="2"/>
      <c r="AE22" s="131"/>
    </row>
    <row r="23" spans="1:31" x14ac:dyDescent="0.25">
      <c r="A23" s="16"/>
      <c r="B23" t="s">
        <v>64</v>
      </c>
      <c r="C23" s="19"/>
      <c r="D23" s="19">
        <f t="shared" si="0"/>
        <v>0</v>
      </c>
      <c r="E23" s="19"/>
      <c r="F23" s="19">
        <f t="shared" ca="1" si="1"/>
        <v>0</v>
      </c>
      <c r="G23" s="19"/>
      <c r="H23" s="78"/>
      <c r="I23" s="2"/>
      <c r="J23" s="2"/>
      <c r="K23" s="2"/>
      <c r="L23" s="2"/>
      <c r="M23" s="2"/>
      <c r="N23" s="2"/>
      <c r="O23" s="2"/>
      <c r="P23" s="2"/>
      <c r="Q23" s="2"/>
      <c r="R23" s="2"/>
      <c r="S23" s="2"/>
      <c r="T23" s="2"/>
      <c r="U23" s="2"/>
      <c r="V23" s="2"/>
      <c r="W23" s="2"/>
      <c r="X23" s="2"/>
      <c r="Y23" s="2"/>
      <c r="AE23" s="131"/>
    </row>
    <row r="24" spans="1:31" x14ac:dyDescent="0.25">
      <c r="A24" s="16"/>
      <c r="B24" t="s">
        <v>174</v>
      </c>
      <c r="C24" s="19"/>
      <c r="D24" s="19">
        <f t="shared" si="0"/>
        <v>0</v>
      </c>
      <c r="E24" s="19"/>
      <c r="F24" s="19">
        <f t="shared" ca="1" si="1"/>
        <v>0</v>
      </c>
      <c r="G24" s="19"/>
      <c r="H24" s="78"/>
      <c r="I24" s="2"/>
      <c r="J24" s="2"/>
      <c r="K24" s="2"/>
      <c r="L24" s="2"/>
      <c r="M24" s="2"/>
      <c r="N24" s="2"/>
      <c r="O24" s="2"/>
      <c r="P24" s="2"/>
      <c r="Q24" s="2"/>
      <c r="R24" s="2"/>
      <c r="S24" s="2"/>
      <c r="T24" s="2"/>
      <c r="U24" s="2"/>
      <c r="V24" s="2"/>
      <c r="W24" s="2"/>
      <c r="X24" s="2"/>
      <c r="Y24" s="2"/>
      <c r="AE24" s="131"/>
    </row>
    <row r="25" spans="1:31" x14ac:dyDescent="0.25">
      <c r="A25" s="17"/>
      <c r="B25" s="6" t="s">
        <v>212</v>
      </c>
      <c r="C25" s="20"/>
      <c r="D25" s="20">
        <f t="shared" si="0"/>
        <v>0</v>
      </c>
      <c r="E25" s="20"/>
      <c r="F25" s="20">
        <f t="shared" ca="1" si="1"/>
        <v>0</v>
      </c>
      <c r="G25" s="19"/>
      <c r="H25" s="78"/>
      <c r="I25" s="2"/>
      <c r="J25" s="2"/>
      <c r="K25" s="2"/>
      <c r="L25" s="2"/>
      <c r="M25" s="2"/>
      <c r="N25" s="2"/>
      <c r="O25" s="2"/>
      <c r="P25" s="2"/>
      <c r="Q25" s="2"/>
      <c r="R25" s="2"/>
      <c r="S25" s="2"/>
      <c r="T25" s="2"/>
      <c r="U25" s="2"/>
      <c r="V25" s="2"/>
      <c r="W25" s="2"/>
      <c r="X25" s="2"/>
      <c r="Y25" s="2"/>
      <c r="AE25" s="131"/>
    </row>
    <row r="26" spans="1:31" x14ac:dyDescent="0.25">
      <c r="A26" s="14" t="s">
        <v>93</v>
      </c>
      <c r="B26" s="15" t="s">
        <v>94</v>
      </c>
      <c r="C26" s="20"/>
      <c r="D26" s="20">
        <f ca="1">SUMIF($I$3:$AF$3,"&gt;"&amp;TODAY(),$I$27:$AF$27)</f>
        <v>0</v>
      </c>
      <c r="E26" s="20"/>
      <c r="F26" s="176" t="s">
        <v>199</v>
      </c>
      <c r="G26" s="80"/>
      <c r="H26" s="80">
        <f t="shared" ref="H26:AE26" si="2">SUM(H8:H25)*0.1</f>
        <v>0</v>
      </c>
      <c r="I26" s="136">
        <f t="shared" si="2"/>
        <v>0</v>
      </c>
      <c r="J26" s="136">
        <f t="shared" si="2"/>
        <v>0</v>
      </c>
      <c r="K26" s="136">
        <f t="shared" si="2"/>
        <v>0</v>
      </c>
      <c r="L26" s="136">
        <f t="shared" si="2"/>
        <v>0</v>
      </c>
      <c r="M26" s="136">
        <f t="shared" si="2"/>
        <v>0</v>
      </c>
      <c r="N26" s="136">
        <f t="shared" si="2"/>
        <v>0</v>
      </c>
      <c r="O26" s="136">
        <f t="shared" si="2"/>
        <v>0</v>
      </c>
      <c r="P26" s="136">
        <f t="shared" si="2"/>
        <v>0</v>
      </c>
      <c r="Q26" s="136">
        <f t="shared" si="2"/>
        <v>0</v>
      </c>
      <c r="R26" s="136">
        <f t="shared" si="2"/>
        <v>0</v>
      </c>
      <c r="S26" s="136">
        <f t="shared" si="2"/>
        <v>0</v>
      </c>
      <c r="T26" s="136">
        <f t="shared" si="2"/>
        <v>0</v>
      </c>
      <c r="U26" s="136">
        <f t="shared" si="2"/>
        <v>0</v>
      </c>
      <c r="V26" s="136">
        <f t="shared" si="2"/>
        <v>0</v>
      </c>
      <c r="W26" s="136">
        <f t="shared" si="2"/>
        <v>0</v>
      </c>
      <c r="X26" s="136">
        <f t="shared" si="2"/>
        <v>0</v>
      </c>
      <c r="Y26" s="136">
        <f t="shared" si="2"/>
        <v>0</v>
      </c>
      <c r="Z26" s="136">
        <f t="shared" si="2"/>
        <v>0</v>
      </c>
      <c r="AA26" s="136">
        <f t="shared" si="2"/>
        <v>0</v>
      </c>
      <c r="AB26" s="136">
        <f t="shared" si="2"/>
        <v>0</v>
      </c>
      <c r="AC26" s="136">
        <f t="shared" si="2"/>
        <v>0</v>
      </c>
      <c r="AD26" s="136">
        <f t="shared" si="2"/>
        <v>0</v>
      </c>
      <c r="AE26" s="140">
        <f t="shared" si="2"/>
        <v>0</v>
      </c>
    </row>
    <row r="27" spans="1:31" x14ac:dyDescent="0.25">
      <c r="A27" s="14" t="s">
        <v>148</v>
      </c>
      <c r="B27" s="15"/>
      <c r="C27" s="21"/>
      <c r="D27" s="21">
        <f>SUM(H27:AE27)</f>
        <v>0</v>
      </c>
      <c r="E27" s="21"/>
      <c r="F27" s="20">
        <f ca="1">SUMIF($I$3:$AF$3,"&lt;"&amp;TODAY(),$I27:$AF27)</f>
        <v>0</v>
      </c>
      <c r="G27" s="20"/>
      <c r="H27" s="78"/>
      <c r="I27" s="2"/>
      <c r="J27" s="2"/>
      <c r="K27" s="2"/>
      <c r="L27" s="2"/>
      <c r="M27" s="2"/>
      <c r="N27" s="2"/>
      <c r="O27" s="2"/>
      <c r="P27" s="2"/>
      <c r="Q27" s="2"/>
      <c r="R27" s="2"/>
      <c r="S27" s="2"/>
      <c r="T27" s="2"/>
      <c r="U27" s="2"/>
      <c r="V27" s="2"/>
      <c r="W27" s="2"/>
      <c r="X27" s="2"/>
      <c r="Y27" s="2"/>
      <c r="AE27" s="131"/>
    </row>
    <row r="28" spans="1:31" x14ac:dyDescent="0.25">
      <c r="A28" s="14" t="s">
        <v>95</v>
      </c>
      <c r="B28" s="15"/>
      <c r="C28" s="21"/>
      <c r="D28" s="21">
        <f>SUM(H28:AE28)</f>
        <v>0</v>
      </c>
      <c r="E28" s="21"/>
      <c r="F28" s="20">
        <f ca="1">SUMIF($I$3:$AF$3,"&lt;"&amp;TODAY(),$I28:$AF28)</f>
        <v>0</v>
      </c>
      <c r="G28" s="21"/>
      <c r="H28" s="78"/>
      <c r="I28" s="2"/>
      <c r="J28" s="2"/>
      <c r="K28" s="2"/>
      <c r="L28" s="2"/>
      <c r="M28" s="2"/>
      <c r="N28" s="2"/>
      <c r="O28" s="2"/>
      <c r="P28" s="2"/>
      <c r="Q28" s="2"/>
      <c r="R28" s="2"/>
      <c r="V28" s="2"/>
      <c r="W28" s="2"/>
      <c r="X28" s="2"/>
      <c r="Y28" s="2"/>
      <c r="Z28" s="2"/>
      <c r="AA28" s="2"/>
      <c r="AE28" s="131"/>
    </row>
    <row r="29" spans="1:31" ht="15.75" thickBot="1" x14ac:dyDescent="0.3">
      <c r="A29" s="8" t="s">
        <v>97</v>
      </c>
      <c r="B29" t="s">
        <v>213</v>
      </c>
      <c r="C29" s="19"/>
      <c r="D29" s="21">
        <f>SUM(H29:AE29)</f>
        <v>0</v>
      </c>
      <c r="E29" s="19"/>
      <c r="F29" s="20">
        <f ca="1">SUMIF($I$3:$AF$3,"&lt;"&amp;TODAY(),$I29:$AF29)</f>
        <v>0</v>
      </c>
      <c r="G29" s="19"/>
      <c r="H29" s="78"/>
      <c r="I29" s="2"/>
      <c r="J29" s="2"/>
      <c r="K29" s="2"/>
      <c r="L29" s="2"/>
      <c r="M29" s="2"/>
      <c r="N29" s="2"/>
      <c r="O29" s="2"/>
      <c r="P29" s="2"/>
      <c r="Q29" s="2"/>
      <c r="R29" s="2"/>
      <c r="V29" s="2"/>
      <c r="W29" s="2"/>
      <c r="X29" s="2"/>
      <c r="Y29" s="2"/>
      <c r="Z29" s="2"/>
      <c r="AA29" s="2"/>
      <c r="AE29" s="131"/>
    </row>
    <row r="30" spans="1:31" ht="15.75" thickBot="1" x14ac:dyDescent="0.3">
      <c r="A30" s="11" t="s">
        <v>98</v>
      </c>
      <c r="B30" s="12"/>
      <c r="C30" s="22"/>
      <c r="D30" s="22">
        <f ca="1">SUM(D3:D29)</f>
        <v>0</v>
      </c>
      <c r="E30" s="22">
        <f>SUM(E3:E29)</f>
        <v>0</v>
      </c>
      <c r="F30" s="22">
        <f ca="1">SUM(F3:F29)</f>
        <v>0</v>
      </c>
      <c r="G30" s="22"/>
      <c r="H30" s="81">
        <f t="shared" ref="H30:AE30" si="3">SUM(H3:H29)</f>
        <v>0</v>
      </c>
      <c r="I30" s="155">
        <f t="shared" si="3"/>
        <v>0</v>
      </c>
      <c r="J30" s="155">
        <f t="shared" si="3"/>
        <v>0</v>
      </c>
      <c r="K30" s="155">
        <f t="shared" si="3"/>
        <v>0</v>
      </c>
      <c r="L30" s="155">
        <f t="shared" si="3"/>
        <v>0</v>
      </c>
      <c r="M30" s="155">
        <f t="shared" si="3"/>
        <v>0</v>
      </c>
      <c r="N30" s="155">
        <f t="shared" si="3"/>
        <v>0</v>
      </c>
      <c r="O30" s="155">
        <f t="shared" si="3"/>
        <v>0</v>
      </c>
      <c r="P30" s="155">
        <f t="shared" si="3"/>
        <v>0</v>
      </c>
      <c r="Q30" s="155">
        <f t="shared" si="3"/>
        <v>0</v>
      </c>
      <c r="R30" s="155">
        <f t="shared" si="3"/>
        <v>0</v>
      </c>
      <c r="S30" s="155">
        <f t="shared" si="3"/>
        <v>0</v>
      </c>
      <c r="T30" s="155">
        <f t="shared" si="3"/>
        <v>0</v>
      </c>
      <c r="U30" s="155">
        <f t="shared" si="3"/>
        <v>0</v>
      </c>
      <c r="V30" s="155">
        <f t="shared" si="3"/>
        <v>0</v>
      </c>
      <c r="W30" s="155">
        <f t="shared" si="3"/>
        <v>0</v>
      </c>
      <c r="X30" s="155">
        <f t="shared" si="3"/>
        <v>0</v>
      </c>
      <c r="Y30" s="155">
        <f t="shared" si="3"/>
        <v>0</v>
      </c>
      <c r="Z30" s="155">
        <f t="shared" si="3"/>
        <v>0</v>
      </c>
      <c r="AA30" s="155">
        <f t="shared" si="3"/>
        <v>0</v>
      </c>
      <c r="AB30" s="155">
        <f t="shared" si="3"/>
        <v>0</v>
      </c>
      <c r="AC30" s="155">
        <f t="shared" si="3"/>
        <v>0</v>
      </c>
      <c r="AD30" s="155">
        <f t="shared" si="3"/>
        <v>0</v>
      </c>
      <c r="AE30" s="156">
        <f t="shared" si="3"/>
        <v>0</v>
      </c>
    </row>
    <row r="31" spans="1:31" ht="15.75" thickBot="1" x14ac:dyDescent="0.3">
      <c r="A31" s="9" t="s">
        <v>176</v>
      </c>
      <c r="B31" s="183"/>
      <c r="C31" s="36"/>
      <c r="D31" s="36"/>
      <c r="E31" s="36"/>
      <c r="F31" s="36"/>
      <c r="G31" s="36"/>
      <c r="H31" s="78"/>
      <c r="I31" s="2"/>
      <c r="J31" s="2"/>
      <c r="K31" s="2"/>
      <c r="L31" s="2"/>
      <c r="M31" s="2"/>
      <c r="N31" s="2"/>
      <c r="O31" s="2"/>
      <c r="P31" s="2"/>
      <c r="Q31" s="2"/>
      <c r="R31" s="2"/>
      <c r="S31" s="2"/>
      <c r="T31" s="2"/>
      <c r="U31" s="2"/>
      <c r="V31" s="2"/>
      <c r="W31" s="2"/>
      <c r="X31" s="2"/>
      <c r="Y31" s="2"/>
      <c r="AE31" s="131"/>
    </row>
    <row r="32" spans="1:31" ht="15.75" thickBot="1" x14ac:dyDescent="0.3">
      <c r="A32" s="35" t="s">
        <v>100</v>
      </c>
      <c r="B32" s="10"/>
      <c r="C32" s="23"/>
      <c r="D32" s="23" t="e">
        <f ca="1">D30/$C$32</f>
        <v>#DIV/0!</v>
      </c>
      <c r="E32" s="23" t="e">
        <f>E30/$C$32</f>
        <v>#DIV/0!</v>
      </c>
      <c r="F32" s="23" t="e">
        <f ca="1">F30/$C$32</f>
        <v>#DIV/0!</v>
      </c>
      <c r="G32" s="23"/>
      <c r="H32" s="9"/>
      <c r="I32" s="10"/>
      <c r="J32" s="10"/>
      <c r="K32" s="10"/>
      <c r="L32" s="10"/>
      <c r="M32" s="10"/>
      <c r="N32" s="10"/>
      <c r="O32" s="10"/>
      <c r="P32" s="10"/>
      <c r="Q32" s="10"/>
      <c r="R32" s="10"/>
      <c r="S32" s="10"/>
      <c r="T32" s="10"/>
      <c r="U32" s="10"/>
      <c r="V32" s="10"/>
      <c r="W32" s="10"/>
      <c r="X32" s="10"/>
      <c r="Y32" s="10"/>
      <c r="Z32" s="10"/>
      <c r="AA32" s="10"/>
      <c r="AB32" s="10"/>
      <c r="AC32" s="10"/>
      <c r="AD32" s="10"/>
      <c r="AE32" s="13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4C2D6-0164-4541-AD3D-AE69AB6B0CA9}">
  <sheetPr>
    <pageSetUpPr fitToPage="1"/>
  </sheetPr>
  <dimension ref="B1:AF41"/>
  <sheetViews>
    <sheetView zoomScale="85" zoomScaleNormal="85" workbookViewId="0">
      <selection activeCell="I26" sqref="I26"/>
    </sheetView>
  </sheetViews>
  <sheetFormatPr defaultRowHeight="15" x14ac:dyDescent="0.25"/>
  <cols>
    <col min="1" max="1" width="4.42578125" customWidth="1"/>
    <col min="2" max="2" width="30.5703125" customWidth="1"/>
    <col min="3" max="3" width="35.28515625" bestFit="1" customWidth="1"/>
    <col min="4" max="7" width="16.5703125" customWidth="1"/>
    <col min="8" max="8" width="21.5703125" customWidth="1"/>
  </cols>
  <sheetData>
    <row r="1" spans="2:32" ht="15.75" thickBot="1" x14ac:dyDescent="0.3"/>
    <row r="2" spans="2:32" ht="15.75" thickBot="1" x14ac:dyDescent="0.3">
      <c r="B2" s="281" t="s">
        <v>703</v>
      </c>
      <c r="I2" s="147"/>
      <c r="J2" s="146"/>
      <c r="K2" s="146"/>
      <c r="L2" s="146"/>
      <c r="M2" s="184"/>
      <c r="N2" s="146"/>
      <c r="O2" s="184" t="s">
        <v>321</v>
      </c>
      <c r="P2" s="146"/>
      <c r="Q2" s="150"/>
      <c r="R2" s="146"/>
      <c r="S2" s="146"/>
      <c r="T2" s="146"/>
      <c r="U2" s="232" t="s">
        <v>527</v>
      </c>
      <c r="V2" s="232"/>
      <c r="W2" s="232"/>
      <c r="X2" s="232"/>
      <c r="Y2" s="232"/>
      <c r="Z2" s="232"/>
      <c r="AA2" s="232" t="s">
        <v>323</v>
      </c>
      <c r="AB2" s="146"/>
      <c r="AC2" s="146"/>
      <c r="AD2" s="146"/>
      <c r="AE2" s="146"/>
      <c r="AF2" s="249"/>
    </row>
    <row r="3" spans="2:32" ht="45.75" thickBot="1" x14ac:dyDescent="0.3">
      <c r="B3" s="39" t="s">
        <v>16</v>
      </c>
      <c r="C3" s="40" t="s">
        <v>17</v>
      </c>
      <c r="D3" s="120" t="s">
        <v>184</v>
      </c>
      <c r="E3" s="121" t="s">
        <v>185</v>
      </c>
      <c r="F3" s="41" t="s">
        <v>186</v>
      </c>
      <c r="G3" s="134" t="s">
        <v>187</v>
      </c>
      <c r="H3" s="41" t="s">
        <v>111</v>
      </c>
      <c r="I3" s="171">
        <v>45078</v>
      </c>
      <c r="J3" s="171">
        <v>45108</v>
      </c>
      <c r="K3" s="171">
        <v>45139</v>
      </c>
      <c r="L3" s="171">
        <v>45170</v>
      </c>
      <c r="M3" s="171">
        <v>45200</v>
      </c>
      <c r="N3" s="171">
        <v>45231</v>
      </c>
      <c r="O3" s="171">
        <v>45261</v>
      </c>
      <c r="P3" s="171">
        <v>45292</v>
      </c>
      <c r="Q3" s="171">
        <v>45323</v>
      </c>
      <c r="R3" s="171">
        <v>45352</v>
      </c>
      <c r="S3" s="171">
        <v>45383</v>
      </c>
      <c r="T3" s="171">
        <v>45413</v>
      </c>
      <c r="U3" s="171">
        <v>45444</v>
      </c>
      <c r="V3" s="171">
        <v>45474</v>
      </c>
      <c r="W3" s="171">
        <v>45505</v>
      </c>
      <c r="X3" s="171">
        <v>45536</v>
      </c>
      <c r="Y3" s="171">
        <v>45566</v>
      </c>
      <c r="Z3" s="171">
        <v>45597</v>
      </c>
      <c r="AA3" s="171">
        <v>45627</v>
      </c>
      <c r="AB3" s="171">
        <v>45658</v>
      </c>
      <c r="AC3" s="171">
        <v>45689</v>
      </c>
      <c r="AD3" s="171">
        <v>45717</v>
      </c>
      <c r="AE3" s="171">
        <v>45748</v>
      </c>
      <c r="AF3" s="270">
        <v>45778</v>
      </c>
    </row>
    <row r="4" spans="2:32" x14ac:dyDescent="0.25">
      <c r="B4" s="8" t="s">
        <v>29</v>
      </c>
      <c r="C4" t="s">
        <v>297</v>
      </c>
      <c r="D4" s="19"/>
      <c r="E4" s="19">
        <f>SUM(I4:AF4)</f>
        <v>28250</v>
      </c>
      <c r="F4" s="19"/>
      <c r="G4" s="19">
        <f ca="1">SUMIF($I$3:$AF$3,"&lt;"&amp;TODAY(),$I4:$AF4)</f>
        <v>28250</v>
      </c>
      <c r="H4" s="19"/>
      <c r="I4" s="173">
        <v>28250</v>
      </c>
      <c r="J4" s="174"/>
      <c r="K4" s="174"/>
      <c r="L4" s="174"/>
      <c r="M4" s="174"/>
      <c r="N4" s="174"/>
      <c r="O4" s="174"/>
      <c r="P4" s="174"/>
      <c r="Q4" s="174"/>
      <c r="R4" s="174"/>
      <c r="S4" s="174"/>
      <c r="T4" s="174"/>
      <c r="U4" s="174"/>
      <c r="V4" s="174"/>
      <c r="W4" s="174"/>
      <c r="X4" s="174"/>
      <c r="Y4" s="174"/>
      <c r="Z4" s="174"/>
      <c r="AA4" s="118"/>
      <c r="AB4" s="118"/>
      <c r="AC4" s="118"/>
      <c r="AD4" s="118"/>
      <c r="AE4" s="118"/>
      <c r="AF4" s="175"/>
    </row>
    <row r="5" spans="2:32" x14ac:dyDescent="0.25">
      <c r="B5" s="8"/>
      <c r="C5" t="s">
        <v>111</v>
      </c>
      <c r="D5" s="19"/>
      <c r="E5" s="19">
        <f t="shared" ref="E5:E34" si="0">SUM(I5:AF5)</f>
        <v>2000</v>
      </c>
      <c r="F5" s="19"/>
      <c r="G5" s="19">
        <f ca="1">SUMIF($I$3:$AF$3,"&lt;"&amp;TODAY(),$I5:$AF5)</f>
        <v>2000</v>
      </c>
      <c r="H5" s="19"/>
      <c r="I5" s="78">
        <v>2000</v>
      </c>
      <c r="J5" s="2"/>
      <c r="K5" s="2"/>
      <c r="L5" s="2"/>
      <c r="M5" s="2"/>
      <c r="N5" s="2"/>
      <c r="O5" s="2"/>
      <c r="P5" s="2"/>
      <c r="Q5" s="2"/>
      <c r="R5" s="2"/>
      <c r="S5" s="2"/>
      <c r="T5" s="2"/>
      <c r="U5" s="2"/>
      <c r="V5" s="2"/>
      <c r="W5" s="2"/>
      <c r="X5" s="2"/>
      <c r="Y5" s="2"/>
      <c r="Z5" s="2"/>
      <c r="AF5" s="131"/>
    </row>
    <row r="6" spans="2:32" x14ac:dyDescent="0.25">
      <c r="B6" s="13"/>
      <c r="C6" s="6" t="s">
        <v>32</v>
      </c>
      <c r="D6" s="20"/>
      <c r="E6" s="20">
        <f t="shared" si="0"/>
        <v>896400</v>
      </c>
      <c r="F6" s="20"/>
      <c r="G6" s="20">
        <f ca="1">SUMIF($I$3:$AF$3,"&lt;"&amp;TODAY(),$I6:$AF6)</f>
        <v>896400</v>
      </c>
      <c r="H6" s="20"/>
      <c r="I6" s="78">
        <v>597600</v>
      </c>
      <c r="J6" s="2"/>
      <c r="K6" s="2"/>
      <c r="L6" s="2"/>
      <c r="M6" s="2"/>
      <c r="N6" s="2"/>
      <c r="O6" s="2"/>
      <c r="P6" s="2"/>
      <c r="Q6" s="2"/>
      <c r="R6" s="2">
        <v>298800</v>
      </c>
      <c r="S6" s="2"/>
      <c r="T6" s="2"/>
      <c r="U6" s="2"/>
      <c r="V6" s="2"/>
      <c r="W6" s="2"/>
      <c r="X6" s="2"/>
      <c r="Y6" s="2"/>
      <c r="Z6" s="2"/>
      <c r="AF6" s="131"/>
    </row>
    <row r="7" spans="2:32" x14ac:dyDescent="0.25">
      <c r="B7" s="14" t="s">
        <v>35</v>
      </c>
      <c r="C7" s="15"/>
      <c r="D7" s="21"/>
      <c r="E7" s="21">
        <f t="shared" si="0"/>
        <v>0</v>
      </c>
      <c r="F7" s="21"/>
      <c r="G7" s="21">
        <f t="shared" ref="G7:G38" ca="1" si="1">SUMIF($I$3:$AF$3,"&lt;"&amp;TODAY(),$I7:$AF7)</f>
        <v>0</v>
      </c>
      <c r="H7" s="21"/>
      <c r="I7" s="78"/>
      <c r="J7" s="2"/>
      <c r="K7" s="2"/>
      <c r="L7" s="2"/>
      <c r="M7" s="2"/>
      <c r="N7" s="2"/>
      <c r="O7" s="2"/>
      <c r="P7" s="2"/>
      <c r="Q7" s="2"/>
      <c r="R7" s="2"/>
      <c r="S7" s="2"/>
      <c r="T7" s="2"/>
      <c r="U7" s="2"/>
      <c r="V7" s="2"/>
      <c r="W7" s="2"/>
      <c r="X7" s="2"/>
      <c r="Y7" s="2"/>
      <c r="Z7" s="2"/>
      <c r="AF7" s="131"/>
    </row>
    <row r="8" spans="2:32" x14ac:dyDescent="0.25">
      <c r="B8" s="14" t="s">
        <v>205</v>
      </c>
      <c r="C8" s="15"/>
      <c r="D8" s="21"/>
      <c r="E8" s="21">
        <f t="shared" si="0"/>
        <v>0</v>
      </c>
      <c r="F8" s="21"/>
      <c r="G8" s="21">
        <f t="shared" ca="1" si="1"/>
        <v>0</v>
      </c>
      <c r="H8" s="21"/>
      <c r="I8" s="78"/>
      <c r="J8" s="2"/>
      <c r="K8" s="2"/>
      <c r="L8" s="2"/>
      <c r="M8" s="2"/>
      <c r="N8" s="2"/>
      <c r="O8" s="2"/>
      <c r="P8" s="2"/>
      <c r="Q8" s="2"/>
      <c r="R8" s="2"/>
      <c r="S8" s="2"/>
      <c r="T8" s="2"/>
      <c r="U8" s="2"/>
      <c r="V8" s="2"/>
      <c r="W8" s="2"/>
      <c r="X8" s="2"/>
      <c r="Y8" s="2"/>
      <c r="Z8" s="2"/>
      <c r="AF8" s="131"/>
    </row>
    <row r="9" spans="2:32" x14ac:dyDescent="0.25">
      <c r="B9" s="14" t="s">
        <v>40</v>
      </c>
      <c r="C9" s="15"/>
      <c r="D9" s="21"/>
      <c r="E9" s="21">
        <f t="shared" si="0"/>
        <v>0</v>
      </c>
      <c r="F9" s="21"/>
      <c r="G9" s="21">
        <f t="shared" ca="1" si="1"/>
        <v>0</v>
      </c>
      <c r="H9" s="21"/>
      <c r="I9" s="78"/>
      <c r="J9" s="2"/>
      <c r="L9" s="2"/>
      <c r="M9" s="2"/>
      <c r="N9" s="2"/>
      <c r="O9" s="2"/>
      <c r="P9" s="2"/>
      <c r="Q9" s="2"/>
      <c r="R9" s="2"/>
      <c r="S9" s="2"/>
      <c r="T9" s="2"/>
      <c r="U9" s="2"/>
      <c r="W9" s="2"/>
      <c r="X9" s="2"/>
      <c r="Y9" s="2"/>
      <c r="Z9" s="2"/>
      <c r="AA9" s="2"/>
      <c r="AB9" s="2"/>
      <c r="AC9" s="2"/>
      <c r="AF9" s="131"/>
    </row>
    <row r="10" spans="2:32" x14ac:dyDescent="0.25">
      <c r="B10" s="14" t="s">
        <v>37</v>
      </c>
      <c r="C10" s="15"/>
      <c r="D10" s="21"/>
      <c r="E10" s="21">
        <f t="shared" si="0"/>
        <v>0</v>
      </c>
      <c r="F10" s="21"/>
      <c r="G10" s="21">
        <f t="shared" ca="1" si="1"/>
        <v>0</v>
      </c>
      <c r="H10" s="21"/>
      <c r="I10" s="78"/>
      <c r="J10" s="2"/>
      <c r="L10" s="2"/>
      <c r="M10" s="2"/>
      <c r="N10" s="2"/>
      <c r="O10" s="2"/>
      <c r="P10" s="2"/>
      <c r="Q10" s="2"/>
      <c r="R10" s="2"/>
      <c r="S10" s="2"/>
      <c r="T10" s="2"/>
      <c r="U10" s="2"/>
      <c r="V10" s="2"/>
      <c r="W10" s="2"/>
      <c r="X10" s="2"/>
      <c r="Y10" s="2"/>
      <c r="Z10" s="2"/>
      <c r="AF10" s="131"/>
    </row>
    <row r="11" spans="2:32" x14ac:dyDescent="0.25">
      <c r="B11" s="257" t="s">
        <v>42</v>
      </c>
      <c r="C11" t="s">
        <v>704</v>
      </c>
      <c r="D11" s="19">
        <v>33100</v>
      </c>
      <c r="E11" s="19">
        <v>33100</v>
      </c>
      <c r="F11" s="19">
        <v>33100</v>
      </c>
      <c r="G11" s="19">
        <v>0</v>
      </c>
      <c r="H11" s="19" t="s">
        <v>649</v>
      </c>
      <c r="I11" s="78"/>
      <c r="J11" s="288">
        <v>4109.6499999999996</v>
      </c>
      <c r="K11" s="282">
        <v>1920</v>
      </c>
      <c r="L11" s="288">
        <v>2595</v>
      </c>
      <c r="M11" s="2"/>
      <c r="N11" s="2"/>
      <c r="O11" s="2"/>
      <c r="P11" s="2"/>
      <c r="Q11" s="2"/>
      <c r="R11" s="2"/>
      <c r="S11" s="2"/>
      <c r="T11" s="2"/>
      <c r="U11" s="2"/>
      <c r="V11" s="2"/>
      <c r="W11" s="2"/>
      <c r="X11" s="2"/>
      <c r="Y11" s="2"/>
      <c r="Z11" s="2"/>
      <c r="AF11" s="131"/>
    </row>
    <row r="12" spans="2:32" x14ac:dyDescent="0.25">
      <c r="B12" s="16"/>
      <c r="C12" t="s">
        <v>43</v>
      </c>
      <c r="D12" s="19"/>
      <c r="E12" s="19">
        <f t="shared" si="0"/>
        <v>0</v>
      </c>
      <c r="F12" s="19"/>
      <c r="G12" s="19">
        <f t="shared" ca="1" si="1"/>
        <v>0</v>
      </c>
      <c r="H12" s="19"/>
      <c r="I12" s="78"/>
      <c r="J12" s="2"/>
      <c r="L12" s="2"/>
      <c r="M12" s="2"/>
      <c r="N12" s="2"/>
      <c r="O12" s="2"/>
      <c r="P12" s="2"/>
      <c r="Q12" s="2"/>
      <c r="R12" s="2"/>
      <c r="S12" s="2"/>
      <c r="T12" s="2"/>
      <c r="U12" s="2"/>
      <c r="V12" s="2"/>
      <c r="W12" s="2"/>
      <c r="X12" s="2"/>
      <c r="Y12" s="2"/>
      <c r="Z12" s="2"/>
      <c r="AF12" s="131"/>
    </row>
    <row r="13" spans="2:32" x14ac:dyDescent="0.25">
      <c r="B13" s="16"/>
      <c r="C13" t="s">
        <v>44</v>
      </c>
      <c r="D13" s="19"/>
      <c r="E13" s="19">
        <f t="shared" si="0"/>
        <v>0</v>
      </c>
      <c r="F13" s="19"/>
      <c r="G13" s="19">
        <f t="shared" ca="1" si="1"/>
        <v>0</v>
      </c>
      <c r="H13" s="19"/>
      <c r="I13" s="78"/>
      <c r="J13" s="2"/>
      <c r="L13" s="2"/>
      <c r="M13" s="2"/>
      <c r="N13" s="2"/>
      <c r="O13" s="2"/>
      <c r="P13" s="2"/>
      <c r="Q13" s="2"/>
      <c r="R13" s="2"/>
      <c r="S13" s="2"/>
      <c r="T13" s="2"/>
      <c r="U13" s="2"/>
      <c r="V13" s="2"/>
      <c r="W13" s="2"/>
      <c r="X13" s="2"/>
      <c r="Y13" s="2"/>
      <c r="Z13" s="2"/>
      <c r="AF13" s="131"/>
    </row>
    <row r="14" spans="2:32" ht="30" x14ac:dyDescent="0.25">
      <c r="B14" s="16"/>
      <c r="C14" t="s">
        <v>46</v>
      </c>
      <c r="D14" s="19">
        <v>26500</v>
      </c>
      <c r="E14" s="19">
        <v>26500</v>
      </c>
      <c r="F14" s="19">
        <v>26500</v>
      </c>
      <c r="G14" s="19">
        <v>26500</v>
      </c>
      <c r="H14" s="420" t="s">
        <v>705</v>
      </c>
      <c r="I14" s="78"/>
      <c r="J14" s="2"/>
      <c r="L14" s="2"/>
      <c r="M14" s="2"/>
      <c r="N14" s="2"/>
      <c r="O14" s="2"/>
      <c r="P14" s="2"/>
      <c r="Q14" s="2"/>
      <c r="R14" s="2"/>
      <c r="S14" s="2"/>
      <c r="T14" s="2"/>
      <c r="U14" s="2"/>
      <c r="V14" s="2"/>
      <c r="W14" s="2"/>
      <c r="X14" s="2"/>
      <c r="Y14" s="2"/>
      <c r="Z14" s="2"/>
      <c r="AF14" s="131"/>
    </row>
    <row r="15" spans="2:32" x14ac:dyDescent="0.25">
      <c r="B15" s="16"/>
      <c r="C15" t="s">
        <v>706</v>
      </c>
      <c r="D15" s="19">
        <v>3500</v>
      </c>
      <c r="E15" s="19">
        <v>3500</v>
      </c>
      <c r="F15" s="19">
        <v>3500</v>
      </c>
      <c r="G15" s="19">
        <f t="shared" ca="1" si="1"/>
        <v>3500</v>
      </c>
      <c r="H15" s="19" t="s">
        <v>305</v>
      </c>
      <c r="I15" s="78"/>
      <c r="J15" s="2"/>
      <c r="L15" s="2"/>
      <c r="M15" s="2"/>
      <c r="N15" s="2"/>
      <c r="O15" s="2">
        <v>3500</v>
      </c>
      <c r="P15" s="2"/>
      <c r="Q15" s="2"/>
      <c r="R15" s="2"/>
      <c r="S15" s="2"/>
      <c r="T15" s="2"/>
      <c r="U15" s="2"/>
      <c r="V15" s="2"/>
      <c r="W15" s="2"/>
      <c r="X15" s="2"/>
      <c r="Y15" s="2"/>
      <c r="Z15" s="2"/>
      <c r="AF15" s="131"/>
    </row>
    <row r="16" spans="2:32" x14ac:dyDescent="0.25">
      <c r="B16" s="16"/>
      <c r="C16" t="s">
        <v>47</v>
      </c>
      <c r="D16" s="19"/>
      <c r="E16" s="19">
        <f t="shared" si="0"/>
        <v>0</v>
      </c>
      <c r="F16" s="19"/>
      <c r="G16" s="19">
        <f t="shared" ca="1" si="1"/>
        <v>0</v>
      </c>
      <c r="H16" s="19"/>
      <c r="I16" s="78"/>
      <c r="J16" s="2"/>
      <c r="L16" s="2"/>
      <c r="M16" s="2"/>
      <c r="N16" s="2"/>
      <c r="O16" s="2"/>
      <c r="P16" s="2"/>
      <c r="Q16" s="2"/>
      <c r="R16" s="2"/>
      <c r="S16" s="2"/>
      <c r="T16" s="2"/>
      <c r="U16" s="2"/>
      <c r="V16" s="2"/>
      <c r="W16" s="2"/>
      <c r="X16" s="2"/>
      <c r="Y16" s="2"/>
      <c r="Z16" s="2"/>
      <c r="AF16" s="131"/>
    </row>
    <row r="17" spans="2:32" x14ac:dyDescent="0.25">
      <c r="B17" s="16"/>
      <c r="C17" t="s">
        <v>48</v>
      </c>
      <c r="D17" s="19"/>
      <c r="E17" s="19">
        <f t="shared" si="0"/>
        <v>0</v>
      </c>
      <c r="F17" s="19"/>
      <c r="G17" s="19">
        <f t="shared" ca="1" si="1"/>
        <v>0</v>
      </c>
      <c r="H17" s="19"/>
      <c r="I17" s="78"/>
      <c r="J17" s="2"/>
      <c r="L17" s="2"/>
      <c r="M17" s="2"/>
      <c r="N17" s="2"/>
      <c r="O17" s="2"/>
      <c r="P17" s="2"/>
      <c r="Q17" s="2"/>
      <c r="R17" s="2"/>
      <c r="S17" s="2"/>
      <c r="T17" s="2"/>
      <c r="U17" s="2"/>
      <c r="V17" s="2"/>
      <c r="W17" s="2"/>
      <c r="X17" s="2"/>
      <c r="Y17" s="2"/>
      <c r="Z17" s="2"/>
      <c r="AF17" s="131"/>
    </row>
    <row r="18" spans="2:32" x14ac:dyDescent="0.25">
      <c r="B18" s="16"/>
      <c r="C18" t="s">
        <v>171</v>
      </c>
      <c r="D18" s="19"/>
      <c r="E18" s="19">
        <f t="shared" si="0"/>
        <v>0</v>
      </c>
      <c r="F18" s="19"/>
      <c r="G18" s="19">
        <f t="shared" ca="1" si="1"/>
        <v>0</v>
      </c>
      <c r="H18" s="19"/>
      <c r="I18" s="78"/>
      <c r="J18" s="2"/>
      <c r="K18" s="2"/>
      <c r="L18" s="2"/>
      <c r="P18" s="2"/>
      <c r="Q18" s="2"/>
      <c r="R18" s="2"/>
      <c r="S18" s="2"/>
      <c r="T18" s="2"/>
      <c r="U18" s="2"/>
      <c r="V18" s="2"/>
      <c r="Y18" s="2"/>
      <c r="Z18" s="2"/>
      <c r="AA18" s="2"/>
      <c r="AF18" s="131"/>
    </row>
    <row r="19" spans="2:32" x14ac:dyDescent="0.25">
      <c r="B19" s="16"/>
      <c r="C19" t="s">
        <v>172</v>
      </c>
      <c r="D19" s="19"/>
      <c r="E19" s="19">
        <f t="shared" si="0"/>
        <v>355</v>
      </c>
      <c r="F19" s="19"/>
      <c r="G19" s="19">
        <f t="shared" ca="1" si="1"/>
        <v>355</v>
      </c>
      <c r="H19" s="19"/>
      <c r="I19" s="78"/>
      <c r="J19" s="2"/>
      <c r="K19" s="2"/>
      <c r="L19" s="2"/>
      <c r="M19" s="2"/>
      <c r="N19" s="2">
        <v>355</v>
      </c>
      <c r="O19" s="2"/>
      <c r="P19" s="2"/>
      <c r="Q19" s="2"/>
      <c r="R19" s="2"/>
      <c r="S19" s="2"/>
      <c r="T19" s="2"/>
      <c r="U19" s="2"/>
      <c r="V19" s="2"/>
      <c r="W19" s="2"/>
      <c r="X19" s="2"/>
      <c r="Y19" s="2"/>
      <c r="Z19" s="2"/>
      <c r="AF19" s="131"/>
    </row>
    <row r="20" spans="2:32" x14ac:dyDescent="0.25">
      <c r="B20" s="16"/>
      <c r="C20" t="s">
        <v>707</v>
      </c>
      <c r="D20" s="19">
        <v>355</v>
      </c>
      <c r="E20" s="19">
        <v>355</v>
      </c>
      <c r="F20" s="19">
        <v>355</v>
      </c>
      <c r="G20" s="19">
        <f t="shared" ca="1" si="1"/>
        <v>0</v>
      </c>
      <c r="H20" s="19" t="s">
        <v>305</v>
      </c>
      <c r="I20" s="78"/>
      <c r="J20" s="2"/>
      <c r="K20" s="2"/>
      <c r="L20" s="2"/>
      <c r="M20" s="2"/>
      <c r="N20" s="2"/>
      <c r="O20" s="2"/>
      <c r="P20" s="2"/>
      <c r="Q20" s="2"/>
      <c r="R20" s="2"/>
      <c r="S20" s="2"/>
      <c r="T20" s="2"/>
      <c r="U20" s="2"/>
      <c r="V20" s="2"/>
      <c r="W20" s="2"/>
      <c r="X20" s="2"/>
      <c r="Y20" s="2"/>
      <c r="Z20" s="2"/>
      <c r="AF20" s="131"/>
    </row>
    <row r="21" spans="2:32" x14ac:dyDescent="0.25">
      <c r="B21" s="16"/>
      <c r="C21" t="s">
        <v>54</v>
      </c>
      <c r="D21" s="19"/>
      <c r="E21" s="19">
        <f t="shared" si="0"/>
        <v>0</v>
      </c>
      <c r="F21" s="19"/>
      <c r="G21" s="19">
        <f t="shared" ca="1" si="1"/>
        <v>0</v>
      </c>
      <c r="H21" s="19"/>
      <c r="I21" s="78"/>
      <c r="J21" s="2"/>
      <c r="K21" s="2"/>
      <c r="L21" s="2"/>
      <c r="M21" s="2"/>
      <c r="N21" s="2"/>
      <c r="O21" s="2"/>
      <c r="P21" s="2"/>
      <c r="Q21" s="2"/>
      <c r="R21" s="2"/>
      <c r="S21" s="2"/>
      <c r="T21" s="2"/>
      <c r="U21" s="2"/>
      <c r="V21" s="2"/>
      <c r="W21" s="2"/>
      <c r="X21" s="2"/>
      <c r="Y21" s="2"/>
      <c r="Z21" s="2"/>
      <c r="AF21" s="131"/>
    </row>
    <row r="22" spans="2:32" x14ac:dyDescent="0.25">
      <c r="B22" s="16"/>
      <c r="C22" t="s">
        <v>708</v>
      </c>
      <c r="D22" s="19">
        <v>2475</v>
      </c>
      <c r="E22" s="19"/>
      <c r="F22" s="19">
        <v>2475</v>
      </c>
      <c r="G22" s="19"/>
      <c r="H22" s="19"/>
      <c r="I22" s="78"/>
      <c r="J22" s="2"/>
      <c r="K22" s="2"/>
      <c r="L22" s="2"/>
      <c r="M22" s="2"/>
      <c r="N22" s="2"/>
      <c r="O22" s="2"/>
      <c r="P22" s="2"/>
      <c r="Q22" s="2"/>
      <c r="R22" s="2"/>
      <c r="S22" s="2"/>
      <c r="T22" s="2"/>
      <c r="U22" s="2"/>
      <c r="V22" s="2"/>
      <c r="W22" s="2"/>
      <c r="X22" s="2"/>
      <c r="Y22" s="2"/>
      <c r="Z22" s="2"/>
      <c r="AF22" s="131"/>
    </row>
    <row r="23" spans="2:32" x14ac:dyDescent="0.25">
      <c r="B23" s="16"/>
      <c r="C23" t="s">
        <v>709</v>
      </c>
      <c r="D23" s="19">
        <v>22565</v>
      </c>
      <c r="E23" s="19"/>
      <c r="F23" s="19">
        <v>22565</v>
      </c>
      <c r="G23" s="19">
        <f>SUM(P23,Q23,R23)</f>
        <v>6047.5</v>
      </c>
      <c r="H23" s="19" t="s">
        <v>710</v>
      </c>
      <c r="I23" s="78"/>
      <c r="J23" s="2"/>
      <c r="K23" s="2"/>
      <c r="L23" s="2"/>
      <c r="M23" s="2"/>
      <c r="N23" s="2"/>
      <c r="O23" s="2"/>
      <c r="P23" s="2">
        <v>3047</v>
      </c>
      <c r="Q23" s="2">
        <v>1033.5</v>
      </c>
      <c r="R23" s="2">
        <v>1967</v>
      </c>
      <c r="S23" s="2">
        <v>5497.8</v>
      </c>
      <c r="T23" s="2"/>
      <c r="U23" s="2">
        <v>2440.88</v>
      </c>
      <c r="V23" s="2"/>
      <c r="W23" s="2"/>
      <c r="X23" s="2"/>
      <c r="Y23" s="2"/>
      <c r="Z23" s="2"/>
      <c r="AF23" s="131"/>
    </row>
    <row r="24" spans="2:32" x14ac:dyDescent="0.25">
      <c r="B24" s="16"/>
      <c r="C24" t="s">
        <v>711</v>
      </c>
      <c r="D24" s="19">
        <v>3265</v>
      </c>
      <c r="E24" s="19">
        <v>3265</v>
      </c>
      <c r="F24" s="19">
        <v>3265</v>
      </c>
      <c r="G24" s="19">
        <v>2862</v>
      </c>
      <c r="H24" s="19" t="s">
        <v>710</v>
      </c>
      <c r="I24" s="78"/>
      <c r="J24" s="2"/>
      <c r="K24" s="2"/>
      <c r="L24" s="2"/>
      <c r="M24" s="2">
        <v>2862</v>
      </c>
      <c r="N24" s="2">
        <v>403</v>
      </c>
      <c r="O24" s="2"/>
      <c r="P24" s="2"/>
      <c r="Q24" s="2"/>
      <c r="R24" s="2"/>
      <c r="S24" s="2"/>
      <c r="T24" s="2"/>
      <c r="U24" s="2"/>
      <c r="V24" s="2"/>
      <c r="W24" s="2"/>
      <c r="X24" s="2"/>
      <c r="Y24" s="2"/>
      <c r="Z24" s="2"/>
      <c r="AF24" s="131"/>
    </row>
    <row r="25" spans="2:32" x14ac:dyDescent="0.25">
      <c r="B25" s="16"/>
      <c r="C25" t="s">
        <v>58</v>
      </c>
      <c r="D25" s="19"/>
      <c r="E25" s="19">
        <f t="shared" si="0"/>
        <v>0</v>
      </c>
      <c r="F25" s="19"/>
      <c r="G25" s="19">
        <f t="shared" ca="1" si="1"/>
        <v>0</v>
      </c>
      <c r="H25" s="19"/>
      <c r="I25" s="78"/>
      <c r="J25" s="2"/>
      <c r="L25" s="2"/>
      <c r="M25" s="2"/>
      <c r="N25" s="2"/>
      <c r="O25" s="2"/>
      <c r="P25" s="2"/>
      <c r="Q25" s="2"/>
      <c r="R25" s="2"/>
      <c r="S25" s="2"/>
      <c r="T25" s="2"/>
      <c r="U25" s="2"/>
      <c r="V25" s="2"/>
      <c r="X25" s="2"/>
      <c r="Y25" s="2"/>
      <c r="Z25" s="2"/>
      <c r="AF25" s="131"/>
    </row>
    <row r="26" spans="2:32" x14ac:dyDescent="0.25">
      <c r="B26" s="16"/>
      <c r="C26" t="s">
        <v>59</v>
      </c>
      <c r="D26" s="19"/>
      <c r="E26" s="19">
        <f t="shared" si="0"/>
        <v>0</v>
      </c>
      <c r="F26" s="19"/>
      <c r="G26" s="19">
        <f t="shared" ca="1" si="1"/>
        <v>0</v>
      </c>
      <c r="H26" s="19"/>
      <c r="I26" s="78"/>
      <c r="J26" s="2"/>
      <c r="K26" s="2"/>
      <c r="L26" s="2"/>
      <c r="M26" s="2"/>
      <c r="N26" s="2"/>
      <c r="O26" s="2"/>
      <c r="P26" s="2"/>
      <c r="Q26" s="2"/>
      <c r="R26" s="2"/>
      <c r="S26" s="2"/>
      <c r="T26" s="2"/>
      <c r="U26" s="2"/>
      <c r="V26" s="2"/>
      <c r="W26" s="2"/>
      <c r="X26" s="2"/>
      <c r="Y26" s="2"/>
      <c r="Z26" s="2"/>
      <c r="AF26" s="131"/>
    </row>
    <row r="27" spans="2:32" x14ac:dyDescent="0.25">
      <c r="B27" s="16"/>
      <c r="C27" t="s">
        <v>712</v>
      </c>
      <c r="D27" s="19">
        <v>4230</v>
      </c>
      <c r="E27" s="19">
        <v>4230</v>
      </c>
      <c r="F27" s="19">
        <v>4230</v>
      </c>
      <c r="G27" s="19">
        <f t="shared" ca="1" si="1"/>
        <v>4230</v>
      </c>
      <c r="H27" s="19" t="s">
        <v>710</v>
      </c>
      <c r="I27" s="78"/>
      <c r="J27" s="2"/>
      <c r="K27" s="2"/>
      <c r="L27" s="2"/>
      <c r="M27" s="2"/>
      <c r="N27" s="2"/>
      <c r="O27" s="2">
        <v>4230</v>
      </c>
      <c r="P27" s="2"/>
      <c r="Q27" s="2"/>
      <c r="R27" s="2"/>
      <c r="S27" s="2"/>
      <c r="T27" s="2"/>
      <c r="U27" s="2"/>
      <c r="V27" s="2"/>
      <c r="W27" s="2"/>
      <c r="X27" s="2"/>
      <c r="Y27" s="2"/>
      <c r="Z27" s="2"/>
      <c r="AF27" s="131"/>
    </row>
    <row r="28" spans="2:32" x14ac:dyDescent="0.25">
      <c r="B28" s="16"/>
      <c r="C28" t="s">
        <v>60</v>
      </c>
      <c r="D28" s="19"/>
      <c r="E28" s="19">
        <f t="shared" si="0"/>
        <v>0</v>
      </c>
      <c r="F28" s="19"/>
      <c r="G28" s="19">
        <f t="shared" ca="1" si="1"/>
        <v>0</v>
      </c>
      <c r="H28" s="19"/>
      <c r="I28" s="78"/>
      <c r="J28" s="2"/>
      <c r="K28" s="2"/>
      <c r="L28" s="2"/>
      <c r="M28" s="2"/>
      <c r="N28" s="2"/>
      <c r="O28" s="2"/>
      <c r="P28" s="2"/>
      <c r="Q28" s="2"/>
      <c r="R28" s="2"/>
      <c r="S28" s="2"/>
      <c r="T28" s="2"/>
      <c r="U28" s="2"/>
      <c r="V28" s="2"/>
      <c r="W28" s="2"/>
      <c r="X28" s="2"/>
      <c r="Y28" s="2"/>
      <c r="Z28" s="2"/>
      <c r="AF28" s="131"/>
    </row>
    <row r="29" spans="2:32" x14ac:dyDescent="0.25">
      <c r="B29" s="16"/>
      <c r="C29" t="s">
        <v>61</v>
      </c>
      <c r="D29" s="19"/>
      <c r="E29" s="19">
        <f t="shared" si="0"/>
        <v>0</v>
      </c>
      <c r="F29" s="19"/>
      <c r="G29" s="19">
        <f t="shared" ca="1" si="1"/>
        <v>0</v>
      </c>
      <c r="H29" s="19"/>
      <c r="I29" s="78"/>
      <c r="J29" s="2"/>
      <c r="K29" s="2"/>
      <c r="L29" s="2"/>
      <c r="M29" s="2"/>
      <c r="N29" s="2"/>
      <c r="O29" s="2"/>
      <c r="P29" s="2"/>
      <c r="Q29" s="2"/>
      <c r="R29" s="2"/>
      <c r="S29" s="2"/>
      <c r="T29" s="2"/>
      <c r="U29" s="2"/>
      <c r="V29" s="2"/>
      <c r="W29" s="2"/>
      <c r="X29" s="2"/>
      <c r="Y29" s="2"/>
      <c r="Z29" s="2"/>
      <c r="AF29" s="131"/>
    </row>
    <row r="30" spans="2:32" x14ac:dyDescent="0.25">
      <c r="B30" s="16"/>
      <c r="C30" t="s">
        <v>64</v>
      </c>
      <c r="D30" s="19"/>
      <c r="E30" s="19">
        <f t="shared" si="0"/>
        <v>0</v>
      </c>
      <c r="F30" s="19"/>
      <c r="G30" s="19">
        <f t="shared" ca="1" si="1"/>
        <v>0</v>
      </c>
      <c r="H30" s="19"/>
      <c r="I30" s="78"/>
      <c r="J30" s="2"/>
      <c r="K30" s="2"/>
      <c r="L30" s="2"/>
      <c r="M30" s="2"/>
      <c r="N30" s="2"/>
      <c r="O30" s="2"/>
      <c r="P30" s="2"/>
      <c r="Q30" s="2"/>
      <c r="R30" s="2"/>
      <c r="S30" s="2"/>
      <c r="T30" s="2"/>
      <c r="U30" s="2"/>
      <c r="V30" s="2"/>
      <c r="W30" s="2"/>
      <c r="X30" s="2"/>
      <c r="Y30" s="2"/>
      <c r="Z30" s="2"/>
      <c r="AF30" s="131"/>
    </row>
    <row r="31" spans="2:32" x14ac:dyDescent="0.25">
      <c r="B31" s="16"/>
      <c r="C31" t="s">
        <v>713</v>
      </c>
      <c r="D31" s="19">
        <v>1825</v>
      </c>
      <c r="E31" s="19">
        <f t="shared" ref="E31" si="2">SUM(I31:AF31)</f>
        <v>1825</v>
      </c>
      <c r="F31" s="19"/>
      <c r="G31" s="19">
        <f t="shared" ca="1" si="1"/>
        <v>1825</v>
      </c>
      <c r="H31" s="19" t="s">
        <v>517</v>
      </c>
      <c r="I31" s="78"/>
      <c r="J31" s="2"/>
      <c r="K31" s="2"/>
      <c r="L31" s="2"/>
      <c r="M31" s="2">
        <v>1825</v>
      </c>
      <c r="N31" s="2"/>
      <c r="O31" s="2"/>
      <c r="P31" s="2"/>
      <c r="Q31" s="2"/>
      <c r="R31" s="2"/>
      <c r="S31" s="2"/>
      <c r="T31" s="2"/>
      <c r="U31" s="2"/>
      <c r="V31" s="2"/>
      <c r="W31" s="2"/>
      <c r="X31" s="2"/>
      <c r="Y31" s="2"/>
      <c r="Z31" s="2"/>
      <c r="AF31" s="131"/>
    </row>
    <row r="32" spans="2:32" x14ac:dyDescent="0.25">
      <c r="B32" s="16"/>
      <c r="C32" t="s">
        <v>174</v>
      </c>
      <c r="D32" s="19"/>
      <c r="E32" s="19">
        <f t="shared" si="0"/>
        <v>0</v>
      </c>
      <c r="F32" s="19"/>
      <c r="G32" s="19">
        <f t="shared" ca="1" si="1"/>
        <v>0</v>
      </c>
      <c r="H32" s="19"/>
      <c r="I32" s="78"/>
      <c r="J32" s="2"/>
      <c r="K32" s="2"/>
      <c r="L32" s="2"/>
      <c r="M32" s="2"/>
      <c r="N32" s="2"/>
      <c r="O32" s="2"/>
      <c r="P32" s="2"/>
      <c r="Q32" s="2"/>
      <c r="R32" s="2"/>
      <c r="S32" s="2"/>
      <c r="T32" s="2"/>
      <c r="U32" s="2"/>
      <c r="V32" s="2"/>
      <c r="W32" s="2"/>
      <c r="X32" s="2"/>
      <c r="Y32" s="2"/>
      <c r="Z32" s="2"/>
      <c r="AF32" s="131"/>
    </row>
    <row r="33" spans="2:32" x14ac:dyDescent="0.25">
      <c r="B33" s="16"/>
      <c r="C33" t="s">
        <v>695</v>
      </c>
      <c r="D33" s="19">
        <v>20000</v>
      </c>
      <c r="E33" s="19"/>
      <c r="F33" s="19"/>
      <c r="G33" s="19"/>
      <c r="H33" s="440" t="s">
        <v>142</v>
      </c>
      <c r="I33" s="78"/>
      <c r="J33" s="2"/>
      <c r="K33" s="2"/>
      <c r="L33" s="2"/>
      <c r="M33" s="2"/>
      <c r="N33" s="2"/>
      <c r="O33" s="2"/>
      <c r="P33" s="2"/>
      <c r="Q33" s="2"/>
      <c r="R33" s="2"/>
      <c r="S33" s="2"/>
      <c r="T33" s="2"/>
      <c r="U33" s="2"/>
      <c r="V33" s="2"/>
      <c r="W33" s="2"/>
      <c r="X33" s="2"/>
      <c r="Y33" s="2"/>
      <c r="Z33" s="2"/>
      <c r="AF33" s="131"/>
    </row>
    <row r="34" spans="2:32" x14ac:dyDescent="0.25">
      <c r="B34" s="17"/>
      <c r="C34" s="6" t="s">
        <v>212</v>
      </c>
      <c r="D34" s="20"/>
      <c r="E34" s="20">
        <f t="shared" si="0"/>
        <v>0</v>
      </c>
      <c r="F34" s="20"/>
      <c r="G34" s="20">
        <f t="shared" ca="1" si="1"/>
        <v>0</v>
      </c>
      <c r="H34" s="19"/>
      <c r="I34" s="78"/>
      <c r="J34" s="2"/>
      <c r="K34" s="2"/>
      <c r="L34" s="2"/>
      <c r="M34" s="2"/>
      <c r="N34" s="2"/>
      <c r="O34" s="2"/>
      <c r="P34" s="2"/>
      <c r="Q34" s="2"/>
      <c r="R34" s="2"/>
      <c r="S34" s="2"/>
      <c r="T34" s="2"/>
      <c r="U34" s="2"/>
      <c r="V34" s="2"/>
      <c r="W34" s="2"/>
      <c r="X34" s="2"/>
      <c r="Y34" s="2"/>
      <c r="Z34" s="2"/>
      <c r="AF34" s="131"/>
    </row>
    <row r="35" spans="2:32" x14ac:dyDescent="0.25">
      <c r="B35" s="14" t="s">
        <v>93</v>
      </c>
      <c r="C35" s="15" t="s">
        <v>94</v>
      </c>
      <c r="D35" s="20" cm="1">
        <f t="array" ref="D35">SUM(D9:D34*0.1)</f>
        <v>11781.5</v>
      </c>
      <c r="E35" s="20">
        <f ca="1">SUMIF($I$3:$AF$3,"&gt;"&amp;TODAY(),$I$35:$AF$35)</f>
        <v>0</v>
      </c>
      <c r="F35" s="20"/>
      <c r="G35" s="176" t="s">
        <v>199</v>
      </c>
      <c r="H35" s="80"/>
      <c r="I35" s="80">
        <f>SUM(I9:I34)*0.1</f>
        <v>0</v>
      </c>
      <c r="J35" s="136">
        <f>SUM(J9:J34)*0.1</f>
        <v>410.96499999999997</v>
      </c>
      <c r="K35" s="136">
        <f t="shared" ref="K35:Y35" si="3">SUM(K9:K34)*0.1</f>
        <v>192</v>
      </c>
      <c r="L35" s="136">
        <f t="shared" si="3"/>
        <v>259.5</v>
      </c>
      <c r="M35" s="136">
        <f t="shared" si="3"/>
        <v>468.70000000000005</v>
      </c>
      <c r="N35" s="136">
        <f t="shared" si="3"/>
        <v>75.8</v>
      </c>
      <c r="O35" s="136">
        <f t="shared" si="3"/>
        <v>773</v>
      </c>
      <c r="P35" s="136">
        <f t="shared" si="3"/>
        <v>304.7</v>
      </c>
      <c r="Q35" s="136">
        <f t="shared" si="3"/>
        <v>103.35000000000001</v>
      </c>
      <c r="R35" s="136">
        <f t="shared" si="3"/>
        <v>196.70000000000002</v>
      </c>
      <c r="S35" s="136">
        <f t="shared" si="3"/>
        <v>549.78000000000009</v>
      </c>
      <c r="T35" s="136">
        <f t="shared" si="3"/>
        <v>0</v>
      </c>
      <c r="U35" s="136">
        <f t="shared" si="3"/>
        <v>244.08800000000002</v>
      </c>
      <c r="V35" s="136">
        <f t="shared" si="3"/>
        <v>0</v>
      </c>
      <c r="W35" s="136">
        <f>SUM(W9:W34)*0.1</f>
        <v>0</v>
      </c>
      <c r="X35" s="136">
        <f t="shared" si="3"/>
        <v>0</v>
      </c>
      <c r="Y35" s="136">
        <f t="shared" si="3"/>
        <v>0</v>
      </c>
      <c r="Z35" s="136">
        <f>SUM(Z9:Z34)*0.1</f>
        <v>0</v>
      </c>
      <c r="AA35" s="136">
        <f t="shared" ref="AA35:AF35" si="4">SUM(AA9:AA34)*0.1</f>
        <v>0</v>
      </c>
      <c r="AB35" s="136">
        <f t="shared" si="4"/>
        <v>0</v>
      </c>
      <c r="AC35" s="136">
        <f t="shared" si="4"/>
        <v>0</v>
      </c>
      <c r="AD35" s="136">
        <f t="shared" si="4"/>
        <v>0</v>
      </c>
      <c r="AE35" s="136">
        <f t="shared" si="4"/>
        <v>0</v>
      </c>
      <c r="AF35" s="140">
        <f t="shared" si="4"/>
        <v>0</v>
      </c>
    </row>
    <row r="36" spans="2:32" x14ac:dyDescent="0.25">
      <c r="B36" s="14" t="s">
        <v>148</v>
      </c>
      <c r="C36" s="15"/>
      <c r="D36" s="21"/>
      <c r="E36" s="21">
        <f>SUM(I36:AF36)</f>
        <v>0</v>
      </c>
      <c r="F36" s="21"/>
      <c r="G36" s="20">
        <f t="shared" ca="1" si="1"/>
        <v>0</v>
      </c>
      <c r="H36" s="20"/>
      <c r="I36" s="78"/>
      <c r="J36" s="2"/>
      <c r="K36" s="2"/>
      <c r="L36" s="2"/>
      <c r="M36" s="2"/>
      <c r="N36" s="2"/>
      <c r="O36" s="2"/>
      <c r="P36" s="2"/>
      <c r="Q36" s="2"/>
      <c r="R36" s="2"/>
      <c r="S36" s="2"/>
      <c r="T36" s="2"/>
      <c r="U36" s="2"/>
      <c r="V36" s="2"/>
      <c r="W36" s="2"/>
      <c r="X36" s="2"/>
      <c r="Y36" s="2"/>
      <c r="Z36" s="2"/>
      <c r="AF36" s="131"/>
    </row>
    <row r="37" spans="2:32" x14ac:dyDescent="0.25">
      <c r="B37" s="14" t="s">
        <v>95</v>
      </c>
      <c r="C37" s="15"/>
      <c r="D37" s="21"/>
      <c r="E37" s="21">
        <f t="shared" ref="E37:E38" si="5">SUM(I37:AF37)</f>
        <v>0</v>
      </c>
      <c r="F37" s="21"/>
      <c r="G37" s="20">
        <f t="shared" ca="1" si="1"/>
        <v>0</v>
      </c>
      <c r="H37" s="21"/>
      <c r="I37" s="78"/>
      <c r="J37" s="2"/>
      <c r="K37" s="2"/>
      <c r="L37" s="2"/>
      <c r="M37" s="2"/>
      <c r="N37" s="2"/>
      <c r="O37" s="2"/>
      <c r="P37" s="2"/>
      <c r="Q37" s="2"/>
      <c r="R37" s="2"/>
      <c r="S37" s="2"/>
      <c r="W37" s="2"/>
      <c r="X37" s="2"/>
      <c r="Y37" s="2"/>
      <c r="Z37" s="2"/>
      <c r="AA37" s="2"/>
      <c r="AB37" s="2"/>
      <c r="AF37" s="131"/>
    </row>
    <row r="38" spans="2:32" ht="15.75" thickBot="1" x14ac:dyDescent="0.3">
      <c r="B38" s="8" t="s">
        <v>97</v>
      </c>
      <c r="C38" t="s">
        <v>213</v>
      </c>
      <c r="D38" s="19"/>
      <c r="E38" s="21">
        <f t="shared" si="5"/>
        <v>0</v>
      </c>
      <c r="F38" s="19"/>
      <c r="G38" s="20">
        <f t="shared" ca="1" si="1"/>
        <v>0</v>
      </c>
      <c r="H38" s="19"/>
      <c r="I38" s="78"/>
      <c r="J38" s="2"/>
      <c r="K38" s="2"/>
      <c r="L38" s="2"/>
      <c r="M38" s="2"/>
      <c r="N38" s="2"/>
      <c r="O38" s="2"/>
      <c r="P38" s="2"/>
      <c r="Q38" s="2"/>
      <c r="R38" s="2"/>
      <c r="S38" s="2"/>
      <c r="W38" s="2"/>
      <c r="X38" s="2"/>
      <c r="Y38" s="2"/>
      <c r="Z38" s="2"/>
      <c r="AA38" s="2"/>
      <c r="AB38" s="2"/>
      <c r="AF38" s="131"/>
    </row>
    <row r="39" spans="2:32" ht="15.75" thickBot="1" x14ac:dyDescent="0.3">
      <c r="B39" s="11" t="s">
        <v>98</v>
      </c>
      <c r="C39" s="12"/>
      <c r="D39" s="22">
        <f>SUM(D4:D38)</f>
        <v>129596.5</v>
      </c>
      <c r="E39" s="22">
        <f t="shared" ref="E39:F39" ca="1" si="6">SUM(E4:E38)</f>
        <v>999780</v>
      </c>
      <c r="F39" s="22">
        <f t="shared" si="6"/>
        <v>95990</v>
      </c>
      <c r="G39" s="22">
        <f ca="1">SUM(G4:G38)</f>
        <v>971969.5</v>
      </c>
      <c r="H39" s="22"/>
      <c r="I39" s="81">
        <f>SUM(I4:I38)</f>
        <v>627850</v>
      </c>
      <c r="J39" s="155">
        <f t="shared" ref="J39:Y39" si="7">SUM(J4:J38)</f>
        <v>4520.6149999999998</v>
      </c>
      <c r="K39" s="155">
        <f t="shared" si="7"/>
        <v>2112</v>
      </c>
      <c r="L39" s="155">
        <f t="shared" si="7"/>
        <v>2854.5</v>
      </c>
      <c r="M39" s="155">
        <f t="shared" si="7"/>
        <v>5155.7</v>
      </c>
      <c r="N39" s="155">
        <f t="shared" si="7"/>
        <v>833.8</v>
      </c>
      <c r="O39" s="155">
        <f t="shared" si="7"/>
        <v>8503</v>
      </c>
      <c r="P39" s="155">
        <f t="shared" si="7"/>
        <v>3351.7</v>
      </c>
      <c r="Q39" s="155">
        <f t="shared" si="7"/>
        <v>1136.8499999999999</v>
      </c>
      <c r="R39" s="155">
        <f t="shared" si="7"/>
        <v>300963.7</v>
      </c>
      <c r="S39" s="155">
        <f t="shared" si="7"/>
        <v>6047.58</v>
      </c>
      <c r="T39" s="155">
        <f t="shared" si="7"/>
        <v>0</v>
      </c>
      <c r="U39" s="155">
        <f t="shared" si="7"/>
        <v>2684.9680000000003</v>
      </c>
      <c r="V39" s="155">
        <f t="shared" si="7"/>
        <v>0</v>
      </c>
      <c r="W39" s="155">
        <f t="shared" si="7"/>
        <v>0</v>
      </c>
      <c r="X39" s="155">
        <f t="shared" si="7"/>
        <v>0</v>
      </c>
      <c r="Y39" s="155">
        <f t="shared" si="7"/>
        <v>0</v>
      </c>
      <c r="Z39" s="155">
        <f>SUM(Z4:Z38)</f>
        <v>0</v>
      </c>
      <c r="AA39" s="155">
        <f>SUM(AA4:AA38)</f>
        <v>0</v>
      </c>
      <c r="AB39" s="155">
        <f>SUM(AB4:AB38)</f>
        <v>0</v>
      </c>
      <c r="AC39" s="155">
        <f t="shared" ref="AC39:AF39" si="8">SUM(AC4:AC38)</f>
        <v>0</v>
      </c>
      <c r="AD39" s="155">
        <f t="shared" si="8"/>
        <v>0</v>
      </c>
      <c r="AE39" s="155">
        <f t="shared" si="8"/>
        <v>0</v>
      </c>
      <c r="AF39" s="156">
        <f t="shared" si="8"/>
        <v>0</v>
      </c>
    </row>
    <row r="40" spans="2:32" ht="15.75" thickBot="1" x14ac:dyDescent="0.3">
      <c r="B40" s="9" t="s">
        <v>176</v>
      </c>
      <c r="C40" s="183">
        <v>249</v>
      </c>
      <c r="D40" s="36"/>
      <c r="E40" s="36"/>
      <c r="F40" s="36"/>
      <c r="G40" s="36"/>
      <c r="H40" s="36"/>
      <c r="I40" s="78"/>
      <c r="J40" s="2"/>
      <c r="K40" s="2"/>
      <c r="L40" s="2"/>
      <c r="M40" s="2"/>
      <c r="N40" s="2"/>
      <c r="O40" s="2"/>
      <c r="P40" s="2"/>
      <c r="Q40" s="2"/>
      <c r="R40" s="2"/>
      <c r="S40" s="2"/>
      <c r="T40" s="2"/>
      <c r="U40" s="2"/>
      <c r="V40" s="2"/>
      <c r="W40" s="2"/>
      <c r="X40" s="2"/>
      <c r="Y40" s="2"/>
      <c r="Z40" s="2"/>
      <c r="AF40" s="131"/>
    </row>
    <row r="41" spans="2:32" ht="15.75" thickBot="1" x14ac:dyDescent="0.3">
      <c r="B41" s="35" t="s">
        <v>100</v>
      </c>
      <c r="C41" s="10"/>
      <c r="D41" s="23">
        <f>SUM(D39/C40)</f>
        <v>520.46787148594376</v>
      </c>
      <c r="E41" s="23">
        <f ca="1">E39/$C$40</f>
        <v>4015.1807228915663</v>
      </c>
      <c r="F41" s="23">
        <f t="shared" ref="F41:G41" si="9">F39/$C$40</f>
        <v>385.50200803212851</v>
      </c>
      <c r="G41" s="23">
        <f t="shared" ca="1" si="9"/>
        <v>3903.4919678714859</v>
      </c>
      <c r="H41" s="23"/>
      <c r="I41" s="9"/>
      <c r="J41" s="10"/>
      <c r="K41" s="10"/>
      <c r="L41" s="10"/>
      <c r="M41" s="10"/>
      <c r="N41" s="10"/>
      <c r="O41" s="10"/>
      <c r="P41" s="10"/>
      <c r="Q41" s="10"/>
      <c r="R41" s="10"/>
      <c r="S41" s="10"/>
      <c r="T41" s="10"/>
      <c r="U41" s="10"/>
      <c r="V41" s="10"/>
      <c r="W41" s="10"/>
      <c r="X41" s="10"/>
      <c r="Y41" s="10"/>
      <c r="Z41" s="10"/>
      <c r="AA41" s="10"/>
      <c r="AB41" s="10"/>
      <c r="AC41" s="10"/>
      <c r="AD41" s="10"/>
      <c r="AE41" s="10"/>
      <c r="AF41" s="132"/>
    </row>
  </sheetData>
  <printOptions gridLines="1"/>
  <pageMargins left="0.7" right="0.7" top="0.75" bottom="0.75" header="0.3" footer="0.3"/>
  <pageSetup paperSize="9" scale="75" fitToWidth="0" orientation="landscape"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2727E-C969-40F6-B936-F964A1D94C67}">
  <dimension ref="B1:BN88"/>
  <sheetViews>
    <sheetView topLeftCell="B1" zoomScaleNormal="100" workbookViewId="0">
      <selection activeCell="AX24" sqref="AX24"/>
    </sheetView>
  </sheetViews>
  <sheetFormatPr defaultRowHeight="15" x14ac:dyDescent="0.25"/>
  <cols>
    <col min="2" max="2" width="27.7109375" customWidth="1"/>
    <col min="3" max="3" width="49" customWidth="1"/>
    <col min="4" max="4" width="11.28515625" hidden="1" customWidth="1"/>
    <col min="5" max="6" width="12.28515625" customWidth="1"/>
    <col min="7" max="7" width="17.7109375" customWidth="1"/>
    <col min="8" max="8" width="10.42578125" customWidth="1"/>
    <col min="9" max="9" width="21.28515625" customWidth="1"/>
    <col min="10" max="13" width="9.28515625" hidden="1" customWidth="1"/>
    <col min="14" max="14" width="9.5703125" hidden="1" customWidth="1"/>
    <col min="15" max="27" width="9.28515625" hidden="1" customWidth="1"/>
    <col min="28" max="28" width="11.42578125" hidden="1" customWidth="1"/>
    <col min="29" max="33" width="9.28515625" hidden="1" customWidth="1"/>
    <col min="34" max="34" width="11.42578125" hidden="1" customWidth="1"/>
    <col min="35" max="36" width="9.28515625" hidden="1" customWidth="1"/>
    <col min="37" max="37" width="11.7109375" hidden="1" customWidth="1"/>
    <col min="38" max="39" width="9.28515625" hidden="1" customWidth="1"/>
    <col min="40" max="40" width="13.5703125" hidden="1" customWidth="1"/>
    <col min="41" max="43" width="9.28515625" hidden="1" customWidth="1"/>
    <col min="64" max="64" width="9.5703125" bestFit="1" customWidth="1"/>
  </cols>
  <sheetData>
    <row r="1" spans="2:66" ht="15.75" thickBot="1" x14ac:dyDescent="0.3"/>
    <row r="2" spans="2:66" ht="15.75" thickBot="1" x14ac:dyDescent="0.3">
      <c r="B2" s="485" t="s">
        <v>714</v>
      </c>
      <c r="C2" s="252"/>
      <c r="D2" s="252"/>
      <c r="E2" s="252"/>
      <c r="F2" s="252"/>
      <c r="G2" s="252"/>
      <c r="H2" s="252"/>
      <c r="I2" s="253"/>
      <c r="J2" s="511" t="s">
        <v>416</v>
      </c>
      <c r="K2" s="511"/>
      <c r="L2" s="511"/>
      <c r="M2" s="511"/>
      <c r="N2" s="511"/>
      <c r="O2" s="511"/>
      <c r="P2" s="511"/>
      <c r="Q2" s="511"/>
      <c r="R2" s="511"/>
      <c r="S2" s="511"/>
      <c r="T2" s="511"/>
      <c r="U2" s="511"/>
      <c r="V2" s="511"/>
      <c r="W2" s="511"/>
      <c r="X2" s="511"/>
      <c r="Y2" s="511"/>
      <c r="Z2" s="511"/>
      <c r="AA2" s="511"/>
      <c r="AB2" s="511"/>
      <c r="AC2" s="511"/>
      <c r="AD2" s="511"/>
      <c r="AE2" s="511"/>
      <c r="AF2" s="511"/>
      <c r="AG2" s="511"/>
      <c r="AH2" s="511"/>
      <c r="AI2" s="511"/>
      <c r="AJ2" s="511"/>
      <c r="AK2" s="511"/>
      <c r="AL2" s="511"/>
      <c r="AM2" s="511"/>
      <c r="AN2" s="511"/>
      <c r="AO2" s="511"/>
      <c r="AP2" s="511"/>
      <c r="AQ2" s="511"/>
      <c r="AR2" s="489"/>
      <c r="AS2" s="490"/>
      <c r="AT2" s="490"/>
      <c r="AU2" s="491"/>
      <c r="AV2" s="490"/>
      <c r="AW2" s="491" t="s">
        <v>321</v>
      </c>
      <c r="AX2" s="490"/>
      <c r="AY2" s="492"/>
      <c r="AZ2" s="490"/>
      <c r="BA2" s="490"/>
      <c r="BB2" s="490"/>
      <c r="BC2" s="493" t="s">
        <v>527</v>
      </c>
      <c r="BD2" s="493"/>
      <c r="BE2" s="493"/>
      <c r="BF2" s="493"/>
      <c r="BG2" s="493"/>
      <c r="BH2" s="493"/>
      <c r="BI2" s="493" t="s">
        <v>323</v>
      </c>
      <c r="BJ2" s="490"/>
      <c r="BK2" s="490"/>
      <c r="BL2" s="490"/>
      <c r="BM2" s="490"/>
      <c r="BN2" s="494"/>
    </row>
    <row r="3" spans="2:66" ht="45.75" thickBot="1" x14ac:dyDescent="0.3">
      <c r="B3" s="39" t="s">
        <v>16</v>
      </c>
      <c r="C3" s="40" t="s">
        <v>17</v>
      </c>
      <c r="D3" s="120" t="s">
        <v>184</v>
      </c>
      <c r="E3" s="121" t="s">
        <v>185</v>
      </c>
      <c r="F3" s="41" t="s">
        <v>186</v>
      </c>
      <c r="G3" s="134" t="s">
        <v>187</v>
      </c>
      <c r="H3" s="134" t="s">
        <v>715</v>
      </c>
      <c r="I3" s="41" t="s">
        <v>111</v>
      </c>
      <c r="J3" s="142">
        <v>44440</v>
      </c>
      <c r="K3" s="142">
        <v>44470</v>
      </c>
      <c r="L3" s="142">
        <v>44501</v>
      </c>
      <c r="M3" s="142">
        <v>44531</v>
      </c>
      <c r="N3" s="142">
        <v>44562</v>
      </c>
      <c r="O3" s="142">
        <v>44593</v>
      </c>
      <c r="P3" s="142">
        <v>44621</v>
      </c>
      <c r="Q3" s="142">
        <v>44652</v>
      </c>
      <c r="R3" s="142">
        <v>44682</v>
      </c>
      <c r="S3" s="142">
        <v>44713</v>
      </c>
      <c r="T3" s="142">
        <v>44743</v>
      </c>
      <c r="U3" s="142">
        <v>44774</v>
      </c>
      <c r="V3" s="142">
        <v>44805</v>
      </c>
      <c r="W3" s="142">
        <v>44835</v>
      </c>
      <c r="X3" s="142">
        <v>44866</v>
      </c>
      <c r="Y3" s="142">
        <v>44896</v>
      </c>
      <c r="Z3" s="142">
        <v>44927</v>
      </c>
      <c r="AA3" s="142">
        <v>44958</v>
      </c>
      <c r="AB3" s="142">
        <v>44986</v>
      </c>
      <c r="AC3" s="142">
        <v>45017</v>
      </c>
      <c r="AD3" s="142">
        <v>45047</v>
      </c>
      <c r="AE3" s="142">
        <v>45078</v>
      </c>
      <c r="AF3" s="142">
        <v>45108</v>
      </c>
      <c r="AG3" s="142">
        <v>45139</v>
      </c>
      <c r="AH3" s="142">
        <v>45170</v>
      </c>
      <c r="AI3" s="142">
        <v>45200</v>
      </c>
      <c r="AJ3" s="142">
        <v>45231</v>
      </c>
      <c r="AK3" s="270">
        <v>45261</v>
      </c>
      <c r="AL3" s="142">
        <v>45292</v>
      </c>
      <c r="AM3" s="270">
        <v>45323</v>
      </c>
      <c r="AN3" s="143">
        <v>45352</v>
      </c>
      <c r="AO3" s="270">
        <v>45383</v>
      </c>
      <c r="AP3" s="143">
        <v>45413</v>
      </c>
      <c r="AQ3" s="142">
        <v>45444</v>
      </c>
      <c r="AR3" s="495">
        <v>45474</v>
      </c>
      <c r="AS3" s="171">
        <v>45505</v>
      </c>
      <c r="AT3" s="171">
        <v>45536</v>
      </c>
      <c r="AU3" s="171">
        <v>45566</v>
      </c>
      <c r="AV3" s="171">
        <v>45597</v>
      </c>
      <c r="AW3" s="171">
        <v>45627</v>
      </c>
      <c r="AX3" s="171">
        <v>45658</v>
      </c>
      <c r="AY3" s="171">
        <v>45689</v>
      </c>
      <c r="AZ3" s="171">
        <v>45717</v>
      </c>
      <c r="BA3" s="171">
        <v>45748</v>
      </c>
      <c r="BB3" s="171">
        <v>45778</v>
      </c>
      <c r="BC3" s="171">
        <v>45809</v>
      </c>
      <c r="BD3" s="171">
        <v>45839</v>
      </c>
      <c r="BE3" s="171">
        <v>45870</v>
      </c>
      <c r="BF3" s="171">
        <v>45901</v>
      </c>
      <c r="BG3" s="171">
        <v>45931</v>
      </c>
      <c r="BH3" s="171">
        <v>45962</v>
      </c>
      <c r="BI3" s="171">
        <v>45992</v>
      </c>
      <c r="BJ3" s="171">
        <v>46023</v>
      </c>
      <c r="BK3" s="171">
        <v>46054</v>
      </c>
      <c r="BL3" s="171">
        <v>46082</v>
      </c>
      <c r="BM3" s="171">
        <v>46113</v>
      </c>
      <c r="BN3" s="496">
        <v>46143</v>
      </c>
    </row>
    <row r="4" spans="2:66" x14ac:dyDescent="0.25">
      <c r="B4" s="8" t="s">
        <v>29</v>
      </c>
      <c r="C4" t="s">
        <v>297</v>
      </c>
      <c r="D4" s="19">
        <v>33540</v>
      </c>
      <c r="E4" s="19">
        <v>50000</v>
      </c>
      <c r="F4" s="19">
        <v>34950</v>
      </c>
      <c r="G4" s="19">
        <f ca="1">SUMIF($J$3:$BN$3,"&lt;"&amp;TODAY(),$J4:$BN4)</f>
        <v>34950</v>
      </c>
      <c r="H4" s="19"/>
      <c r="I4" s="19"/>
      <c r="J4" s="709">
        <v>34950</v>
      </c>
      <c r="K4" s="709"/>
      <c r="L4" s="709"/>
      <c r="M4" s="709"/>
      <c r="N4" s="709"/>
      <c r="O4" s="709"/>
      <c r="P4" s="709"/>
      <c r="Q4" s="709"/>
      <c r="R4" s="709"/>
      <c r="S4" s="709"/>
      <c r="T4" s="709"/>
      <c r="U4" s="709"/>
      <c r="V4" s="709"/>
      <c r="W4" s="709"/>
      <c r="X4" s="709"/>
      <c r="Y4" s="709"/>
      <c r="Z4" s="709"/>
      <c r="AA4" s="709"/>
      <c r="AB4" s="709"/>
      <c r="AC4" s="709"/>
      <c r="AD4" s="709"/>
      <c r="AE4" s="709"/>
      <c r="AF4" s="709"/>
      <c r="AG4" s="709"/>
      <c r="AH4" s="709"/>
      <c r="AI4" s="709"/>
      <c r="AJ4" s="709"/>
      <c r="AK4" s="709"/>
      <c r="AL4" s="709"/>
      <c r="AM4" s="709"/>
      <c r="AN4" s="709"/>
      <c r="AO4" s="709"/>
      <c r="AP4" s="709"/>
      <c r="AQ4" s="709"/>
      <c r="AR4" s="497"/>
      <c r="AS4" s="174"/>
      <c r="AT4" s="174"/>
      <c r="AU4" s="174"/>
      <c r="AV4" s="174"/>
      <c r="AW4" s="174"/>
      <c r="AX4" s="174"/>
      <c r="AY4" s="174"/>
      <c r="AZ4" s="174"/>
      <c r="BA4" s="174"/>
      <c r="BB4" s="174"/>
      <c r="BC4" s="174"/>
      <c r="BD4" s="174"/>
      <c r="BE4" s="174"/>
      <c r="BF4" s="174"/>
      <c r="BG4" s="174"/>
      <c r="BH4" s="174"/>
      <c r="BI4" s="118"/>
      <c r="BJ4" s="118"/>
      <c r="BK4" s="118"/>
      <c r="BL4" s="118"/>
      <c r="BM4" s="118"/>
      <c r="BN4" s="498"/>
    </row>
    <row r="5" spans="2:66" x14ac:dyDescent="0.25">
      <c r="B5" s="8"/>
      <c r="C5" t="s">
        <v>111</v>
      </c>
      <c r="D5" s="19"/>
      <c r="E5" s="19">
        <v>2000</v>
      </c>
      <c r="F5" s="19">
        <v>2000</v>
      </c>
      <c r="G5" s="19">
        <f ca="1">SUMIF($J$3:$BN$3,"&lt;"&amp;TODAY(),$J5:$BN5)</f>
        <v>2000</v>
      </c>
      <c r="H5" s="19"/>
      <c r="I5" s="19"/>
      <c r="J5" s="709">
        <v>2000</v>
      </c>
      <c r="K5" s="709"/>
      <c r="L5" s="709"/>
      <c r="M5" s="709"/>
      <c r="N5" s="709"/>
      <c r="O5" s="709"/>
      <c r="P5" s="709"/>
      <c r="Q5" s="709"/>
      <c r="R5" s="709"/>
      <c r="S5" s="709"/>
      <c r="T5" s="709"/>
      <c r="U5" s="709"/>
      <c r="V5" s="709"/>
      <c r="W5" s="709"/>
      <c r="X5" s="709"/>
      <c r="Y5" s="709"/>
      <c r="Z5" s="709"/>
      <c r="AA5" s="709"/>
      <c r="AB5" s="709"/>
      <c r="AC5" s="709"/>
      <c r="AD5" s="709"/>
      <c r="AE5" s="709"/>
      <c r="AF5" s="709"/>
      <c r="AG5" s="709"/>
      <c r="AH5" s="709"/>
      <c r="AI5" s="709"/>
      <c r="AJ5" s="709"/>
      <c r="AK5" s="709"/>
      <c r="AL5" s="709"/>
      <c r="AM5" s="709"/>
      <c r="AN5" s="709"/>
      <c r="AO5" s="709"/>
      <c r="AP5" s="709"/>
      <c r="AQ5" s="709"/>
      <c r="AR5" s="499"/>
      <c r="AS5" s="2"/>
      <c r="AT5" s="2"/>
      <c r="AU5" s="2"/>
      <c r="AV5" s="2"/>
      <c r="AW5" s="2"/>
      <c r="AX5" s="2"/>
      <c r="AY5" s="2"/>
      <c r="AZ5" s="2"/>
      <c r="BA5" s="2"/>
      <c r="BB5" s="2"/>
      <c r="BC5" s="2"/>
      <c r="BD5" s="2"/>
      <c r="BE5" s="2"/>
      <c r="BF5" s="2"/>
      <c r="BG5" s="2"/>
      <c r="BH5" s="2"/>
      <c r="BN5" s="500"/>
    </row>
    <row r="6" spans="2:66" x14ac:dyDescent="0.25">
      <c r="B6" s="8"/>
      <c r="C6" s="383" t="s">
        <v>32</v>
      </c>
      <c r="D6" s="713">
        <v>603846</v>
      </c>
      <c r="E6" s="713">
        <v>0</v>
      </c>
      <c r="F6" s="713">
        <v>0</v>
      </c>
      <c r="G6" s="19">
        <f ca="1">SUMIF($J$3:$BN$3,"&lt;"&amp;TODAY(),$J6:$BN6)</f>
        <v>1225696.656</v>
      </c>
      <c r="H6" s="711"/>
      <c r="I6" s="711"/>
      <c r="J6" s="671"/>
      <c r="K6" s="671"/>
      <c r="L6" s="671"/>
      <c r="M6" s="671"/>
      <c r="N6" s="671"/>
      <c r="O6" s="671"/>
      <c r="P6" s="671"/>
      <c r="Q6" s="671"/>
      <c r="R6" s="671"/>
      <c r="S6" s="671"/>
      <c r="T6" s="671"/>
      <c r="U6" s="671"/>
      <c r="V6" s="671"/>
      <c r="W6" s="671"/>
      <c r="X6" s="671"/>
      <c r="Y6" s="671"/>
      <c r="Z6" s="671"/>
      <c r="AA6" s="671"/>
      <c r="AB6" s="671">
        <v>277247.5</v>
      </c>
      <c r="AC6" s="671"/>
      <c r="AD6" s="671"/>
      <c r="AE6" s="671"/>
      <c r="AF6" s="671"/>
      <c r="AG6" s="671"/>
      <c r="AH6" s="671">
        <v>247301.6</v>
      </c>
      <c r="AI6" s="671"/>
      <c r="AJ6" s="671"/>
      <c r="AK6" s="671"/>
      <c r="AL6" s="671"/>
      <c r="AM6" s="671"/>
      <c r="AN6" s="671">
        <v>701147.55599999987</v>
      </c>
      <c r="AO6" s="671"/>
      <c r="AP6" s="671"/>
      <c r="AQ6" s="671"/>
      <c r="AR6" s="720"/>
      <c r="AS6" s="671"/>
      <c r="AT6" s="671">
        <v>0</v>
      </c>
      <c r="AU6" s="671"/>
      <c r="AV6" s="671"/>
      <c r="AW6" s="671"/>
      <c r="AX6" s="671"/>
      <c r="AY6" s="671"/>
      <c r="AZ6" s="671">
        <v>0</v>
      </c>
      <c r="BA6" s="671"/>
      <c r="BB6" s="671"/>
      <c r="BC6" s="671"/>
      <c r="BD6" s="671"/>
      <c r="BE6" s="671"/>
      <c r="BF6" s="671">
        <v>0</v>
      </c>
      <c r="BG6" s="671"/>
      <c r="BH6" s="671"/>
      <c r="BI6" s="671"/>
      <c r="BJ6" s="671"/>
      <c r="BK6" s="671"/>
      <c r="BL6" s="671">
        <v>4049.3519999999553</v>
      </c>
      <c r="BN6" s="500"/>
    </row>
    <row r="7" spans="2:66" x14ac:dyDescent="0.25">
      <c r="B7" s="14" t="s">
        <v>35</v>
      </c>
      <c r="C7" s="15"/>
      <c r="D7" s="21"/>
      <c r="E7" s="21">
        <v>62000</v>
      </c>
      <c r="F7" s="21"/>
      <c r="G7" s="21">
        <f ca="1">SUMIF($AR$3:$BN$3,"&lt;"&amp;TODAY(),$AR7:$BN7)</f>
        <v>0</v>
      </c>
      <c r="H7" s="21"/>
      <c r="I7" s="21"/>
      <c r="J7" s="709"/>
      <c r="K7" s="709"/>
      <c r="L7" s="709"/>
      <c r="M7" s="709"/>
      <c r="N7" s="709"/>
      <c r="O7" s="709"/>
      <c r="P7" s="709"/>
      <c r="Q7" s="709"/>
      <c r="R7" s="709"/>
      <c r="S7" s="709"/>
      <c r="T7" s="709"/>
      <c r="U7" s="709"/>
      <c r="V7" s="709"/>
      <c r="W7" s="709"/>
      <c r="X7" s="709"/>
      <c r="Y7" s="709"/>
      <c r="Z7" s="709"/>
      <c r="AA7" s="709"/>
      <c r="AB7" s="709"/>
      <c r="AC7" s="709"/>
      <c r="AD7" s="709"/>
      <c r="AE7" s="709"/>
      <c r="AF7" s="709"/>
      <c r="AG7" s="709"/>
      <c r="AH7" s="709"/>
      <c r="AI7" s="709"/>
      <c r="AJ7" s="709"/>
      <c r="AK7" s="709"/>
      <c r="AL7" s="709"/>
      <c r="AM7" s="709"/>
      <c r="AN7" s="709"/>
      <c r="AO7" s="709"/>
      <c r="AP7" s="709"/>
      <c r="AQ7" s="709"/>
      <c r="AR7" s="499"/>
      <c r="AS7" s="2"/>
      <c r="AT7" s="2"/>
      <c r="AU7" s="2"/>
      <c r="AV7" s="2"/>
      <c r="AW7" s="2"/>
      <c r="AX7" s="2"/>
      <c r="AY7" s="2"/>
      <c r="AZ7" s="2"/>
      <c r="BA7" s="2"/>
      <c r="BB7" s="2"/>
      <c r="BC7" s="2"/>
      <c r="BD7" s="2"/>
      <c r="BE7" s="2"/>
      <c r="BF7" s="2"/>
      <c r="BG7" s="2"/>
      <c r="BH7" s="2"/>
      <c r="BN7" s="500"/>
    </row>
    <row r="8" spans="2:66" x14ac:dyDescent="0.25">
      <c r="B8" s="14" t="s">
        <v>40</v>
      </c>
      <c r="C8" s="15"/>
      <c r="D8" s="21">
        <v>47706</v>
      </c>
      <c r="E8" s="21">
        <v>50700</v>
      </c>
      <c r="F8" s="21">
        <v>0</v>
      </c>
      <c r="G8" s="21">
        <f ca="1">SUMIF($AR$3:$BN$3,"&lt;"&amp;TODAY(),$AR8:$BN8)</f>
        <v>0</v>
      </c>
      <c r="H8" s="21"/>
      <c r="I8" s="21" t="s">
        <v>649</v>
      </c>
      <c r="J8" s="709"/>
      <c r="K8" s="709"/>
      <c r="L8" s="709"/>
      <c r="M8" s="709"/>
      <c r="N8" s="709"/>
      <c r="O8" s="709"/>
      <c r="P8" s="709"/>
      <c r="Q8" s="709"/>
      <c r="R8" s="709"/>
      <c r="S8" s="709"/>
      <c r="T8" s="709"/>
      <c r="U8" s="709"/>
      <c r="V8" s="709"/>
      <c r="W8" s="709"/>
      <c r="X8" s="709"/>
      <c r="Y8" s="709"/>
      <c r="Z8" s="709"/>
      <c r="AA8" s="709"/>
      <c r="AB8" s="709"/>
      <c r="AC8" s="709"/>
      <c r="AD8" s="709"/>
      <c r="AE8" s="709"/>
      <c r="AF8" s="709"/>
      <c r="AG8" s="709"/>
      <c r="AH8" s="709"/>
      <c r="AI8" s="709"/>
      <c r="AJ8" s="709"/>
      <c r="AK8" s="709"/>
      <c r="AL8" s="709"/>
      <c r="AM8" s="709"/>
      <c r="AN8" s="709"/>
      <c r="AO8" s="709"/>
      <c r="AP8" s="709"/>
      <c r="AQ8" s="709"/>
      <c r="AR8" s="499"/>
      <c r="AT8" s="2"/>
      <c r="AU8" s="2"/>
      <c r="AV8" s="2"/>
      <c r="AW8" s="2"/>
      <c r="AX8" s="2"/>
      <c r="AY8" s="2"/>
      <c r="AZ8" s="2"/>
      <c r="BA8" s="2"/>
      <c r="BB8" s="2"/>
      <c r="BC8" s="2"/>
      <c r="BE8" s="2"/>
      <c r="BF8" s="2"/>
      <c r="BG8" s="2"/>
      <c r="BH8" s="2"/>
      <c r="BI8" s="2"/>
      <c r="BJ8" s="2"/>
      <c r="BK8" s="2"/>
      <c r="BN8" s="500"/>
    </row>
    <row r="9" spans="2:66" x14ac:dyDescent="0.25">
      <c r="B9" s="14" t="s">
        <v>37</v>
      </c>
      <c r="C9" s="15"/>
      <c r="D9" s="21">
        <v>105000</v>
      </c>
      <c r="E9" s="21">
        <v>180000</v>
      </c>
      <c r="F9" s="21"/>
      <c r="G9" s="21">
        <f ca="1">SUMIF($AR$3:$BN$3,"&lt;"&amp;TODAY(),$AR9:$BN9)</f>
        <v>0</v>
      </c>
      <c r="H9" s="21"/>
      <c r="I9" s="21" t="s">
        <v>716</v>
      </c>
      <c r="J9" s="709"/>
      <c r="K9" s="709"/>
      <c r="L9" s="709"/>
      <c r="M9" s="709"/>
      <c r="N9" s="709"/>
      <c r="O9" s="709"/>
      <c r="P9" s="709"/>
      <c r="Q9" s="709"/>
      <c r="R9" s="709"/>
      <c r="S9" s="709"/>
      <c r="T9" s="709"/>
      <c r="U9" s="709"/>
      <c r="V9" s="709"/>
      <c r="W9" s="709"/>
      <c r="X9" s="709"/>
      <c r="Y9" s="709"/>
      <c r="Z9" s="709"/>
      <c r="AA9" s="709"/>
      <c r="AB9" s="709"/>
      <c r="AC9" s="709"/>
      <c r="AD9" s="709"/>
      <c r="AE9" s="709"/>
      <c r="AF9" s="709"/>
      <c r="AG9" s="709"/>
      <c r="AH9" s="709"/>
      <c r="AI9" s="709"/>
      <c r="AJ9" s="709"/>
      <c r="AK9" s="709"/>
      <c r="AL9" s="709"/>
      <c r="AM9" s="709"/>
      <c r="AN9" s="709"/>
      <c r="AO9" s="709"/>
      <c r="AP9" s="709"/>
      <c r="AQ9" s="709"/>
      <c r="AR9" s="499"/>
      <c r="AT9" s="2"/>
      <c r="AU9" s="2"/>
      <c r="AV9" s="2"/>
      <c r="AW9" s="2"/>
      <c r="AX9" s="2"/>
      <c r="AY9" s="2"/>
      <c r="AZ9" s="2"/>
      <c r="BA9" s="2"/>
      <c r="BB9" s="2"/>
      <c r="BC9" s="2"/>
      <c r="BD9" s="2"/>
      <c r="BE9" s="2"/>
      <c r="BF9" s="2"/>
      <c r="BG9" s="2"/>
      <c r="BH9" s="2"/>
      <c r="BN9" s="500"/>
    </row>
    <row r="10" spans="2:66" x14ac:dyDescent="0.25">
      <c r="B10" s="8" t="s">
        <v>717</v>
      </c>
      <c r="C10" t="s">
        <v>718</v>
      </c>
      <c r="D10" s="19"/>
      <c r="E10" s="19">
        <v>7200</v>
      </c>
      <c r="F10" s="19"/>
      <c r="G10" s="19">
        <f ca="1">SUMIF($AR$3:$BN$3,"&lt;"&amp;TODAY(),$AR10:$BN10)</f>
        <v>0</v>
      </c>
      <c r="H10" s="2"/>
      <c r="I10" s="19" t="s">
        <v>719</v>
      </c>
      <c r="J10" s="709"/>
      <c r="K10" s="709"/>
      <c r="L10" s="709"/>
      <c r="M10" s="709"/>
      <c r="N10" s="709"/>
      <c r="O10" s="709"/>
      <c r="P10" s="709"/>
      <c r="Q10" s="709"/>
      <c r="R10" s="709"/>
      <c r="S10" s="709"/>
      <c r="T10" s="709"/>
      <c r="U10" s="709"/>
      <c r="V10" s="709"/>
      <c r="W10" s="709"/>
      <c r="X10" s="709"/>
      <c r="Y10" s="709"/>
      <c r="Z10" s="709"/>
      <c r="AA10" s="709"/>
      <c r="AB10" s="709"/>
      <c r="AC10" s="709"/>
      <c r="AD10" s="709"/>
      <c r="AE10" s="709"/>
      <c r="AF10" s="709"/>
      <c r="AG10" s="709"/>
      <c r="AH10" s="709"/>
      <c r="AI10" s="709"/>
      <c r="AJ10" s="709"/>
      <c r="AK10" s="709"/>
      <c r="AL10" s="709"/>
      <c r="AM10" s="709"/>
      <c r="AN10" s="709"/>
      <c r="AO10" s="709"/>
      <c r="AP10" s="709"/>
      <c r="AQ10" s="709"/>
      <c r="AR10" s="499"/>
      <c r="AT10" s="2"/>
      <c r="AU10" s="2"/>
      <c r="AV10" s="2"/>
      <c r="AW10" s="2"/>
      <c r="AX10" s="2"/>
      <c r="AY10" s="2"/>
      <c r="AZ10" s="2"/>
      <c r="BA10" s="2"/>
      <c r="BB10" s="2"/>
      <c r="BC10" s="2"/>
      <c r="BD10" s="2"/>
      <c r="BE10" s="2"/>
      <c r="BF10" s="2"/>
      <c r="BG10" s="2"/>
      <c r="BH10" s="2"/>
      <c r="BN10" s="500"/>
    </row>
    <row r="11" spans="2:66" x14ac:dyDescent="0.25">
      <c r="B11" s="16" t="s">
        <v>720</v>
      </c>
      <c r="C11" t="s">
        <v>721</v>
      </c>
      <c r="D11" s="19">
        <v>500</v>
      </c>
      <c r="E11" s="19">
        <v>500</v>
      </c>
      <c r="F11" s="19">
        <v>500</v>
      </c>
      <c r="G11" s="19">
        <f ca="1">SUMIF($AR$3:$BN$3,"&lt;"&amp;TODAY(),$AR11:$BN11)</f>
        <v>0</v>
      </c>
      <c r="H11" s="487"/>
      <c r="I11" s="19" t="s">
        <v>339</v>
      </c>
      <c r="J11" s="709"/>
      <c r="K11" s="709"/>
      <c r="L11" s="709"/>
      <c r="M11" s="709"/>
      <c r="N11" s="709"/>
      <c r="O11" s="709"/>
      <c r="P11" s="709"/>
      <c r="Q11" s="709"/>
      <c r="R11" s="709"/>
      <c r="S11" s="709"/>
      <c r="T11" s="709"/>
      <c r="U11" s="709"/>
      <c r="V11" s="709"/>
      <c r="W11" s="709"/>
      <c r="X11" s="709"/>
      <c r="Y11" s="709"/>
      <c r="Z11" s="709"/>
      <c r="AA11" s="709"/>
      <c r="AB11" s="709"/>
      <c r="AC11" s="709"/>
      <c r="AD11" s="709"/>
      <c r="AE11" s="709"/>
      <c r="AF11" s="709"/>
      <c r="AG11" s="709"/>
      <c r="AH11" s="709"/>
      <c r="AI11" s="2">
        <v>500</v>
      </c>
      <c r="AJ11" s="709"/>
      <c r="AK11" s="709"/>
      <c r="AL11" s="709"/>
      <c r="AM11" s="709"/>
      <c r="AN11" s="709"/>
      <c r="AO11" s="709"/>
      <c r="AP11" s="709"/>
      <c r="AQ11" s="709"/>
      <c r="AR11" s="499"/>
      <c r="AS11" s="2"/>
      <c r="AT11" s="2"/>
      <c r="AU11" s="2"/>
      <c r="AV11" s="2"/>
      <c r="AW11" s="2"/>
      <c r="AX11" s="2"/>
      <c r="AY11" s="2"/>
      <c r="AZ11" s="2"/>
      <c r="BA11" s="2"/>
      <c r="BB11" s="2"/>
      <c r="BC11" s="2"/>
      <c r="BD11" s="2"/>
      <c r="BE11" s="2"/>
      <c r="BF11" s="2"/>
      <c r="BG11" s="2"/>
      <c r="BH11" s="2"/>
      <c r="BN11" s="500"/>
    </row>
    <row r="12" spans="2:66" x14ac:dyDescent="0.25">
      <c r="B12" s="16"/>
      <c r="C12" t="s">
        <v>704</v>
      </c>
      <c r="D12" s="19">
        <v>2400</v>
      </c>
      <c r="E12" s="19">
        <v>2400</v>
      </c>
      <c r="F12" s="19">
        <v>2400</v>
      </c>
      <c r="G12" s="19">
        <f t="shared" ref="G12:G41" ca="1" si="0">SUMIF($AR$3:$BN$3,"&lt;"&amp;TODAY(),$AR12:$BN12)</f>
        <v>0</v>
      </c>
      <c r="H12" s="488"/>
      <c r="I12" s="19" t="s">
        <v>649</v>
      </c>
      <c r="J12" s="709"/>
      <c r="K12" s="709"/>
      <c r="L12" s="709"/>
      <c r="M12" s="709"/>
      <c r="N12" s="709"/>
      <c r="O12" s="709"/>
      <c r="P12" s="709"/>
      <c r="Q12" s="709"/>
      <c r="R12" s="709"/>
      <c r="S12" s="709"/>
      <c r="T12" s="709"/>
      <c r="U12" s="709"/>
      <c r="V12" s="709"/>
      <c r="W12" s="709"/>
      <c r="X12" s="709"/>
      <c r="Y12" s="709"/>
      <c r="Z12" s="709"/>
      <c r="AA12" s="709"/>
      <c r="AB12" s="709"/>
      <c r="AC12" s="709"/>
      <c r="AD12" s="709"/>
      <c r="AE12" s="709"/>
      <c r="AF12" s="709"/>
      <c r="AG12" s="709"/>
      <c r="AH12" s="709"/>
      <c r="AI12" s="2">
        <v>2400</v>
      </c>
      <c r="AJ12" s="709"/>
      <c r="AK12" s="709"/>
      <c r="AL12" s="709"/>
      <c r="AM12" s="709"/>
      <c r="AN12" s="709"/>
      <c r="AO12" s="709"/>
      <c r="AP12" s="709"/>
      <c r="AQ12" s="709"/>
      <c r="AR12" s="499"/>
      <c r="AS12" s="2"/>
      <c r="AT12" s="2"/>
      <c r="AU12" s="2"/>
      <c r="AV12" s="2"/>
      <c r="AW12" s="2"/>
      <c r="AX12" s="2"/>
      <c r="AY12" s="2"/>
      <c r="AZ12" s="2"/>
      <c r="BA12" s="2"/>
      <c r="BB12" s="2"/>
      <c r="BC12" s="2"/>
      <c r="BD12" s="2"/>
      <c r="BE12" s="2"/>
      <c r="BF12" s="2"/>
      <c r="BG12" s="2"/>
      <c r="BH12" s="2"/>
      <c r="BN12" s="500"/>
    </row>
    <row r="13" spans="2:66" x14ac:dyDescent="0.25">
      <c r="B13" s="16" t="s">
        <v>722</v>
      </c>
      <c r="C13" t="s">
        <v>723</v>
      </c>
      <c r="D13" s="19"/>
      <c r="E13" s="19">
        <v>13390</v>
      </c>
      <c r="F13" s="19">
        <v>13390</v>
      </c>
      <c r="G13" s="19">
        <f t="shared" ca="1" si="0"/>
        <v>664.5</v>
      </c>
      <c r="H13" s="486" t="s">
        <v>724</v>
      </c>
      <c r="I13" s="19" t="s">
        <v>654</v>
      </c>
      <c r="J13" s="709"/>
      <c r="K13" s="709"/>
      <c r="L13" s="709"/>
      <c r="M13" s="709"/>
      <c r="N13" s="709"/>
      <c r="O13" s="709"/>
      <c r="P13" s="709"/>
      <c r="Q13" s="709"/>
      <c r="R13" s="709"/>
      <c r="S13" s="709"/>
      <c r="T13" s="709"/>
      <c r="U13" s="709"/>
      <c r="V13" s="709"/>
      <c r="W13" s="709"/>
      <c r="X13" s="709"/>
      <c r="Y13" s="709"/>
      <c r="Z13" s="709"/>
      <c r="AA13" s="709"/>
      <c r="AB13" s="709"/>
      <c r="AC13" s="709"/>
      <c r="AD13" s="709"/>
      <c r="AE13" s="709"/>
      <c r="AF13" s="709"/>
      <c r="AG13" s="709"/>
      <c r="AH13" s="709"/>
      <c r="AI13" s="709"/>
      <c r="AJ13" s="709"/>
      <c r="AK13" s="709"/>
      <c r="AL13" s="709"/>
      <c r="AM13" s="709"/>
      <c r="AN13" s="709"/>
      <c r="AO13" s="709"/>
      <c r="AP13" s="709"/>
      <c r="AQ13" s="709"/>
      <c r="AR13" s="499"/>
      <c r="AS13" s="113">
        <v>664.5</v>
      </c>
      <c r="AT13" s="2"/>
      <c r="AU13" s="2"/>
      <c r="AV13" s="2"/>
      <c r="AW13" s="2"/>
      <c r="AX13" s="2"/>
      <c r="AY13" s="2"/>
      <c r="AZ13" s="2"/>
      <c r="BA13" s="2"/>
      <c r="BB13" s="2"/>
      <c r="BC13" s="2"/>
      <c r="BD13" s="2"/>
      <c r="BE13" s="2"/>
      <c r="BF13" s="2"/>
      <c r="BG13" s="2"/>
      <c r="BH13" s="2"/>
      <c r="BN13" s="500"/>
    </row>
    <row r="14" spans="2:66" x14ac:dyDescent="0.25">
      <c r="B14" s="16" t="s">
        <v>659</v>
      </c>
      <c r="C14" t="s">
        <v>725</v>
      </c>
      <c r="D14" s="19">
        <v>22000</v>
      </c>
      <c r="E14" s="19">
        <v>3320</v>
      </c>
      <c r="F14" s="19">
        <v>3320</v>
      </c>
      <c r="G14" s="19">
        <f t="shared" ca="1" si="0"/>
        <v>2830</v>
      </c>
      <c r="H14" s="486" t="s">
        <v>726</v>
      </c>
      <c r="I14" s="19" t="s">
        <v>654</v>
      </c>
      <c r="J14" s="709"/>
      <c r="K14" s="709"/>
      <c r="L14" s="709"/>
      <c r="M14" s="709"/>
      <c r="N14" s="709"/>
      <c r="O14" s="709"/>
      <c r="P14" s="709"/>
      <c r="Q14" s="709"/>
      <c r="R14" s="709"/>
      <c r="S14" s="709"/>
      <c r="T14" s="709"/>
      <c r="U14" s="709"/>
      <c r="V14" s="709"/>
      <c r="W14" s="709"/>
      <c r="X14" s="709"/>
      <c r="Y14" s="709"/>
      <c r="Z14" s="709"/>
      <c r="AA14" s="709"/>
      <c r="AB14" s="709"/>
      <c r="AC14" s="709"/>
      <c r="AD14" s="709"/>
      <c r="AE14" s="709"/>
      <c r="AF14" s="709"/>
      <c r="AG14" s="709"/>
      <c r="AH14" s="709"/>
      <c r="AI14" s="709"/>
      <c r="AJ14" s="709"/>
      <c r="AK14" s="709"/>
      <c r="AL14" s="709"/>
      <c r="AM14" s="709"/>
      <c r="AN14" s="709"/>
      <c r="AO14" s="709"/>
      <c r="AP14" s="709"/>
      <c r="AQ14" s="709"/>
      <c r="AR14" s="499"/>
      <c r="AS14" s="113">
        <v>2830</v>
      </c>
      <c r="AT14" s="2"/>
      <c r="AU14" s="2"/>
      <c r="AV14" s="2"/>
      <c r="AW14" s="2"/>
      <c r="AX14" s="2"/>
      <c r="AY14" s="2"/>
      <c r="AZ14" s="2"/>
      <c r="BA14" s="2"/>
      <c r="BB14" s="2"/>
      <c r="BC14" s="2"/>
      <c r="BD14" s="2"/>
      <c r="BE14" s="2"/>
      <c r="BF14" s="2"/>
      <c r="BG14" s="2"/>
      <c r="BH14" s="2"/>
      <c r="BN14" s="500"/>
    </row>
    <row r="15" spans="2:66" x14ac:dyDescent="0.25">
      <c r="B15" s="16"/>
      <c r="C15" t="s">
        <v>727</v>
      </c>
      <c r="D15" s="19"/>
      <c r="E15" s="19">
        <v>2670</v>
      </c>
      <c r="F15" s="19">
        <v>2670</v>
      </c>
      <c r="G15" s="19">
        <f t="shared" ca="1" si="0"/>
        <v>0</v>
      </c>
      <c r="H15" s="486" t="s">
        <v>728</v>
      </c>
      <c r="I15" s="19" t="s">
        <v>654</v>
      </c>
      <c r="J15" s="709"/>
      <c r="K15" s="709"/>
      <c r="L15" s="709"/>
      <c r="M15" s="709"/>
      <c r="N15" s="709"/>
      <c r="O15" s="709"/>
      <c r="P15" s="709"/>
      <c r="Q15" s="709"/>
      <c r="R15" s="709"/>
      <c r="S15" s="709"/>
      <c r="T15" s="709"/>
      <c r="U15" s="709"/>
      <c r="V15" s="709"/>
      <c r="W15" s="709"/>
      <c r="X15" s="709"/>
      <c r="Y15" s="709"/>
      <c r="Z15" s="709"/>
      <c r="AA15" s="709"/>
      <c r="AB15" s="709"/>
      <c r="AC15" s="709"/>
      <c r="AD15" s="709"/>
      <c r="AE15" s="709"/>
      <c r="AF15" s="709"/>
      <c r="AG15" s="709"/>
      <c r="AH15" s="709"/>
      <c r="AI15" s="709"/>
      <c r="AJ15" s="709"/>
      <c r="AK15" s="709"/>
      <c r="AL15" s="709"/>
      <c r="AM15" s="709"/>
      <c r="AN15" s="709"/>
      <c r="AO15" s="709"/>
      <c r="AP15" s="709"/>
      <c r="AQ15" s="709"/>
      <c r="AR15" s="499"/>
      <c r="AS15" s="2"/>
      <c r="AT15" s="2"/>
      <c r="AU15" s="2"/>
      <c r="AV15" s="2"/>
      <c r="AW15" s="2"/>
      <c r="AX15" s="2"/>
      <c r="AY15" s="2"/>
      <c r="AZ15" s="2"/>
      <c r="BA15" s="2"/>
      <c r="BB15" s="2"/>
      <c r="BC15" s="2"/>
      <c r="BD15" s="2"/>
      <c r="BE15" s="2"/>
      <c r="BF15" s="2"/>
      <c r="BG15" s="2"/>
      <c r="BH15" s="2"/>
      <c r="BN15" s="500"/>
    </row>
    <row r="16" spans="2:66" x14ac:dyDescent="0.25">
      <c r="B16" s="16"/>
      <c r="C16" t="s">
        <v>664</v>
      </c>
      <c r="D16" s="19"/>
      <c r="E16" s="19">
        <v>1705</v>
      </c>
      <c r="F16" s="19"/>
      <c r="G16" s="19">
        <f t="shared" ca="1" si="0"/>
        <v>0</v>
      </c>
      <c r="H16" s="486" t="s">
        <v>729</v>
      </c>
      <c r="I16" s="19" t="s">
        <v>654</v>
      </c>
      <c r="J16" s="709"/>
      <c r="K16" s="709"/>
      <c r="L16" s="709"/>
      <c r="M16" s="709"/>
      <c r="N16" s="709"/>
      <c r="O16" s="709"/>
      <c r="P16" s="709"/>
      <c r="Q16" s="709"/>
      <c r="R16" s="709"/>
      <c r="S16" s="709"/>
      <c r="T16" s="709"/>
      <c r="U16" s="709"/>
      <c r="V16" s="709"/>
      <c r="W16" s="709"/>
      <c r="X16" s="709"/>
      <c r="Y16" s="709"/>
      <c r="Z16" s="709"/>
      <c r="AA16" s="709"/>
      <c r="AB16" s="709"/>
      <c r="AC16" s="709"/>
      <c r="AD16" s="709"/>
      <c r="AE16" s="709"/>
      <c r="AF16" s="709"/>
      <c r="AG16" s="709"/>
      <c r="AH16" s="709"/>
      <c r="AI16" s="709"/>
      <c r="AJ16" s="709"/>
      <c r="AK16" s="709"/>
      <c r="AL16" s="709"/>
      <c r="AM16" s="709"/>
      <c r="AN16" s="709"/>
      <c r="AO16" s="709"/>
      <c r="AP16" s="709"/>
      <c r="AQ16" s="709"/>
      <c r="AR16" s="499"/>
      <c r="AS16" s="2"/>
      <c r="AT16" s="2"/>
      <c r="AU16" s="2"/>
      <c r="AV16" s="2"/>
      <c r="AW16" s="2"/>
      <c r="AX16" s="2"/>
      <c r="AY16" s="2"/>
      <c r="AZ16" s="2"/>
      <c r="BA16" s="2"/>
      <c r="BB16" s="2"/>
      <c r="BC16" s="2"/>
      <c r="BD16" s="2"/>
      <c r="BE16" s="2"/>
      <c r="BF16" s="2"/>
      <c r="BG16" s="2"/>
      <c r="BH16" s="2"/>
      <c r="BN16" s="500"/>
    </row>
    <row r="17" spans="2:66" x14ac:dyDescent="0.25">
      <c r="B17" s="16"/>
      <c r="C17" t="s">
        <v>665</v>
      </c>
      <c r="D17" s="19"/>
      <c r="E17" s="19">
        <v>2130</v>
      </c>
      <c r="F17" s="19"/>
      <c r="G17" s="19">
        <f t="shared" ca="1" si="0"/>
        <v>0</v>
      </c>
      <c r="H17" s="486" t="s">
        <v>730</v>
      </c>
      <c r="I17" s="19" t="s">
        <v>654</v>
      </c>
      <c r="J17" s="709"/>
      <c r="K17" s="709"/>
      <c r="L17" s="709"/>
      <c r="M17" s="709"/>
      <c r="N17" s="709"/>
      <c r="O17" s="709"/>
      <c r="P17" s="709"/>
      <c r="Q17" s="709"/>
      <c r="R17" s="709"/>
      <c r="S17" s="709"/>
      <c r="T17" s="709"/>
      <c r="U17" s="709"/>
      <c r="V17" s="709"/>
      <c r="W17" s="709"/>
      <c r="X17" s="709"/>
      <c r="Y17" s="709"/>
      <c r="Z17" s="709"/>
      <c r="AA17" s="709"/>
      <c r="AB17" s="709"/>
      <c r="AC17" s="709"/>
      <c r="AD17" s="709"/>
      <c r="AE17" s="709"/>
      <c r="AF17" s="709"/>
      <c r="AG17" s="709"/>
      <c r="AH17" s="709"/>
      <c r="AI17" s="709"/>
      <c r="AJ17" s="709"/>
      <c r="AK17" s="709"/>
      <c r="AL17" s="709"/>
      <c r="AM17" s="709"/>
      <c r="AN17" s="709"/>
      <c r="AO17" s="709"/>
      <c r="AP17" s="709"/>
      <c r="AQ17" s="709"/>
      <c r="AR17" s="499"/>
      <c r="AS17" s="2"/>
      <c r="AT17" s="2"/>
      <c r="AU17" s="2"/>
      <c r="AV17" s="2"/>
      <c r="AW17" s="2"/>
      <c r="AX17" s="2"/>
      <c r="AY17" s="2"/>
      <c r="AZ17" s="2"/>
      <c r="BA17" s="2"/>
      <c r="BB17" s="2"/>
      <c r="BC17" s="2"/>
      <c r="BD17" s="2"/>
      <c r="BE17" s="2"/>
      <c r="BF17" s="2"/>
      <c r="BG17" s="2"/>
      <c r="BH17" s="2"/>
      <c r="BN17" s="500"/>
    </row>
    <row r="18" spans="2:66" x14ac:dyDescent="0.25">
      <c r="B18" s="16"/>
      <c r="C18" t="s">
        <v>666</v>
      </c>
      <c r="D18" s="19"/>
      <c r="E18" s="19">
        <v>1705</v>
      </c>
      <c r="F18" s="19"/>
      <c r="G18" s="19">
        <f t="shared" ca="1" si="0"/>
        <v>0</v>
      </c>
      <c r="H18" s="486" t="s">
        <v>731</v>
      </c>
      <c r="I18" s="19" t="s">
        <v>654</v>
      </c>
      <c r="J18" s="709"/>
      <c r="K18" s="709"/>
      <c r="L18" s="709"/>
      <c r="M18" s="709"/>
      <c r="N18" s="709"/>
      <c r="O18" s="709"/>
      <c r="P18" s="709"/>
      <c r="Q18" s="709"/>
      <c r="R18" s="709"/>
      <c r="S18" s="709"/>
      <c r="T18" s="709"/>
      <c r="U18" s="709"/>
      <c r="V18" s="709"/>
      <c r="W18" s="709"/>
      <c r="X18" s="709"/>
      <c r="Y18" s="709"/>
      <c r="Z18" s="709"/>
      <c r="AA18" s="709"/>
      <c r="AB18" s="709"/>
      <c r="AC18" s="709"/>
      <c r="AD18" s="709"/>
      <c r="AE18" s="709"/>
      <c r="AF18" s="709"/>
      <c r="AG18" s="709"/>
      <c r="AH18" s="709"/>
      <c r="AI18" s="709"/>
      <c r="AJ18" s="709"/>
      <c r="AK18" s="709"/>
      <c r="AL18" s="709"/>
      <c r="AM18" s="709"/>
      <c r="AN18" s="709"/>
      <c r="AO18" s="709"/>
      <c r="AP18" s="709"/>
      <c r="AQ18" s="709"/>
      <c r="AR18" s="499"/>
      <c r="AS18" s="2"/>
      <c r="AT18" s="2"/>
      <c r="AU18" s="2"/>
      <c r="AV18" s="2"/>
      <c r="AW18" s="2"/>
      <c r="AX18" s="2"/>
      <c r="AY18" s="2"/>
      <c r="AZ18" s="2"/>
      <c r="BA18" s="2"/>
      <c r="BB18" s="2"/>
      <c r="BC18" s="2"/>
      <c r="BD18" s="2"/>
      <c r="BE18" s="2"/>
      <c r="BF18" s="2"/>
      <c r="BG18" s="2"/>
      <c r="BH18" s="2"/>
      <c r="BN18" s="500"/>
    </row>
    <row r="19" spans="2:66" x14ac:dyDescent="0.25">
      <c r="B19" s="16"/>
      <c r="C19" t="s">
        <v>732</v>
      </c>
      <c r="D19" s="19"/>
      <c r="E19" s="693">
        <v>5470</v>
      </c>
      <c r="F19" s="19"/>
      <c r="G19" s="19">
        <f t="shared" ca="1" si="0"/>
        <v>0</v>
      </c>
      <c r="H19" s="742" t="s">
        <v>373</v>
      </c>
      <c r="I19" s="19" t="s">
        <v>654</v>
      </c>
      <c r="J19" s="709"/>
      <c r="K19" s="709"/>
      <c r="L19" s="709"/>
      <c r="M19" s="709"/>
      <c r="N19" s="709"/>
      <c r="O19" s="709"/>
      <c r="P19" s="709"/>
      <c r="Q19" s="709"/>
      <c r="R19" s="709"/>
      <c r="S19" s="709"/>
      <c r="T19" s="709"/>
      <c r="U19" s="709"/>
      <c r="V19" s="709"/>
      <c r="W19" s="709"/>
      <c r="X19" s="709"/>
      <c r="Y19" s="709"/>
      <c r="Z19" s="709"/>
      <c r="AA19" s="709"/>
      <c r="AB19" s="709"/>
      <c r="AC19" s="709"/>
      <c r="AD19" s="709"/>
      <c r="AE19" s="709"/>
      <c r="AF19" s="709"/>
      <c r="AG19" s="709"/>
      <c r="AH19" s="709"/>
      <c r="AI19" s="709"/>
      <c r="AJ19" s="709"/>
      <c r="AK19" s="709"/>
      <c r="AL19" s="709"/>
      <c r="AM19" s="709"/>
      <c r="AN19" s="709"/>
      <c r="AO19" s="709"/>
      <c r="AP19" s="709"/>
      <c r="AQ19" s="709"/>
      <c r="AR19" s="499"/>
      <c r="AS19" s="2"/>
      <c r="AT19" s="2"/>
      <c r="AU19" s="2"/>
      <c r="AV19" s="2"/>
      <c r="AW19" s="2"/>
      <c r="AX19" s="2"/>
      <c r="AY19" s="2"/>
      <c r="AZ19" s="2"/>
      <c r="BA19" s="2"/>
      <c r="BB19" s="2"/>
      <c r="BC19" s="2"/>
      <c r="BD19" s="2"/>
      <c r="BE19" s="2"/>
      <c r="BF19" s="2"/>
      <c r="BG19" s="2"/>
      <c r="BH19" s="2"/>
      <c r="BN19" s="500"/>
    </row>
    <row r="20" spans="2:66" x14ac:dyDescent="0.25">
      <c r="B20" s="16" t="s">
        <v>472</v>
      </c>
      <c r="C20" t="s">
        <v>733</v>
      </c>
      <c r="D20" s="19">
        <v>3000</v>
      </c>
      <c r="E20" s="19">
        <v>3750</v>
      </c>
      <c r="F20" s="19"/>
      <c r="G20" s="19">
        <f t="shared" ca="1" si="0"/>
        <v>0</v>
      </c>
      <c r="H20" s="486" t="s">
        <v>734</v>
      </c>
      <c r="I20" s="19" t="s">
        <v>475</v>
      </c>
      <c r="J20" s="709"/>
      <c r="K20" s="709"/>
      <c r="L20" s="709"/>
      <c r="M20" s="709"/>
      <c r="N20" s="709"/>
      <c r="O20" s="709"/>
      <c r="P20" s="709"/>
      <c r="Q20" s="709"/>
      <c r="R20" s="709"/>
      <c r="S20" s="709"/>
      <c r="T20" s="709"/>
      <c r="U20" s="709"/>
      <c r="V20" s="709"/>
      <c r="W20" s="709"/>
      <c r="X20" s="709"/>
      <c r="Y20" s="709"/>
      <c r="Z20" s="709"/>
      <c r="AA20" s="709"/>
      <c r="AB20" s="709"/>
      <c r="AC20" s="709"/>
      <c r="AD20" s="709"/>
      <c r="AE20" s="709"/>
      <c r="AF20" s="709"/>
      <c r="AG20" s="709"/>
      <c r="AH20" s="709"/>
      <c r="AI20" s="709"/>
      <c r="AJ20" s="709"/>
      <c r="AK20" s="709"/>
      <c r="AL20" s="709"/>
      <c r="AM20" s="709"/>
      <c r="AN20" s="709"/>
      <c r="AO20" s="709"/>
      <c r="AP20" s="709"/>
      <c r="AQ20" s="709"/>
      <c r="AR20" s="499"/>
      <c r="AS20" s="2"/>
      <c r="AT20" s="2"/>
      <c r="AU20" s="2"/>
      <c r="AV20" s="2"/>
      <c r="AW20" s="2"/>
      <c r="AX20" s="2"/>
      <c r="AY20" s="2"/>
      <c r="AZ20" s="2"/>
      <c r="BA20" s="2"/>
      <c r="BB20" s="2"/>
      <c r="BC20" s="2"/>
      <c r="BD20" s="2"/>
      <c r="BE20" s="2"/>
      <c r="BF20" s="2"/>
      <c r="BG20" s="2"/>
      <c r="BH20" s="2"/>
      <c r="BN20" s="500"/>
    </row>
    <row r="21" spans="2:66" x14ac:dyDescent="0.25">
      <c r="B21" s="16" t="s">
        <v>464</v>
      </c>
      <c r="C21" t="s">
        <v>669</v>
      </c>
      <c r="D21" s="19">
        <v>8000</v>
      </c>
      <c r="E21" s="19">
        <v>4950</v>
      </c>
      <c r="F21" s="19"/>
      <c r="G21" s="19">
        <f t="shared" ca="1" si="0"/>
        <v>0</v>
      </c>
      <c r="H21" s="486" t="s">
        <v>735</v>
      </c>
      <c r="I21" s="19" t="s">
        <v>309</v>
      </c>
      <c r="J21" s="709"/>
      <c r="K21" s="709"/>
      <c r="L21" s="709"/>
      <c r="M21" s="709"/>
      <c r="N21" s="709"/>
      <c r="O21" s="709"/>
      <c r="P21" s="709"/>
      <c r="Q21" s="709"/>
      <c r="R21" s="709"/>
      <c r="S21" s="709"/>
      <c r="T21" s="709"/>
      <c r="U21" s="709"/>
      <c r="V21" s="709"/>
      <c r="W21" s="709"/>
      <c r="X21" s="709"/>
      <c r="Y21" s="709"/>
      <c r="Z21" s="709"/>
      <c r="AA21" s="709"/>
      <c r="AB21" s="709"/>
      <c r="AC21" s="709"/>
      <c r="AD21" s="709"/>
      <c r="AE21" s="709"/>
      <c r="AF21" s="709"/>
      <c r="AG21" s="709"/>
      <c r="AH21" s="709"/>
      <c r="AI21" s="709"/>
      <c r="AJ21" s="709"/>
      <c r="AK21" s="709"/>
      <c r="AL21" s="709"/>
      <c r="AM21" s="709"/>
      <c r="AN21" s="709"/>
      <c r="AO21" s="709"/>
      <c r="AP21" s="709"/>
      <c r="AQ21" s="709"/>
      <c r="AR21" s="499"/>
      <c r="AS21" s="2"/>
      <c r="AT21" s="2"/>
      <c r="AU21" s="2"/>
      <c r="AV21" s="2"/>
      <c r="AW21" s="2"/>
      <c r="AX21" s="2"/>
      <c r="AY21" s="2"/>
      <c r="AZ21" s="2"/>
      <c r="BA21" s="2"/>
      <c r="BB21" s="2"/>
      <c r="BC21" s="2"/>
      <c r="BD21" s="2"/>
      <c r="BE21" s="2"/>
      <c r="BF21" s="2"/>
      <c r="BG21" s="2"/>
      <c r="BH21" s="2"/>
      <c r="BN21" s="500"/>
    </row>
    <row r="22" spans="2:66" x14ac:dyDescent="0.25">
      <c r="B22" s="16" t="s">
        <v>673</v>
      </c>
      <c r="C22" t="s">
        <v>674</v>
      </c>
      <c r="D22" s="19">
        <v>11000</v>
      </c>
      <c r="E22" s="19">
        <v>6650</v>
      </c>
      <c r="F22" s="19"/>
      <c r="G22" s="19">
        <f t="shared" ca="1" si="0"/>
        <v>0</v>
      </c>
      <c r="H22" s="486" t="s">
        <v>736</v>
      </c>
      <c r="I22" s="19" t="s">
        <v>305</v>
      </c>
      <c r="J22" s="709"/>
      <c r="K22" s="709"/>
      <c r="L22" s="709"/>
      <c r="M22" s="709"/>
      <c r="N22" s="709"/>
      <c r="O22" s="709"/>
      <c r="P22" s="709"/>
      <c r="Q22" s="709"/>
      <c r="R22" s="709"/>
      <c r="S22" s="709"/>
      <c r="T22" s="709"/>
      <c r="U22" s="709"/>
      <c r="V22" s="709"/>
      <c r="W22" s="709"/>
      <c r="X22" s="709"/>
      <c r="Y22" s="709"/>
      <c r="Z22" s="709"/>
      <c r="AA22" s="709"/>
      <c r="AB22" s="709"/>
      <c r="AC22" s="709"/>
      <c r="AD22" s="709"/>
      <c r="AE22" s="709"/>
      <c r="AF22" s="709"/>
      <c r="AG22" s="709"/>
      <c r="AH22" s="709"/>
      <c r="AI22" s="709"/>
      <c r="AJ22" s="709"/>
      <c r="AK22" s="709"/>
      <c r="AL22" s="709"/>
      <c r="AM22" s="709"/>
      <c r="AN22" s="709"/>
      <c r="AO22" s="709"/>
      <c r="AP22" s="709"/>
      <c r="AQ22" s="709"/>
      <c r="AR22" s="499"/>
      <c r="AS22" s="2"/>
      <c r="AT22" s="2"/>
      <c r="AU22" s="2"/>
      <c r="AV22" s="2"/>
      <c r="AW22" s="2"/>
      <c r="AX22" s="2"/>
      <c r="AY22" s="2"/>
      <c r="AZ22" s="2"/>
      <c r="BA22" s="2"/>
      <c r="BB22" s="2"/>
      <c r="BC22" s="2"/>
      <c r="BD22" s="2"/>
      <c r="BE22" s="2"/>
      <c r="BF22" s="2"/>
      <c r="BG22" s="2"/>
      <c r="BH22" s="2"/>
      <c r="BN22" s="500"/>
    </row>
    <row r="23" spans="2:66" x14ac:dyDescent="0.25">
      <c r="B23" s="16"/>
      <c r="C23" t="s">
        <v>676</v>
      </c>
      <c r="D23" s="19"/>
      <c r="E23" s="19">
        <v>3750</v>
      </c>
      <c r="F23" s="19"/>
      <c r="G23" s="19">
        <f t="shared" ca="1" si="0"/>
        <v>0</v>
      </c>
      <c r="H23" s="742" t="s">
        <v>373</v>
      </c>
      <c r="I23" s="19" t="s">
        <v>305</v>
      </c>
      <c r="J23" s="709"/>
      <c r="K23" s="709"/>
      <c r="L23" s="709"/>
      <c r="M23" s="709"/>
      <c r="N23" s="709"/>
      <c r="O23" s="709"/>
      <c r="P23" s="709"/>
      <c r="Q23" s="709"/>
      <c r="R23" s="709"/>
      <c r="S23" s="709"/>
      <c r="T23" s="709"/>
      <c r="U23" s="709"/>
      <c r="V23" s="709"/>
      <c r="W23" s="709"/>
      <c r="X23" s="709"/>
      <c r="Y23" s="709"/>
      <c r="Z23" s="709"/>
      <c r="AA23" s="709"/>
      <c r="AB23" s="709"/>
      <c r="AC23" s="709"/>
      <c r="AD23" s="709"/>
      <c r="AE23" s="709"/>
      <c r="AF23" s="709"/>
      <c r="AG23" s="709"/>
      <c r="AH23" s="709"/>
      <c r="AI23" s="709"/>
      <c r="AJ23" s="709"/>
      <c r="AK23" s="709"/>
      <c r="AL23" s="709"/>
      <c r="AM23" s="709"/>
      <c r="AN23" s="709"/>
      <c r="AO23" s="709"/>
      <c r="AP23" s="709"/>
      <c r="AQ23" s="709"/>
      <c r="AR23" s="499"/>
      <c r="AS23" s="2"/>
      <c r="AT23" s="2"/>
      <c r="AU23" s="2"/>
      <c r="AV23" s="2"/>
      <c r="AW23" s="2"/>
      <c r="AX23" s="2"/>
      <c r="AY23" s="2"/>
      <c r="AZ23" s="2"/>
      <c r="BA23" s="2"/>
      <c r="BB23" s="2"/>
      <c r="BC23" s="2"/>
      <c r="BD23" s="2"/>
      <c r="BE23" s="2"/>
      <c r="BF23" s="2"/>
      <c r="BG23" s="2"/>
      <c r="BH23" s="2"/>
      <c r="BN23" s="500"/>
    </row>
    <row r="24" spans="2:66" x14ac:dyDescent="0.25">
      <c r="B24" s="16" t="s">
        <v>445</v>
      </c>
      <c r="C24" t="s">
        <v>677</v>
      </c>
      <c r="D24" s="19">
        <v>15000</v>
      </c>
      <c r="E24" s="479">
        <v>12500</v>
      </c>
      <c r="F24" s="19"/>
      <c r="G24" s="19">
        <f t="shared" ca="1" si="0"/>
        <v>0</v>
      </c>
      <c r="H24" s="486" t="s">
        <v>737</v>
      </c>
      <c r="I24" s="19" t="s">
        <v>113</v>
      </c>
      <c r="J24" s="709"/>
      <c r="K24" s="709"/>
      <c r="L24" s="709"/>
      <c r="M24" s="709"/>
      <c r="N24" s="709"/>
      <c r="O24" s="709"/>
      <c r="P24" s="709"/>
      <c r="Q24" s="709"/>
      <c r="R24" s="709"/>
      <c r="S24" s="709"/>
      <c r="T24" s="709"/>
      <c r="U24" s="709"/>
      <c r="V24" s="709"/>
      <c r="W24" s="709"/>
      <c r="X24" s="709"/>
      <c r="Y24" s="709"/>
      <c r="Z24" s="709"/>
      <c r="AA24" s="709"/>
      <c r="AB24" s="709"/>
      <c r="AC24" s="709"/>
      <c r="AD24" s="709"/>
      <c r="AE24" s="709"/>
      <c r="AF24" s="709"/>
      <c r="AG24" s="709"/>
      <c r="AH24" s="709"/>
      <c r="AI24" s="709"/>
      <c r="AJ24" s="709"/>
      <c r="AK24" s="709"/>
      <c r="AL24" s="709"/>
      <c r="AM24" s="709"/>
      <c r="AN24" s="709"/>
      <c r="AO24" s="709"/>
      <c r="AP24" s="709"/>
      <c r="AQ24" s="709"/>
      <c r="AR24" s="499"/>
      <c r="AS24" s="2"/>
      <c r="AT24" s="2"/>
      <c r="AU24" s="2"/>
      <c r="AV24" s="2"/>
      <c r="AW24" s="2"/>
      <c r="AX24" s="2"/>
      <c r="AY24" s="2"/>
      <c r="AZ24" s="2"/>
      <c r="BA24" s="2"/>
      <c r="BB24" s="2"/>
      <c r="BC24" s="2"/>
      <c r="BD24" s="2"/>
      <c r="BE24" s="2"/>
      <c r="BF24" s="2"/>
      <c r="BG24" s="2"/>
      <c r="BH24" s="2"/>
      <c r="BN24" s="500"/>
    </row>
    <row r="25" spans="2:66" x14ac:dyDescent="0.25">
      <c r="B25" s="16" t="s">
        <v>680</v>
      </c>
      <c r="C25" t="s">
        <v>681</v>
      </c>
      <c r="D25" s="19">
        <v>8000</v>
      </c>
      <c r="E25" s="19">
        <v>5631</v>
      </c>
      <c r="F25" s="19"/>
      <c r="G25" s="19">
        <f t="shared" ca="1" si="0"/>
        <v>0</v>
      </c>
      <c r="H25" s="486" t="s">
        <v>738</v>
      </c>
      <c r="I25" s="19" t="s">
        <v>682</v>
      </c>
      <c r="J25" s="709"/>
      <c r="K25" s="709"/>
      <c r="L25" s="709"/>
      <c r="M25" s="709"/>
      <c r="N25" s="709"/>
      <c r="O25" s="709"/>
      <c r="P25" s="709"/>
      <c r="Q25" s="709"/>
      <c r="R25" s="709"/>
      <c r="S25" s="709"/>
      <c r="T25" s="709"/>
      <c r="U25" s="709"/>
      <c r="V25" s="709"/>
      <c r="W25" s="709"/>
      <c r="X25" s="709"/>
      <c r="Y25" s="709"/>
      <c r="Z25" s="709"/>
      <c r="AA25" s="709"/>
      <c r="AB25" s="709"/>
      <c r="AC25" s="709"/>
      <c r="AD25" s="709"/>
      <c r="AE25" s="709"/>
      <c r="AF25" s="709"/>
      <c r="AG25" s="709"/>
      <c r="AH25" s="709"/>
      <c r="AI25" s="709"/>
      <c r="AJ25" s="709"/>
      <c r="AK25" s="709"/>
      <c r="AL25" s="709"/>
      <c r="AM25" s="709"/>
      <c r="AN25" s="709"/>
      <c r="AO25" s="709"/>
      <c r="AP25" s="709"/>
      <c r="AQ25" s="709"/>
      <c r="AR25" s="499"/>
      <c r="AS25" s="2"/>
      <c r="AT25" s="2"/>
      <c r="AU25" s="2"/>
      <c r="AV25" s="2"/>
      <c r="AW25" s="2"/>
      <c r="AX25" s="2"/>
      <c r="AY25" s="2"/>
      <c r="AZ25" s="2"/>
      <c r="BA25" s="2"/>
      <c r="BB25" s="2"/>
      <c r="BC25" s="2"/>
      <c r="BD25" s="2"/>
      <c r="BE25" s="2"/>
      <c r="BF25" s="2"/>
      <c r="BG25" s="2"/>
      <c r="BH25" s="2"/>
      <c r="BN25" s="500"/>
    </row>
    <row r="26" spans="2:66" x14ac:dyDescent="0.25">
      <c r="B26" s="16"/>
      <c r="E26" s="19"/>
      <c r="F26" s="19"/>
      <c r="G26" s="19">
        <f t="shared" ca="1" si="0"/>
        <v>0</v>
      </c>
      <c r="H26" s="19"/>
      <c r="I26" s="19"/>
      <c r="J26" s="709"/>
      <c r="K26" s="709"/>
      <c r="L26" s="709"/>
      <c r="M26" s="709"/>
      <c r="N26" s="709"/>
      <c r="O26" s="709"/>
      <c r="P26" s="709"/>
      <c r="Q26" s="709"/>
      <c r="R26" s="709"/>
      <c r="S26" s="709"/>
      <c r="T26" s="709"/>
      <c r="U26" s="709"/>
      <c r="V26" s="709"/>
      <c r="W26" s="709"/>
      <c r="X26" s="709"/>
      <c r="Y26" s="709"/>
      <c r="Z26" s="709"/>
      <c r="AA26" s="709"/>
      <c r="AB26" s="709"/>
      <c r="AC26" s="709"/>
      <c r="AD26" s="709"/>
      <c r="AE26" s="709"/>
      <c r="AF26" s="709"/>
      <c r="AG26" s="709"/>
      <c r="AH26" s="709"/>
      <c r="AI26" s="709"/>
      <c r="AJ26" s="709"/>
      <c r="AK26" s="709"/>
      <c r="AL26" s="709"/>
      <c r="AM26" s="709"/>
      <c r="AN26" s="709"/>
      <c r="AO26" s="709"/>
      <c r="AP26" s="709"/>
      <c r="AQ26" s="709"/>
      <c r="AR26" s="499"/>
      <c r="AS26" s="2"/>
      <c r="AT26" s="2"/>
      <c r="AU26" s="2"/>
      <c r="AV26" s="2"/>
      <c r="AW26" s="2"/>
      <c r="AX26" s="2"/>
      <c r="AY26" s="2"/>
      <c r="AZ26" s="2"/>
      <c r="BA26" s="2"/>
      <c r="BB26" s="2"/>
      <c r="BC26" s="2"/>
      <c r="BD26" s="2"/>
      <c r="BE26" s="2"/>
      <c r="BF26" s="2"/>
      <c r="BG26" s="2"/>
      <c r="BH26" s="2"/>
      <c r="BN26" s="500"/>
    </row>
    <row r="27" spans="2:66" x14ac:dyDescent="0.25">
      <c r="B27" s="16" t="s">
        <v>60</v>
      </c>
      <c r="C27" t="s">
        <v>739</v>
      </c>
      <c r="D27" s="19">
        <v>8000</v>
      </c>
      <c r="E27" s="19">
        <v>6850</v>
      </c>
      <c r="F27" s="19"/>
      <c r="G27" s="19">
        <f t="shared" ca="1" si="0"/>
        <v>0</v>
      </c>
      <c r="H27" s="486" t="s">
        <v>740</v>
      </c>
      <c r="I27" s="19" t="s">
        <v>190</v>
      </c>
      <c r="J27" s="709"/>
      <c r="K27" s="709"/>
      <c r="L27" s="709"/>
      <c r="M27" s="709"/>
      <c r="N27" s="709"/>
      <c r="O27" s="709"/>
      <c r="P27" s="709"/>
      <c r="Q27" s="709"/>
      <c r="R27" s="709"/>
      <c r="S27" s="709"/>
      <c r="T27" s="709"/>
      <c r="U27" s="709"/>
      <c r="V27" s="709"/>
      <c r="W27" s="709"/>
      <c r="X27" s="709"/>
      <c r="Y27" s="709"/>
      <c r="Z27" s="709"/>
      <c r="AA27" s="709"/>
      <c r="AB27" s="709"/>
      <c r="AC27" s="709"/>
      <c r="AD27" s="709"/>
      <c r="AE27" s="709"/>
      <c r="AF27" s="709"/>
      <c r="AG27" s="709"/>
      <c r="AH27" s="709"/>
      <c r="AI27" s="709"/>
      <c r="AJ27" s="709"/>
      <c r="AK27" s="709"/>
      <c r="AL27" s="709"/>
      <c r="AM27" s="709"/>
      <c r="AN27" s="709"/>
      <c r="AO27" s="709"/>
      <c r="AP27" s="709"/>
      <c r="AQ27" s="709"/>
      <c r="AR27" s="499"/>
      <c r="AS27" s="2"/>
      <c r="AT27" s="2"/>
      <c r="AU27" s="2"/>
      <c r="AV27" s="2"/>
      <c r="AW27" s="2"/>
      <c r="AX27" s="2"/>
      <c r="AY27" s="2"/>
      <c r="AZ27" s="2"/>
      <c r="BA27" s="2"/>
      <c r="BB27" s="2"/>
      <c r="BC27" s="2"/>
      <c r="BD27" s="2"/>
      <c r="BE27" s="2"/>
      <c r="BF27" s="2"/>
      <c r="BG27" s="2"/>
      <c r="BH27" s="2"/>
      <c r="BN27" s="500"/>
    </row>
    <row r="28" spans="2:66" x14ac:dyDescent="0.25">
      <c r="B28" s="16" t="s">
        <v>687</v>
      </c>
      <c r="C28" t="s">
        <v>687</v>
      </c>
      <c r="D28" s="19">
        <v>4000</v>
      </c>
      <c r="E28" s="19">
        <v>5600</v>
      </c>
      <c r="F28" s="19"/>
      <c r="G28" s="19">
        <f t="shared" ca="1" si="0"/>
        <v>0</v>
      </c>
      <c r="H28" s="486" t="s">
        <v>741</v>
      </c>
      <c r="I28" s="19" t="s">
        <v>742</v>
      </c>
      <c r="J28" s="709"/>
      <c r="K28" s="709"/>
      <c r="L28" s="709"/>
      <c r="M28" s="709"/>
      <c r="N28" s="709"/>
      <c r="O28" s="709"/>
      <c r="P28" s="709"/>
      <c r="Q28" s="709"/>
      <c r="R28" s="709"/>
      <c r="S28" s="709"/>
      <c r="T28" s="709"/>
      <c r="U28" s="709"/>
      <c r="V28" s="709"/>
      <c r="W28" s="709"/>
      <c r="X28" s="709"/>
      <c r="Y28" s="709"/>
      <c r="Z28" s="709"/>
      <c r="AA28" s="709"/>
      <c r="AB28" s="709"/>
      <c r="AC28" s="709"/>
      <c r="AD28" s="709"/>
      <c r="AE28" s="709"/>
      <c r="AF28" s="709"/>
      <c r="AG28" s="709"/>
      <c r="AH28" s="709"/>
      <c r="AI28" s="709"/>
      <c r="AJ28" s="709"/>
      <c r="AK28" s="709"/>
      <c r="AL28" s="709"/>
      <c r="AM28" s="709"/>
      <c r="AN28" s="709"/>
      <c r="AO28" s="709"/>
      <c r="AP28" s="709"/>
      <c r="AQ28" s="709"/>
      <c r="AR28" s="499"/>
      <c r="AS28" s="2"/>
      <c r="AT28" s="2"/>
      <c r="AU28" s="2"/>
      <c r="AV28" s="2"/>
      <c r="AW28" s="2"/>
      <c r="AX28" s="2"/>
      <c r="AY28" s="2"/>
      <c r="AZ28" s="2"/>
      <c r="BA28" s="2"/>
      <c r="BB28" s="2"/>
      <c r="BC28" s="2"/>
      <c r="BD28" s="2"/>
      <c r="BE28" s="2"/>
      <c r="BF28" s="2"/>
      <c r="BG28" s="2"/>
      <c r="BH28" s="2"/>
      <c r="BN28" s="500"/>
    </row>
    <row r="29" spans="2:66" x14ac:dyDescent="0.25">
      <c r="B29" s="16"/>
      <c r="C29" t="s">
        <v>743</v>
      </c>
      <c r="D29" s="19"/>
      <c r="E29" s="693">
        <v>1250</v>
      </c>
      <c r="F29" s="19"/>
      <c r="G29" s="19">
        <f t="shared" ca="1" si="0"/>
        <v>0</v>
      </c>
      <c r="H29" s="742" t="s">
        <v>373</v>
      </c>
      <c r="I29" s="19" t="s">
        <v>742</v>
      </c>
      <c r="J29" s="709"/>
      <c r="K29" s="709"/>
      <c r="L29" s="709"/>
      <c r="M29" s="709"/>
      <c r="N29" s="709"/>
      <c r="O29" s="709"/>
      <c r="P29" s="709"/>
      <c r="Q29" s="709"/>
      <c r="R29" s="709"/>
      <c r="S29" s="709"/>
      <c r="T29" s="709"/>
      <c r="U29" s="709"/>
      <c r="V29" s="709"/>
      <c r="W29" s="709"/>
      <c r="X29" s="709"/>
      <c r="Y29" s="709"/>
      <c r="Z29" s="709"/>
      <c r="AA29" s="709"/>
      <c r="AB29" s="709"/>
      <c r="AC29" s="709"/>
      <c r="AD29" s="709"/>
      <c r="AE29" s="709"/>
      <c r="AF29" s="709"/>
      <c r="AG29" s="709"/>
      <c r="AH29" s="709"/>
      <c r="AI29" s="709"/>
      <c r="AJ29" s="709"/>
      <c r="AK29" s="709"/>
      <c r="AL29" s="709"/>
      <c r="AM29" s="709"/>
      <c r="AN29" s="709"/>
      <c r="AO29" s="709"/>
      <c r="AP29" s="709"/>
      <c r="AQ29" s="709"/>
      <c r="AR29" s="499"/>
      <c r="AS29" s="2"/>
      <c r="AT29" s="2"/>
      <c r="AU29" s="2"/>
      <c r="AV29" s="2"/>
      <c r="AW29" s="2"/>
      <c r="AX29" s="2"/>
      <c r="AY29" s="2"/>
      <c r="AZ29" s="2"/>
      <c r="BA29" s="2"/>
      <c r="BB29" s="2"/>
      <c r="BC29" s="2"/>
      <c r="BD29" s="2"/>
      <c r="BE29" s="2"/>
      <c r="BF29" s="2"/>
      <c r="BG29" s="2"/>
      <c r="BH29" s="2"/>
      <c r="BN29" s="500"/>
    </row>
    <row r="30" spans="2:66" x14ac:dyDescent="0.25">
      <c r="B30" s="16" t="s">
        <v>487</v>
      </c>
      <c r="C30" t="s">
        <v>688</v>
      </c>
      <c r="D30" s="19">
        <v>6000</v>
      </c>
      <c r="E30" s="479">
        <v>1370</v>
      </c>
      <c r="F30" s="19"/>
      <c r="G30" s="19">
        <f t="shared" ca="1" si="0"/>
        <v>0</v>
      </c>
      <c r="H30" s="486" t="s">
        <v>744</v>
      </c>
      <c r="I30" s="19" t="s">
        <v>689</v>
      </c>
      <c r="J30" s="709"/>
      <c r="K30" s="709"/>
      <c r="L30" s="709"/>
      <c r="M30" s="709"/>
      <c r="N30" s="709"/>
      <c r="O30" s="709"/>
      <c r="P30" s="709"/>
      <c r="Q30" s="709"/>
      <c r="R30" s="709"/>
      <c r="S30" s="709"/>
      <c r="T30" s="709"/>
      <c r="U30" s="709"/>
      <c r="V30" s="709"/>
      <c r="W30" s="709"/>
      <c r="X30" s="709"/>
      <c r="Y30" s="709"/>
      <c r="Z30" s="709"/>
      <c r="AA30" s="709"/>
      <c r="AB30" s="709"/>
      <c r="AC30" s="709"/>
      <c r="AD30" s="709"/>
      <c r="AE30" s="709"/>
      <c r="AF30" s="709"/>
      <c r="AG30" s="709"/>
      <c r="AH30" s="709"/>
      <c r="AI30" s="709"/>
      <c r="AJ30" s="709"/>
      <c r="AK30" s="709"/>
      <c r="AL30" s="709"/>
      <c r="AM30" s="709"/>
      <c r="AN30" s="709"/>
      <c r="AO30" s="709"/>
      <c r="AP30" s="709"/>
      <c r="AQ30" s="709"/>
      <c r="AR30" s="499"/>
      <c r="AT30" s="2"/>
      <c r="AU30" s="2"/>
      <c r="AV30" s="2"/>
      <c r="AW30" s="2"/>
      <c r="AX30" s="2"/>
      <c r="AY30" s="2"/>
      <c r="AZ30" s="2"/>
      <c r="BA30" s="2"/>
      <c r="BB30" s="2"/>
      <c r="BC30" s="2"/>
      <c r="BD30" s="2"/>
      <c r="BE30" s="2"/>
      <c r="BF30" s="2"/>
      <c r="BG30" s="2"/>
      <c r="BH30" s="2"/>
      <c r="BN30" s="500"/>
    </row>
    <row r="31" spans="2:66" x14ac:dyDescent="0.25">
      <c r="B31" s="16"/>
      <c r="C31" t="s">
        <v>743</v>
      </c>
      <c r="D31" s="19"/>
      <c r="E31" s="693">
        <v>1270</v>
      </c>
      <c r="F31" s="19"/>
      <c r="G31" s="19">
        <f t="shared" ca="1" si="0"/>
        <v>0</v>
      </c>
      <c r="H31" s="19"/>
      <c r="I31" s="19" t="s">
        <v>689</v>
      </c>
      <c r="J31" s="709"/>
      <c r="K31" s="709"/>
      <c r="L31" s="709"/>
      <c r="M31" s="709"/>
      <c r="N31" s="709"/>
      <c r="O31" s="709"/>
      <c r="P31" s="709"/>
      <c r="Q31" s="709"/>
      <c r="R31" s="709"/>
      <c r="S31" s="709"/>
      <c r="T31" s="709"/>
      <c r="U31" s="709"/>
      <c r="V31" s="709"/>
      <c r="W31" s="709"/>
      <c r="X31" s="709"/>
      <c r="Y31" s="709"/>
      <c r="Z31" s="709"/>
      <c r="AA31" s="709"/>
      <c r="AB31" s="709"/>
      <c r="AC31" s="709"/>
      <c r="AD31" s="709"/>
      <c r="AE31" s="709"/>
      <c r="AF31" s="709"/>
      <c r="AG31" s="709"/>
      <c r="AH31" s="709"/>
      <c r="AI31" s="709"/>
      <c r="AJ31" s="709"/>
      <c r="AK31" s="709"/>
      <c r="AL31" s="709"/>
      <c r="AM31" s="709"/>
      <c r="AN31" s="709"/>
      <c r="AO31" s="709"/>
      <c r="AP31" s="709"/>
      <c r="AQ31" s="709"/>
      <c r="AR31" s="499"/>
      <c r="AT31" s="2"/>
      <c r="AU31" s="2"/>
      <c r="AV31" s="2"/>
      <c r="AW31" s="2"/>
      <c r="AX31" s="2"/>
      <c r="AY31" s="2"/>
      <c r="AZ31" s="2"/>
      <c r="BA31" s="2"/>
      <c r="BB31" s="2"/>
      <c r="BC31" s="2"/>
      <c r="BD31" s="2"/>
      <c r="BE31" s="2"/>
      <c r="BF31" s="2"/>
      <c r="BG31" s="2"/>
      <c r="BH31" s="2"/>
      <c r="BN31" s="500"/>
    </row>
    <row r="32" spans="2:66" x14ac:dyDescent="0.25">
      <c r="B32" s="16" t="s">
        <v>489</v>
      </c>
      <c r="C32" t="s">
        <v>490</v>
      </c>
      <c r="D32" s="19">
        <v>3000</v>
      </c>
      <c r="E32" s="19">
        <v>4560</v>
      </c>
      <c r="F32" s="19"/>
      <c r="G32" s="19">
        <f t="shared" ca="1" si="0"/>
        <v>0</v>
      </c>
      <c r="H32" s="742" t="s">
        <v>373</v>
      </c>
      <c r="I32" s="420" t="s">
        <v>745</v>
      </c>
      <c r="J32" s="709"/>
      <c r="K32" s="709"/>
      <c r="L32" s="709"/>
      <c r="M32" s="709"/>
      <c r="N32" s="709"/>
      <c r="O32" s="709"/>
      <c r="P32" s="709"/>
      <c r="Q32" s="709"/>
      <c r="R32" s="709"/>
      <c r="S32" s="709"/>
      <c r="T32" s="709"/>
      <c r="U32" s="709"/>
      <c r="V32" s="709"/>
      <c r="W32" s="709"/>
      <c r="X32" s="709"/>
      <c r="Y32" s="709"/>
      <c r="Z32" s="709"/>
      <c r="AA32" s="709"/>
      <c r="AB32" s="709"/>
      <c r="AC32" s="709"/>
      <c r="AD32" s="709"/>
      <c r="AE32" s="709"/>
      <c r="AF32" s="709"/>
      <c r="AG32" s="709"/>
      <c r="AH32" s="709"/>
      <c r="AI32" s="709"/>
      <c r="AJ32" s="709"/>
      <c r="AK32" s="709"/>
      <c r="AL32" s="709"/>
      <c r="AM32" s="709"/>
      <c r="AN32" s="709"/>
      <c r="AO32" s="709"/>
      <c r="AP32" s="709"/>
      <c r="AQ32" s="709"/>
      <c r="AR32" s="499"/>
      <c r="AT32" s="2"/>
      <c r="AU32" s="2"/>
      <c r="AV32" s="2"/>
      <c r="AW32" s="2"/>
      <c r="AX32" s="2"/>
      <c r="AY32" s="2"/>
      <c r="AZ32" s="2"/>
      <c r="BA32" s="2"/>
      <c r="BB32" s="2"/>
      <c r="BC32" s="2"/>
      <c r="BD32" s="2"/>
      <c r="BE32" s="2"/>
      <c r="BF32" s="2"/>
      <c r="BG32" s="2"/>
      <c r="BH32" s="2"/>
      <c r="BN32" s="500"/>
    </row>
    <row r="33" spans="2:66" x14ac:dyDescent="0.25">
      <c r="B33" s="16" t="s">
        <v>311</v>
      </c>
      <c r="C33" t="s">
        <v>499</v>
      </c>
      <c r="D33" s="19">
        <v>10850</v>
      </c>
      <c r="E33" s="479">
        <v>2320</v>
      </c>
      <c r="F33" s="19"/>
      <c r="G33" s="19">
        <f ca="1">SUMIF($AR$3:$BN$3,"&lt;"&amp;TODAY(),$AR33:$BN33)</f>
        <v>0</v>
      </c>
      <c r="H33" s="486" t="s">
        <v>746</v>
      </c>
      <c r="I33" s="19" t="s">
        <v>654</v>
      </c>
      <c r="J33" s="709"/>
      <c r="K33" s="709"/>
      <c r="L33" s="709"/>
      <c r="M33" s="709"/>
      <c r="N33" s="709"/>
      <c r="O33" s="709"/>
      <c r="P33" s="709"/>
      <c r="Q33" s="709"/>
      <c r="R33" s="709"/>
      <c r="S33" s="709"/>
      <c r="T33" s="709"/>
      <c r="U33" s="709"/>
      <c r="V33" s="709"/>
      <c r="W33" s="709"/>
      <c r="X33" s="709"/>
      <c r="Y33" s="709"/>
      <c r="Z33" s="709"/>
      <c r="AA33" s="709"/>
      <c r="AB33" s="709"/>
      <c r="AC33" s="709"/>
      <c r="AD33" s="709"/>
      <c r="AE33" s="709"/>
      <c r="AF33" s="709"/>
      <c r="AG33" s="709"/>
      <c r="AH33" s="709"/>
      <c r="AI33" s="709"/>
      <c r="AJ33" s="709"/>
      <c r="AK33" s="709"/>
      <c r="AL33" s="709"/>
      <c r="AM33" s="709"/>
      <c r="AN33" s="709"/>
      <c r="AO33" s="709"/>
      <c r="AP33" s="709"/>
      <c r="AQ33" s="709"/>
      <c r="AR33" s="499"/>
      <c r="AT33" s="2"/>
      <c r="AU33" s="2"/>
      <c r="AV33" s="2"/>
      <c r="AW33" s="2"/>
      <c r="AX33" s="2"/>
      <c r="AY33" s="2"/>
      <c r="AZ33" s="2"/>
      <c r="BA33" s="2"/>
      <c r="BB33" s="2"/>
      <c r="BC33" s="2"/>
      <c r="BD33" s="2"/>
      <c r="BE33" s="2"/>
      <c r="BF33" s="2"/>
      <c r="BG33" s="2"/>
      <c r="BH33" s="2"/>
      <c r="BN33" s="500"/>
    </row>
    <row r="34" spans="2:66" x14ac:dyDescent="0.25">
      <c r="B34" s="16" t="s">
        <v>692</v>
      </c>
      <c r="C34" t="s">
        <v>310</v>
      </c>
      <c r="D34" s="19">
        <v>6000</v>
      </c>
      <c r="E34" s="479">
        <v>3310</v>
      </c>
      <c r="F34" s="19"/>
      <c r="G34" s="19">
        <f t="shared" ca="1" si="0"/>
        <v>0</v>
      </c>
      <c r="H34" s="486" t="s">
        <v>747</v>
      </c>
      <c r="I34" s="420" t="s">
        <v>654</v>
      </c>
      <c r="J34" s="709"/>
      <c r="K34" s="709"/>
      <c r="L34" s="709"/>
      <c r="M34" s="709"/>
      <c r="N34" s="709"/>
      <c r="O34" s="709"/>
      <c r="P34" s="709"/>
      <c r="Q34" s="709"/>
      <c r="R34" s="709"/>
      <c r="S34" s="709"/>
      <c r="T34" s="709"/>
      <c r="U34" s="709"/>
      <c r="V34" s="709"/>
      <c r="W34" s="709"/>
      <c r="X34" s="709"/>
      <c r="Y34" s="709"/>
      <c r="Z34" s="709"/>
      <c r="AA34" s="709"/>
      <c r="AB34" s="709"/>
      <c r="AC34" s="709"/>
      <c r="AD34" s="709"/>
      <c r="AE34" s="709"/>
      <c r="AF34" s="709"/>
      <c r="AG34" s="709"/>
      <c r="AH34" s="709"/>
      <c r="AI34" s="709"/>
      <c r="AJ34" s="709"/>
      <c r="AK34" s="709"/>
      <c r="AL34" s="709"/>
      <c r="AM34" s="709"/>
      <c r="AN34" s="709"/>
      <c r="AO34" s="709"/>
      <c r="AP34" s="709"/>
      <c r="AQ34" s="709"/>
      <c r="AR34" s="499"/>
      <c r="AT34" s="2"/>
      <c r="AU34" s="2"/>
      <c r="AV34" s="2"/>
      <c r="AW34" s="2"/>
      <c r="AX34" s="2"/>
      <c r="AY34" s="2"/>
      <c r="AZ34" s="2"/>
      <c r="BA34" s="2"/>
      <c r="BB34" s="2"/>
      <c r="BC34" s="2"/>
      <c r="BD34" s="2"/>
      <c r="BE34" s="2"/>
      <c r="BF34" s="2"/>
      <c r="BG34" s="2"/>
      <c r="BH34" s="2"/>
      <c r="BN34" s="500"/>
    </row>
    <row r="35" spans="2:66" x14ac:dyDescent="0.25">
      <c r="B35" s="16" t="s">
        <v>493</v>
      </c>
      <c r="C35" t="s">
        <v>494</v>
      </c>
      <c r="D35" s="19">
        <v>3000</v>
      </c>
      <c r="E35" s="19">
        <v>5720</v>
      </c>
      <c r="F35" s="19"/>
      <c r="G35" s="19">
        <f t="shared" ca="1" si="0"/>
        <v>0</v>
      </c>
      <c r="H35" s="486" t="s">
        <v>748</v>
      </c>
      <c r="I35" s="420" t="s">
        <v>694</v>
      </c>
      <c r="J35" s="709"/>
      <c r="K35" s="709"/>
      <c r="L35" s="709"/>
      <c r="M35" s="709"/>
      <c r="N35" s="709"/>
      <c r="O35" s="709"/>
      <c r="P35" s="709"/>
      <c r="Q35" s="709"/>
      <c r="R35" s="709"/>
      <c r="S35" s="709"/>
      <c r="T35" s="709"/>
      <c r="U35" s="709"/>
      <c r="V35" s="709"/>
      <c r="W35" s="709"/>
      <c r="X35" s="709"/>
      <c r="Y35" s="709"/>
      <c r="Z35" s="709"/>
      <c r="AA35" s="709"/>
      <c r="AB35" s="709"/>
      <c r="AC35" s="709"/>
      <c r="AD35" s="709"/>
      <c r="AE35" s="709"/>
      <c r="AF35" s="709"/>
      <c r="AG35" s="709"/>
      <c r="AH35" s="709"/>
      <c r="AI35" s="709"/>
      <c r="AJ35" s="709"/>
      <c r="AK35" s="709"/>
      <c r="AL35" s="709"/>
      <c r="AM35" s="709"/>
      <c r="AN35" s="709"/>
      <c r="AO35" s="709"/>
      <c r="AP35" s="709"/>
      <c r="AQ35" s="709"/>
      <c r="AR35" s="499"/>
      <c r="AT35" s="2"/>
      <c r="AU35" s="2"/>
      <c r="AV35" s="2"/>
      <c r="AW35" s="2"/>
      <c r="AX35" s="2"/>
      <c r="AY35" s="2"/>
      <c r="AZ35" s="2"/>
      <c r="BA35" s="2"/>
      <c r="BB35" s="2"/>
      <c r="BC35" s="2"/>
      <c r="BD35" s="2"/>
      <c r="BE35" s="2"/>
      <c r="BF35" s="2"/>
      <c r="BG35" s="2"/>
      <c r="BH35" s="2"/>
      <c r="BN35" s="500"/>
    </row>
    <row r="36" spans="2:66" x14ac:dyDescent="0.25">
      <c r="B36" s="16" t="s">
        <v>512</v>
      </c>
      <c r="C36" t="s">
        <v>512</v>
      </c>
      <c r="D36" s="19">
        <v>50000</v>
      </c>
      <c r="E36" s="19">
        <v>23080</v>
      </c>
      <c r="F36" s="19"/>
      <c r="G36" s="19">
        <f t="shared" ca="1" si="0"/>
        <v>0</v>
      </c>
      <c r="H36" s="742" t="s">
        <v>373</v>
      </c>
      <c r="I36" s="19" t="s">
        <v>316</v>
      </c>
      <c r="J36" s="709"/>
      <c r="K36" s="709"/>
      <c r="L36" s="709"/>
      <c r="M36" s="709"/>
      <c r="N36" s="709"/>
      <c r="O36" s="709"/>
      <c r="P36" s="709"/>
      <c r="Q36" s="709"/>
      <c r="R36" s="709"/>
      <c r="S36" s="709"/>
      <c r="T36" s="709"/>
      <c r="U36" s="709"/>
      <c r="V36" s="709"/>
      <c r="W36" s="709"/>
      <c r="X36" s="709"/>
      <c r="Y36" s="709"/>
      <c r="Z36" s="709"/>
      <c r="AA36" s="709"/>
      <c r="AB36" s="709"/>
      <c r="AC36" s="709"/>
      <c r="AD36" s="709"/>
      <c r="AE36" s="709"/>
      <c r="AF36" s="709"/>
      <c r="AG36" s="709"/>
      <c r="AH36" s="709"/>
      <c r="AI36" s="709"/>
      <c r="AJ36" s="709"/>
      <c r="AK36" s="709"/>
      <c r="AL36" s="709"/>
      <c r="AM36" s="709"/>
      <c r="AN36" s="709"/>
      <c r="AO36" s="709"/>
      <c r="AP36" s="709"/>
      <c r="AQ36" s="709"/>
      <c r="AR36" s="499"/>
      <c r="AT36" s="2"/>
      <c r="AU36" s="2"/>
      <c r="AV36" s="2"/>
      <c r="AW36" s="2"/>
      <c r="AX36" s="2"/>
      <c r="AY36" s="2"/>
      <c r="AZ36" s="2"/>
      <c r="BA36" s="2"/>
      <c r="BB36" s="2"/>
      <c r="BC36" s="2"/>
      <c r="BD36" s="2"/>
      <c r="BE36" s="2"/>
      <c r="BF36" s="2"/>
      <c r="BG36" s="2"/>
      <c r="BH36" s="2"/>
      <c r="BN36" s="500"/>
    </row>
    <row r="37" spans="2:66" x14ac:dyDescent="0.25">
      <c r="B37" s="16" t="s">
        <v>749</v>
      </c>
      <c r="C37" t="s">
        <v>695</v>
      </c>
      <c r="D37" s="19"/>
      <c r="E37" s="19">
        <v>16350</v>
      </c>
      <c r="F37" s="19"/>
      <c r="G37" s="19">
        <f t="shared" ca="1" si="0"/>
        <v>0</v>
      </c>
      <c r="H37" s="2"/>
      <c r="I37" s="19" t="s">
        <v>750</v>
      </c>
      <c r="J37" s="709"/>
      <c r="K37" s="709"/>
      <c r="L37" s="709"/>
      <c r="M37" s="709"/>
      <c r="N37" s="709"/>
      <c r="O37" s="709"/>
      <c r="P37" s="709"/>
      <c r="Q37" s="709"/>
      <c r="R37" s="709"/>
      <c r="S37" s="709"/>
      <c r="T37" s="709"/>
      <c r="U37" s="709"/>
      <c r="V37" s="709"/>
      <c r="W37" s="709"/>
      <c r="X37" s="709"/>
      <c r="Y37" s="709"/>
      <c r="Z37" s="709"/>
      <c r="AA37" s="709"/>
      <c r="AB37" s="709"/>
      <c r="AC37" s="709"/>
      <c r="AD37" s="709"/>
      <c r="AE37" s="709"/>
      <c r="AF37" s="709"/>
      <c r="AG37" s="709"/>
      <c r="AH37" s="709"/>
      <c r="AI37" s="709"/>
      <c r="AJ37" s="709"/>
      <c r="AK37" s="709"/>
      <c r="AL37" s="709"/>
      <c r="AM37" s="709"/>
      <c r="AN37" s="709"/>
      <c r="AO37" s="709"/>
      <c r="AP37" s="709"/>
      <c r="AQ37" s="709"/>
      <c r="AR37" s="499"/>
      <c r="AS37" s="2"/>
      <c r="AT37" s="2"/>
      <c r="AX37" s="2"/>
      <c r="AY37" s="2"/>
      <c r="AZ37" s="2"/>
      <c r="BA37" s="2"/>
      <c r="BB37" s="2"/>
      <c r="BC37" s="2"/>
      <c r="BD37" s="2"/>
      <c r="BG37" s="2"/>
      <c r="BH37" s="2"/>
      <c r="BI37" s="2"/>
      <c r="BN37" s="500"/>
    </row>
    <row r="38" spans="2:66" x14ac:dyDescent="0.25">
      <c r="B38" s="16"/>
      <c r="C38" t="s">
        <v>91</v>
      </c>
      <c r="D38" s="19"/>
      <c r="E38" s="19"/>
      <c r="F38" s="19"/>
      <c r="G38" s="19">
        <f t="shared" ca="1" si="0"/>
        <v>0</v>
      </c>
      <c r="H38" s="2"/>
      <c r="I38" s="19"/>
      <c r="J38" s="709"/>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709"/>
      <c r="AK38" s="709"/>
      <c r="AL38" s="709"/>
      <c r="AM38" s="709"/>
      <c r="AN38" s="709"/>
      <c r="AO38" s="709"/>
      <c r="AP38" s="709"/>
      <c r="AQ38" s="709"/>
      <c r="AR38" s="499"/>
      <c r="AS38" s="2"/>
      <c r="AT38" s="2"/>
      <c r="AX38" s="2"/>
      <c r="AY38" s="2"/>
      <c r="AZ38" s="2"/>
      <c r="BA38" s="2"/>
      <c r="BB38" s="2"/>
      <c r="BC38" s="2"/>
      <c r="BD38" s="2"/>
      <c r="BG38" s="2"/>
      <c r="BH38" s="2"/>
      <c r="BI38" s="2"/>
      <c r="BN38" s="500"/>
    </row>
    <row r="39" spans="2:66" x14ac:dyDescent="0.25">
      <c r="B39" s="16"/>
      <c r="C39" t="s">
        <v>92</v>
      </c>
      <c r="D39" s="19"/>
      <c r="E39" s="19">
        <v>7500</v>
      </c>
      <c r="F39" s="19"/>
      <c r="G39" s="19">
        <f t="shared" ca="1" si="0"/>
        <v>0</v>
      </c>
      <c r="H39" s="2"/>
      <c r="I39" s="19"/>
      <c r="J39" s="709"/>
      <c r="K39" s="709"/>
      <c r="L39" s="709"/>
      <c r="M39" s="709"/>
      <c r="N39" s="709"/>
      <c r="O39" s="709"/>
      <c r="P39" s="709"/>
      <c r="Q39" s="709"/>
      <c r="R39" s="709"/>
      <c r="S39" s="709"/>
      <c r="T39" s="709"/>
      <c r="U39" s="709"/>
      <c r="V39" s="709"/>
      <c r="W39" s="709"/>
      <c r="X39" s="709"/>
      <c r="Y39" s="709"/>
      <c r="Z39" s="709"/>
      <c r="AA39" s="709"/>
      <c r="AB39" s="709"/>
      <c r="AC39" s="709"/>
      <c r="AD39" s="709"/>
      <c r="AE39" s="709"/>
      <c r="AF39" s="709"/>
      <c r="AG39" s="709"/>
      <c r="AH39" s="709"/>
      <c r="AI39" s="709"/>
      <c r="AJ39" s="709"/>
      <c r="AK39" s="709"/>
      <c r="AL39" s="709"/>
      <c r="AM39" s="709"/>
      <c r="AN39" s="709"/>
      <c r="AO39" s="709"/>
      <c r="AP39" s="709"/>
      <c r="AQ39" s="709"/>
      <c r="AR39" s="499"/>
      <c r="AS39" s="2"/>
      <c r="AT39" s="2"/>
      <c r="AX39" s="2"/>
      <c r="AY39" s="2"/>
      <c r="AZ39" s="2"/>
      <c r="BA39" s="2"/>
      <c r="BB39" s="2"/>
      <c r="BC39" s="2"/>
      <c r="BD39" s="2"/>
      <c r="BG39" s="2"/>
      <c r="BH39" s="2"/>
      <c r="BI39" s="2"/>
      <c r="BN39" s="500"/>
    </row>
    <row r="40" spans="2:66" x14ac:dyDescent="0.25">
      <c r="B40" s="16" t="s">
        <v>697</v>
      </c>
      <c r="C40" t="s">
        <v>698</v>
      </c>
      <c r="D40" s="19"/>
      <c r="E40" s="19">
        <v>940</v>
      </c>
      <c r="F40" s="19"/>
      <c r="G40" s="19">
        <f t="shared" ca="1" si="0"/>
        <v>940</v>
      </c>
      <c r="H40" s="486" t="s">
        <v>751</v>
      </c>
      <c r="I40" s="19" t="s">
        <v>517</v>
      </c>
      <c r="J40" s="709"/>
      <c r="K40" s="709"/>
      <c r="L40" s="709"/>
      <c r="M40" s="709"/>
      <c r="N40" s="709"/>
      <c r="O40" s="709"/>
      <c r="P40" s="709"/>
      <c r="Q40" s="709"/>
      <c r="R40" s="709"/>
      <c r="S40" s="709"/>
      <c r="T40" s="709"/>
      <c r="U40" s="709"/>
      <c r="V40" s="709"/>
      <c r="W40" s="709"/>
      <c r="X40" s="709"/>
      <c r="Y40" s="709"/>
      <c r="Z40" s="709"/>
      <c r="AA40" s="709"/>
      <c r="AB40" s="709"/>
      <c r="AC40" s="709"/>
      <c r="AD40" s="709"/>
      <c r="AE40" s="709"/>
      <c r="AF40" s="709"/>
      <c r="AG40" s="709"/>
      <c r="AH40" s="709"/>
      <c r="AI40" s="709"/>
      <c r="AJ40" s="709"/>
      <c r="AK40" s="709"/>
      <c r="AL40" s="709"/>
      <c r="AM40" s="709"/>
      <c r="AN40" s="709"/>
      <c r="AO40" s="709"/>
      <c r="AP40" s="709"/>
      <c r="AQ40" s="709"/>
      <c r="AR40" s="499"/>
      <c r="AS40" s="2">
        <v>940</v>
      </c>
      <c r="AT40" s="2"/>
      <c r="AX40" s="2"/>
      <c r="AY40" s="2"/>
      <c r="AZ40" s="2"/>
      <c r="BA40" s="2"/>
      <c r="BB40" s="2"/>
      <c r="BC40" s="2"/>
      <c r="BD40" s="2"/>
      <c r="BG40" s="2"/>
      <c r="BH40" s="2"/>
      <c r="BI40" s="2"/>
      <c r="BN40" s="500"/>
    </row>
    <row r="41" spans="2:66" x14ac:dyDescent="0.25">
      <c r="B41" s="16" t="s">
        <v>699</v>
      </c>
      <c r="C41" t="s">
        <v>522</v>
      </c>
      <c r="D41" s="19"/>
      <c r="E41" s="19">
        <v>13500</v>
      </c>
      <c r="F41" s="19"/>
      <c r="G41" s="19">
        <f t="shared" ca="1" si="0"/>
        <v>0</v>
      </c>
      <c r="H41" s="742" t="s">
        <v>373</v>
      </c>
      <c r="I41" s="19" t="s">
        <v>649</v>
      </c>
      <c r="J41" s="709"/>
      <c r="K41" s="709"/>
      <c r="L41" s="709"/>
      <c r="M41" s="709"/>
      <c r="N41" s="709"/>
      <c r="O41" s="709"/>
      <c r="P41" s="709"/>
      <c r="Q41" s="709"/>
      <c r="R41" s="709"/>
      <c r="S41" s="709"/>
      <c r="T41" s="709"/>
      <c r="U41" s="709"/>
      <c r="V41" s="709"/>
      <c r="W41" s="709"/>
      <c r="X41" s="709"/>
      <c r="Y41" s="709"/>
      <c r="Z41" s="709"/>
      <c r="AA41" s="709"/>
      <c r="AB41" s="709"/>
      <c r="AC41" s="709"/>
      <c r="AD41" s="709"/>
      <c r="AE41" s="709"/>
      <c r="AF41" s="709"/>
      <c r="AG41" s="709"/>
      <c r="AH41" s="709"/>
      <c r="AI41" s="709"/>
      <c r="AJ41" s="709"/>
      <c r="AK41" s="709"/>
      <c r="AL41" s="709"/>
      <c r="AM41" s="709"/>
      <c r="AN41" s="709"/>
      <c r="AO41" s="709"/>
      <c r="AP41" s="709"/>
      <c r="AQ41" s="709"/>
      <c r="AR41" s="499"/>
      <c r="AS41" s="2"/>
      <c r="AT41" s="2"/>
      <c r="AX41" s="2"/>
      <c r="AY41" s="2"/>
      <c r="AZ41" s="2"/>
      <c r="BA41" s="2"/>
      <c r="BB41" s="2"/>
      <c r="BC41" s="2"/>
      <c r="BD41" s="2"/>
      <c r="BG41" s="2"/>
      <c r="BH41" s="2"/>
      <c r="BI41" s="2"/>
      <c r="BN41" s="500"/>
    </row>
    <row r="42" spans="2:66" x14ac:dyDescent="0.25">
      <c r="B42" s="682"/>
      <c r="C42" s="439" t="s">
        <v>752</v>
      </c>
      <c r="D42" s="327"/>
      <c r="E42" s="327">
        <v>25000</v>
      </c>
      <c r="F42" s="42"/>
      <c r="G42" s="42">
        <f ca="1">SUMIF($AR$3:$BN$3,"&lt;"&amp;TODAY(),$AR42:$BN42)</f>
        <v>0</v>
      </c>
      <c r="H42" s="113"/>
      <c r="I42" s="42" t="s">
        <v>701</v>
      </c>
      <c r="J42" s="709"/>
      <c r="K42" s="709"/>
      <c r="L42" s="709"/>
      <c r="M42" s="709"/>
      <c r="N42" s="709"/>
      <c r="O42" s="709"/>
      <c r="P42" s="709"/>
      <c r="Q42" s="709"/>
      <c r="R42" s="709"/>
      <c r="S42" s="709"/>
      <c r="T42" s="709"/>
      <c r="U42" s="709"/>
      <c r="V42" s="709"/>
      <c r="W42" s="709"/>
      <c r="X42" s="709"/>
      <c r="Y42" s="709"/>
      <c r="Z42" s="709"/>
      <c r="AA42" s="709"/>
      <c r="AB42" s="709"/>
      <c r="AC42" s="709"/>
      <c r="AD42" s="709"/>
      <c r="AE42" s="709"/>
      <c r="AF42" s="709"/>
      <c r="AG42" s="709"/>
      <c r="AH42" s="709"/>
      <c r="AI42" s="709"/>
      <c r="AJ42" s="709"/>
      <c r="AK42" s="709"/>
      <c r="AL42" s="709"/>
      <c r="AM42" s="709"/>
      <c r="AN42" s="709"/>
      <c r="AO42" s="709"/>
      <c r="AP42" s="709"/>
      <c r="AQ42" s="709"/>
      <c r="AR42" s="499"/>
      <c r="AS42" s="2"/>
      <c r="AT42" s="2"/>
      <c r="AU42" s="2"/>
      <c r="AV42" s="2"/>
      <c r="AW42" s="2"/>
      <c r="AX42" s="2"/>
      <c r="AY42" s="2"/>
      <c r="AZ42" s="2"/>
      <c r="BA42" s="2"/>
      <c r="BB42" s="2"/>
      <c r="BC42" s="2"/>
      <c r="BD42" s="2"/>
      <c r="BE42" s="2"/>
      <c r="BF42" s="2"/>
      <c r="BG42" s="2"/>
      <c r="BH42" s="2"/>
      <c r="BN42" s="500"/>
    </row>
    <row r="43" spans="2:66" x14ac:dyDescent="0.25">
      <c r="B43" s="14" t="s">
        <v>93</v>
      </c>
      <c r="C43" s="15" t="s">
        <v>94</v>
      </c>
      <c r="D43" s="20"/>
      <c r="E43" s="20" cm="1">
        <f t="array" ref="E43">SUM(E8:E42*0.1)</f>
        <v>42704.1</v>
      </c>
      <c r="F43" s="394"/>
      <c r="G43" s="508" t="s">
        <v>753</v>
      </c>
      <c r="H43" s="508" t="s">
        <v>753</v>
      </c>
      <c r="I43" s="394"/>
      <c r="J43" s="709"/>
      <c r="K43" s="709"/>
      <c r="L43" s="709"/>
      <c r="M43" s="709"/>
      <c r="N43" s="709"/>
      <c r="O43" s="709"/>
      <c r="P43" s="709"/>
      <c r="Q43" s="709"/>
      <c r="R43" s="709"/>
      <c r="S43" s="709"/>
      <c r="T43" s="709"/>
      <c r="U43" s="709"/>
      <c r="V43" s="709"/>
      <c r="W43" s="709"/>
      <c r="X43" s="709"/>
      <c r="Y43" s="709"/>
      <c r="Z43" s="709"/>
      <c r="AA43" s="709"/>
      <c r="AB43" s="709"/>
      <c r="AC43" s="709"/>
      <c r="AD43" s="709"/>
      <c r="AE43" s="709"/>
      <c r="AF43" s="709"/>
      <c r="AG43" s="709"/>
      <c r="AH43" s="709"/>
      <c r="AI43" s="709"/>
      <c r="AJ43" s="709"/>
      <c r="AK43" s="709"/>
      <c r="AL43" s="709"/>
      <c r="AM43" s="709"/>
      <c r="AN43" s="709"/>
      <c r="AO43" s="709"/>
      <c r="AP43" s="709"/>
      <c r="AQ43" s="709"/>
      <c r="AR43" s="499"/>
      <c r="AS43" s="2"/>
      <c r="AT43" s="2"/>
      <c r="AU43" s="2"/>
      <c r="AV43" s="2"/>
      <c r="AW43" s="2"/>
      <c r="AX43" s="2"/>
      <c r="AY43" s="2"/>
      <c r="AZ43" s="2"/>
      <c r="BA43" s="2"/>
      <c r="BB43" s="2"/>
      <c r="BC43" s="2"/>
      <c r="BD43" s="2"/>
      <c r="BE43" s="2"/>
      <c r="BF43" s="2"/>
      <c r="BG43" s="2"/>
      <c r="BH43" s="2"/>
      <c r="BN43" s="500"/>
    </row>
    <row r="44" spans="2:66" x14ac:dyDescent="0.25">
      <c r="B44" s="475" t="s">
        <v>148</v>
      </c>
      <c r="C44" s="476"/>
      <c r="D44" s="352">
        <v>15000</v>
      </c>
      <c r="E44" s="352"/>
      <c r="F44" s="327"/>
      <c r="G44" s="508" t="s">
        <v>753</v>
      </c>
      <c r="H44" s="508" t="s">
        <v>753</v>
      </c>
      <c r="I44" s="394"/>
      <c r="J44" s="709"/>
      <c r="K44" s="709"/>
      <c r="L44" s="709"/>
      <c r="M44" s="709"/>
      <c r="N44" s="709"/>
      <c r="O44" s="709"/>
      <c r="P44" s="709"/>
      <c r="Q44" s="709"/>
      <c r="R44" s="709"/>
      <c r="S44" s="709"/>
      <c r="T44" s="709"/>
      <c r="U44" s="709"/>
      <c r="V44" s="709"/>
      <c r="W44" s="709"/>
      <c r="X44" s="709"/>
      <c r="Y44" s="709"/>
      <c r="Z44" s="709"/>
      <c r="AA44" s="709"/>
      <c r="AB44" s="709"/>
      <c r="AC44" s="709"/>
      <c r="AD44" s="709"/>
      <c r="AE44" s="709"/>
      <c r="AF44" s="709"/>
      <c r="AG44" s="709"/>
      <c r="AH44" s="709"/>
      <c r="AI44" s="709"/>
      <c r="AJ44" s="709"/>
      <c r="AK44" s="709"/>
      <c r="AL44" s="709"/>
      <c r="AM44" s="709"/>
      <c r="AN44" s="709"/>
      <c r="AO44" s="709"/>
      <c r="AP44" s="709"/>
      <c r="AQ44" s="709"/>
      <c r="AR44" s="501">
        <f t="shared" ref="AR44:BN44" si="1">SUM(AR8:AR43)*0.1</f>
        <v>0</v>
      </c>
      <c r="AS44" s="136">
        <f t="shared" si="1"/>
        <v>443.45000000000005</v>
      </c>
      <c r="AT44" s="136">
        <f t="shared" si="1"/>
        <v>0</v>
      </c>
      <c r="AU44" s="136">
        <f t="shared" si="1"/>
        <v>0</v>
      </c>
      <c r="AV44" s="136">
        <f t="shared" si="1"/>
        <v>0</v>
      </c>
      <c r="AW44" s="136">
        <f t="shared" si="1"/>
        <v>0</v>
      </c>
      <c r="AX44" s="136">
        <f t="shared" si="1"/>
        <v>0</v>
      </c>
      <c r="AY44" s="136">
        <f t="shared" si="1"/>
        <v>0</v>
      </c>
      <c r="AZ44" s="136">
        <f t="shared" si="1"/>
        <v>0</v>
      </c>
      <c r="BA44" s="136">
        <f t="shared" si="1"/>
        <v>0</v>
      </c>
      <c r="BB44" s="136">
        <f t="shared" si="1"/>
        <v>0</v>
      </c>
      <c r="BC44" s="136">
        <f t="shared" si="1"/>
        <v>0</v>
      </c>
      <c r="BD44" s="136">
        <f t="shared" si="1"/>
        <v>0</v>
      </c>
      <c r="BE44" s="136">
        <f t="shared" si="1"/>
        <v>0</v>
      </c>
      <c r="BF44" s="136">
        <f t="shared" si="1"/>
        <v>0</v>
      </c>
      <c r="BG44" s="136">
        <f t="shared" si="1"/>
        <v>0</v>
      </c>
      <c r="BH44" s="136">
        <f t="shared" si="1"/>
        <v>0</v>
      </c>
      <c r="BI44" s="136">
        <f t="shared" si="1"/>
        <v>0</v>
      </c>
      <c r="BJ44" s="136">
        <f t="shared" si="1"/>
        <v>0</v>
      </c>
      <c r="BK44" s="136">
        <f t="shared" si="1"/>
        <v>0</v>
      </c>
      <c r="BL44" s="136">
        <f t="shared" si="1"/>
        <v>0</v>
      </c>
      <c r="BM44" s="136">
        <f t="shared" si="1"/>
        <v>0</v>
      </c>
      <c r="BN44" s="136">
        <f t="shared" si="1"/>
        <v>0</v>
      </c>
    </row>
    <row r="45" spans="2:66" x14ac:dyDescent="0.25">
      <c r="B45" s="14" t="s">
        <v>754</v>
      </c>
      <c r="C45" s="15"/>
      <c r="D45" s="21">
        <v>15000</v>
      </c>
      <c r="E45" s="21"/>
      <c r="F45" s="21"/>
      <c r="G45" s="509" t="s">
        <v>753</v>
      </c>
      <c r="H45" s="509" t="s">
        <v>753</v>
      </c>
      <c r="I45" s="394"/>
      <c r="J45" s="709"/>
      <c r="K45" s="709"/>
      <c r="L45" s="709"/>
      <c r="M45" s="709"/>
      <c r="N45" s="709"/>
      <c r="O45" s="709"/>
      <c r="P45" s="709"/>
      <c r="Q45" s="709"/>
      <c r="R45" s="709"/>
      <c r="S45" s="709"/>
      <c r="T45" s="709"/>
      <c r="U45" s="709"/>
      <c r="V45" s="709"/>
      <c r="W45" s="709"/>
      <c r="X45" s="709"/>
      <c r="Y45" s="709"/>
      <c r="Z45" s="709"/>
      <c r="AA45" s="709"/>
      <c r="AB45" s="709"/>
      <c r="AC45" s="709"/>
      <c r="AD45" s="709"/>
      <c r="AE45" s="709"/>
      <c r="AF45" s="709"/>
      <c r="AG45" s="709"/>
      <c r="AH45" s="709"/>
      <c r="AI45" s="709"/>
      <c r="AJ45" s="709"/>
      <c r="AK45" s="709"/>
      <c r="AL45" s="709"/>
      <c r="AM45" s="709"/>
      <c r="AN45" s="709"/>
      <c r="AO45" s="709"/>
      <c r="AP45" s="709"/>
      <c r="AQ45" s="709"/>
      <c r="AR45" s="499"/>
      <c r="AS45" s="2"/>
      <c r="AT45" s="2"/>
      <c r="AU45" s="2"/>
      <c r="AV45" s="2"/>
      <c r="AW45" s="2"/>
      <c r="AX45" s="2"/>
      <c r="AY45" s="2"/>
      <c r="AZ45" s="2"/>
      <c r="BA45" s="2"/>
      <c r="BB45" s="2"/>
      <c r="BC45" s="2"/>
      <c r="BD45" s="2"/>
      <c r="BE45" s="2"/>
      <c r="BF45" s="2"/>
      <c r="BG45" s="2"/>
      <c r="BH45" s="2"/>
      <c r="BN45" s="500"/>
    </row>
    <row r="46" spans="2:66" ht="15.75" thickBot="1" x14ac:dyDescent="0.3">
      <c r="B46" s="477" t="s">
        <v>97</v>
      </c>
      <c r="C46" s="57" t="s">
        <v>213</v>
      </c>
      <c r="D46" s="42">
        <v>15000</v>
      </c>
      <c r="E46" s="352"/>
      <c r="F46" s="42"/>
      <c r="G46" s="510" t="s">
        <v>753</v>
      </c>
      <c r="H46" s="510" t="s">
        <v>753</v>
      </c>
      <c r="I46" s="394"/>
      <c r="J46" s="709"/>
      <c r="K46" s="709"/>
      <c r="L46" s="709"/>
      <c r="M46" s="709"/>
      <c r="N46" s="709"/>
      <c r="O46" s="709"/>
      <c r="P46" s="709"/>
      <c r="Q46" s="709"/>
      <c r="R46" s="709"/>
      <c r="S46" s="709"/>
      <c r="T46" s="709"/>
      <c r="U46" s="709"/>
      <c r="V46" s="709"/>
      <c r="W46" s="709"/>
      <c r="X46" s="709"/>
      <c r="Y46" s="709"/>
      <c r="Z46" s="709"/>
      <c r="AA46" s="709"/>
      <c r="AB46" s="709"/>
      <c r="AC46" s="709"/>
      <c r="AD46" s="709"/>
      <c r="AE46" s="709"/>
      <c r="AF46" s="709"/>
      <c r="AG46" s="709"/>
      <c r="AH46" s="709"/>
      <c r="AI46" s="709"/>
      <c r="AJ46" s="709"/>
      <c r="AK46" s="709"/>
      <c r="AL46" s="709"/>
      <c r="AM46" s="709"/>
      <c r="AN46" s="709"/>
      <c r="AO46" s="709"/>
      <c r="AP46" s="709"/>
      <c r="AQ46" s="709"/>
      <c r="AR46" s="499"/>
      <c r="AS46" s="2"/>
      <c r="AT46" s="2"/>
      <c r="AU46" s="2"/>
      <c r="AV46" s="2"/>
      <c r="AW46" s="2"/>
      <c r="AX46" s="2"/>
      <c r="AY46" s="2"/>
      <c r="AZ46" s="2"/>
      <c r="BA46" s="2"/>
      <c r="BB46" s="2"/>
      <c r="BC46" s="2"/>
      <c r="BD46" s="2"/>
      <c r="BE46" s="2"/>
      <c r="BF46" s="2"/>
      <c r="BG46" s="2"/>
      <c r="BH46" s="2"/>
      <c r="BN46" s="500"/>
    </row>
    <row r="47" spans="2:66" ht="15.75" thickBot="1" x14ac:dyDescent="0.3">
      <c r="B47" s="11" t="s">
        <v>98</v>
      </c>
      <c r="C47" s="12"/>
      <c r="D47" s="22">
        <f>SUM(D8:D46)</f>
        <v>358456</v>
      </c>
      <c r="E47" s="58">
        <f>SUM(E4:E46)</f>
        <v>583745.1</v>
      </c>
      <c r="F47" s="22">
        <f>SUM(F4:F46)</f>
        <v>59230</v>
      </c>
      <c r="G47" s="22">
        <f ca="1">SUM(G4:G46)</f>
        <v>1267081.156</v>
      </c>
      <c r="H47" s="22"/>
      <c r="I47" s="22"/>
      <c r="J47" s="709"/>
      <c r="K47" s="709"/>
      <c r="L47" s="709"/>
      <c r="M47" s="709"/>
      <c r="N47" s="709"/>
      <c r="O47" s="709"/>
      <c r="P47" s="709"/>
      <c r="Q47" s="709"/>
      <c r="R47" s="709"/>
      <c r="S47" s="709"/>
      <c r="T47" s="709"/>
      <c r="U47" s="709"/>
      <c r="V47" s="709"/>
      <c r="W47" s="709"/>
      <c r="X47" s="709"/>
      <c r="Y47" s="709"/>
      <c r="Z47" s="709"/>
      <c r="AA47" s="709"/>
      <c r="AB47" s="709"/>
      <c r="AC47" s="709"/>
      <c r="AD47" s="709"/>
      <c r="AE47" s="709"/>
      <c r="AF47" s="709"/>
      <c r="AG47" s="709"/>
      <c r="AH47" s="709"/>
      <c r="AI47" s="709"/>
      <c r="AJ47" s="709"/>
      <c r="AK47" s="709"/>
      <c r="AL47" s="709"/>
      <c r="AM47" s="709"/>
      <c r="AN47" s="709"/>
      <c r="AO47" s="709"/>
      <c r="AP47" s="709"/>
      <c r="AQ47" s="709"/>
      <c r="AR47" s="502">
        <f t="shared" ref="AR47:BN47" si="2">SUM(AR4:AR46)</f>
        <v>0</v>
      </c>
      <c r="AS47" s="155">
        <f t="shared" si="2"/>
        <v>4877.95</v>
      </c>
      <c r="AT47" s="155">
        <f t="shared" si="2"/>
        <v>0</v>
      </c>
      <c r="AU47" s="155">
        <f t="shared" si="2"/>
        <v>0</v>
      </c>
      <c r="AV47" s="155">
        <f t="shared" si="2"/>
        <v>0</v>
      </c>
      <c r="AW47" s="155">
        <f t="shared" si="2"/>
        <v>0</v>
      </c>
      <c r="AX47" s="155">
        <f t="shared" si="2"/>
        <v>0</v>
      </c>
      <c r="AY47" s="155">
        <f t="shared" si="2"/>
        <v>0</v>
      </c>
      <c r="AZ47" s="155">
        <f t="shared" si="2"/>
        <v>0</v>
      </c>
      <c r="BA47" s="155">
        <f t="shared" si="2"/>
        <v>0</v>
      </c>
      <c r="BB47" s="155">
        <f t="shared" si="2"/>
        <v>0</v>
      </c>
      <c r="BC47" s="155">
        <f t="shared" si="2"/>
        <v>0</v>
      </c>
      <c r="BD47" s="155">
        <f t="shared" si="2"/>
        <v>0</v>
      </c>
      <c r="BE47" s="155">
        <f t="shared" si="2"/>
        <v>0</v>
      </c>
      <c r="BF47" s="155">
        <f t="shared" si="2"/>
        <v>0</v>
      </c>
      <c r="BG47" s="155">
        <f t="shared" si="2"/>
        <v>0</v>
      </c>
      <c r="BH47" s="155">
        <f t="shared" si="2"/>
        <v>0</v>
      </c>
      <c r="BI47" s="155">
        <f t="shared" si="2"/>
        <v>0</v>
      </c>
      <c r="BJ47" s="155">
        <f t="shared" si="2"/>
        <v>0</v>
      </c>
      <c r="BK47" s="155">
        <f t="shared" si="2"/>
        <v>0</v>
      </c>
      <c r="BL47" s="155">
        <f t="shared" si="2"/>
        <v>4049.3519999999553</v>
      </c>
      <c r="BM47" s="155">
        <f t="shared" si="2"/>
        <v>0</v>
      </c>
      <c r="BN47" s="503">
        <f t="shared" si="2"/>
        <v>0</v>
      </c>
    </row>
    <row r="48" spans="2:66" ht="15.75" thickBot="1" x14ac:dyDescent="0.3">
      <c r="B48" s="35" t="s">
        <v>319</v>
      </c>
      <c r="C48" s="474">
        <v>500</v>
      </c>
      <c r="D48" s="36"/>
      <c r="E48" s="36"/>
      <c r="F48" s="36"/>
      <c r="G48" s="36"/>
      <c r="H48" s="36"/>
      <c r="I48" s="36"/>
      <c r="J48" s="709"/>
      <c r="K48" s="709"/>
      <c r="L48" s="709"/>
      <c r="M48" s="709"/>
      <c r="N48" s="709"/>
      <c r="O48" s="709"/>
      <c r="P48" s="709"/>
      <c r="Q48" s="709"/>
      <c r="R48" s="709"/>
      <c r="S48" s="709"/>
      <c r="T48" s="709"/>
      <c r="U48" s="709"/>
      <c r="V48" s="709"/>
      <c r="W48" s="709"/>
      <c r="X48" s="709"/>
      <c r="Y48" s="709"/>
      <c r="Z48" s="709"/>
      <c r="AA48" s="709"/>
      <c r="AB48" s="709"/>
      <c r="AC48" s="709"/>
      <c r="AD48" s="709"/>
      <c r="AE48" s="709"/>
      <c r="AF48" s="709"/>
      <c r="AG48" s="709"/>
      <c r="AH48" s="709"/>
      <c r="AI48" s="709"/>
      <c r="AJ48" s="709"/>
      <c r="AK48" s="709"/>
      <c r="AL48" s="709"/>
      <c r="AM48" s="709"/>
      <c r="AN48" s="709"/>
      <c r="AO48" s="709"/>
      <c r="AP48" s="709"/>
      <c r="AQ48" s="709"/>
      <c r="AR48" s="499"/>
      <c r="AT48" s="2"/>
      <c r="AU48" s="2"/>
      <c r="AV48" s="2"/>
      <c r="AW48" s="2"/>
      <c r="AX48" s="2"/>
      <c r="AY48" s="2"/>
      <c r="AZ48" s="2"/>
      <c r="BA48" s="2"/>
      <c r="BB48" s="2"/>
      <c r="BC48" s="2"/>
      <c r="BD48" s="2"/>
      <c r="BF48" s="2"/>
      <c r="BG48" s="2"/>
      <c r="BH48" s="2"/>
      <c r="BN48" s="500"/>
    </row>
    <row r="49" spans="2:66" ht="15.75" thickBot="1" x14ac:dyDescent="0.3">
      <c r="B49" s="35" t="s">
        <v>100</v>
      </c>
      <c r="C49" s="10"/>
      <c r="D49" s="23">
        <f>SUM(D47/C48)</f>
        <v>716.91200000000003</v>
      </c>
      <c r="E49" s="23">
        <f>E47/$C$48</f>
        <v>1167.4902</v>
      </c>
      <c r="F49" s="23">
        <f>F47/$C$48</f>
        <v>118.46</v>
      </c>
      <c r="G49" s="23">
        <f t="shared" ref="G49" ca="1" si="3">G47/$C$48</f>
        <v>2534.1623119999999</v>
      </c>
      <c r="H49" s="23"/>
      <c r="I49" s="23"/>
      <c r="J49" s="709"/>
      <c r="K49" s="709"/>
      <c r="L49" s="709"/>
      <c r="M49" s="709"/>
      <c r="N49" s="709"/>
      <c r="O49" s="709"/>
      <c r="P49" s="709"/>
      <c r="Q49" s="709"/>
      <c r="R49" s="709"/>
      <c r="S49" s="709"/>
      <c r="T49" s="709"/>
      <c r="U49" s="709"/>
      <c r="V49" s="709"/>
      <c r="W49" s="709"/>
      <c r="X49" s="709"/>
      <c r="Y49" s="709"/>
      <c r="Z49" s="709"/>
      <c r="AA49" s="709"/>
      <c r="AB49" s="709"/>
      <c r="AC49" s="709"/>
      <c r="AD49" s="709"/>
      <c r="AE49" s="709"/>
      <c r="AF49" s="709"/>
      <c r="AG49" s="709"/>
      <c r="AH49" s="709"/>
      <c r="AI49" s="709"/>
      <c r="AJ49" s="709"/>
      <c r="AK49" s="709"/>
      <c r="AL49" s="709"/>
      <c r="AM49" s="709"/>
      <c r="AN49" s="709"/>
      <c r="AO49" s="709"/>
      <c r="AP49" s="709"/>
      <c r="AQ49" s="709"/>
      <c r="AR49" s="504"/>
      <c r="AS49" s="505"/>
      <c r="AT49" s="505"/>
      <c r="AU49" s="505"/>
      <c r="AV49" s="505"/>
      <c r="AW49" s="505"/>
      <c r="AX49" s="505"/>
      <c r="AY49" s="505"/>
      <c r="AZ49" s="505"/>
      <c r="BA49" s="505"/>
      <c r="BB49" s="505"/>
      <c r="BC49" s="505"/>
      <c r="BD49" s="505"/>
      <c r="BE49" s="505"/>
      <c r="BF49" s="505"/>
      <c r="BG49" s="505"/>
      <c r="BH49" s="505"/>
      <c r="BI49" s="506"/>
      <c r="BJ49" s="506"/>
      <c r="BK49" s="506"/>
      <c r="BL49" s="506"/>
      <c r="BM49" s="506"/>
      <c r="BN49" s="507"/>
    </row>
    <row r="50" spans="2:66" ht="15.75" thickBot="1" x14ac:dyDescent="0.3">
      <c r="J50" s="709"/>
      <c r="K50" s="709"/>
      <c r="L50" s="709"/>
      <c r="M50" s="709"/>
      <c r="N50" s="709"/>
      <c r="O50" s="709"/>
      <c r="P50" s="709"/>
      <c r="Q50" s="709"/>
      <c r="R50" s="709"/>
      <c r="S50" s="709"/>
      <c r="T50" s="709"/>
      <c r="U50" s="709"/>
      <c r="V50" s="709"/>
      <c r="W50" s="709"/>
      <c r="X50" s="709"/>
      <c r="Y50" s="709"/>
      <c r="Z50" s="709"/>
      <c r="AA50" s="709"/>
      <c r="AB50" s="709"/>
      <c r="AC50" s="709"/>
      <c r="AD50" s="709"/>
      <c r="AE50" s="709"/>
      <c r="AF50" s="709"/>
      <c r="AG50" s="709"/>
      <c r="AH50" s="709"/>
      <c r="AI50" s="709"/>
      <c r="AJ50" s="709"/>
      <c r="AK50" s="709"/>
      <c r="AL50" s="709"/>
      <c r="AM50" s="709"/>
      <c r="AN50" s="709"/>
      <c r="AO50" s="709"/>
      <c r="AP50" s="709"/>
      <c r="AQ50" s="709"/>
    </row>
    <row r="51" spans="2:66" ht="30" x14ac:dyDescent="0.25">
      <c r="B51" s="299" t="s">
        <v>755</v>
      </c>
      <c r="C51" s="516" t="s">
        <v>17</v>
      </c>
      <c r="D51" s="517" t="s">
        <v>184</v>
      </c>
      <c r="E51" s="949" t="s">
        <v>756</v>
      </c>
      <c r="F51" s="950"/>
      <c r="G51" s="950"/>
      <c r="H51" s="951"/>
      <c r="I51" s="518" t="s">
        <v>111</v>
      </c>
      <c r="J51" s="709"/>
      <c r="K51" s="709"/>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09"/>
      <c r="AM51" s="709"/>
      <c r="AN51" s="709"/>
      <c r="AO51" s="709"/>
      <c r="AP51" s="709"/>
      <c r="AQ51" s="709"/>
    </row>
    <row r="52" spans="2:66" x14ac:dyDescent="0.25">
      <c r="B52" s="387" t="s">
        <v>757</v>
      </c>
      <c r="C52" s="519" t="s">
        <v>758</v>
      </c>
      <c r="D52" s="520">
        <v>10000</v>
      </c>
      <c r="E52" s="952" t="s">
        <v>759</v>
      </c>
      <c r="F52" s="953"/>
      <c r="G52" s="953"/>
      <c r="H52" s="954"/>
      <c r="I52" s="387" t="s">
        <v>760</v>
      </c>
      <c r="J52" s="709"/>
      <c r="K52" s="709"/>
      <c r="L52" s="709"/>
      <c r="M52" s="709"/>
      <c r="N52" s="709"/>
      <c r="O52" s="709"/>
      <c r="P52" s="709"/>
      <c r="Q52" s="709"/>
      <c r="R52" s="709"/>
      <c r="S52" s="709"/>
      <c r="T52" s="709"/>
      <c r="U52" s="709"/>
      <c r="V52" s="709"/>
      <c r="W52" s="709"/>
      <c r="X52" s="709"/>
      <c r="Y52" s="709"/>
      <c r="Z52" s="709"/>
      <c r="AA52" s="709"/>
      <c r="AB52" s="709"/>
      <c r="AC52" s="709"/>
      <c r="AD52" s="709"/>
      <c r="AE52" s="709"/>
      <c r="AF52" s="709"/>
      <c r="AG52" s="709"/>
      <c r="AH52" s="709"/>
      <c r="AI52" s="709"/>
      <c r="AJ52" s="709"/>
      <c r="AK52" s="709"/>
      <c r="AL52" s="709"/>
      <c r="AM52" s="709"/>
      <c r="AN52" s="709"/>
      <c r="AO52" s="709"/>
      <c r="AP52" s="709"/>
      <c r="AQ52" s="709"/>
    </row>
    <row r="53" spans="2:66" x14ac:dyDescent="0.25">
      <c r="B53" s="387"/>
      <c r="C53" s="519" t="s">
        <v>171</v>
      </c>
      <c r="D53" s="520">
        <v>30000</v>
      </c>
      <c r="E53" s="952" t="s">
        <v>761</v>
      </c>
      <c r="F53" s="953"/>
      <c r="G53" s="953"/>
      <c r="H53" s="954"/>
      <c r="I53" s="387" t="s">
        <v>760</v>
      </c>
      <c r="J53" s="709"/>
      <c r="K53" s="709"/>
      <c r="L53" s="709"/>
      <c r="M53" s="709"/>
      <c r="N53" s="709"/>
      <c r="O53" s="709"/>
      <c r="P53" s="709"/>
      <c r="Q53" s="709"/>
      <c r="R53" s="709"/>
      <c r="S53" s="709"/>
      <c r="T53" s="709"/>
      <c r="U53" s="709"/>
      <c r="V53" s="709"/>
      <c r="W53" s="709"/>
      <c r="X53" s="709"/>
      <c r="Y53" s="709"/>
      <c r="Z53" s="709"/>
      <c r="AA53" s="709"/>
      <c r="AB53" s="709"/>
      <c r="AC53" s="709"/>
      <c r="AD53" s="709"/>
      <c r="AE53" s="709"/>
      <c r="AF53" s="709"/>
      <c r="AG53" s="709"/>
      <c r="AH53" s="709"/>
      <c r="AI53" s="709"/>
      <c r="AJ53" s="709"/>
      <c r="AK53" s="709"/>
      <c r="AL53" s="709"/>
      <c r="AM53" s="709"/>
      <c r="AN53" s="709"/>
      <c r="AO53" s="709"/>
      <c r="AP53" s="709"/>
      <c r="AQ53" s="709"/>
    </row>
    <row r="54" spans="2:66" x14ac:dyDescent="0.25">
      <c r="B54" s="515" t="s">
        <v>174</v>
      </c>
      <c r="C54" s="519" t="s">
        <v>174</v>
      </c>
      <c r="D54" s="520">
        <v>14000</v>
      </c>
      <c r="E54" s="946" t="s">
        <v>762</v>
      </c>
      <c r="F54" s="947"/>
      <c r="G54" s="947"/>
      <c r="H54" s="948"/>
      <c r="I54" s="394" t="s">
        <v>763</v>
      </c>
      <c r="J54" s="709"/>
      <c r="K54" s="709"/>
      <c r="L54" s="709"/>
      <c r="M54" s="709"/>
      <c r="N54" s="709"/>
      <c r="O54" s="709"/>
      <c r="P54" s="709"/>
      <c r="Q54" s="709"/>
      <c r="R54" s="709"/>
      <c r="S54" s="709"/>
      <c r="T54" s="709"/>
      <c r="U54" s="709"/>
      <c r="V54" s="709"/>
      <c r="W54" s="709"/>
      <c r="X54" s="709"/>
      <c r="Y54" s="709"/>
      <c r="Z54" s="709"/>
      <c r="AA54" s="709"/>
      <c r="AB54" s="709"/>
      <c r="AC54" s="709"/>
      <c r="AD54" s="709"/>
      <c r="AE54" s="709"/>
      <c r="AF54" s="709"/>
      <c r="AG54" s="709"/>
      <c r="AH54" s="709"/>
      <c r="AI54" s="709"/>
      <c r="AJ54" s="709"/>
      <c r="AK54" s="709"/>
      <c r="AL54" s="709"/>
      <c r="AM54" s="709"/>
      <c r="AN54" s="709"/>
      <c r="AO54" s="709"/>
      <c r="AP54" s="709"/>
      <c r="AQ54" s="709"/>
    </row>
    <row r="55" spans="2:66" x14ac:dyDescent="0.25">
      <c r="B55" s="515"/>
      <c r="C55" s="513"/>
      <c r="D55" s="514"/>
      <c r="E55" s="946"/>
      <c r="F55" s="947"/>
      <c r="G55" s="947"/>
      <c r="H55" s="948"/>
      <c r="I55" s="394"/>
      <c r="J55" s="709"/>
      <c r="K55" s="709"/>
      <c r="L55" s="709"/>
      <c r="M55" s="709"/>
      <c r="N55" s="709"/>
      <c r="O55" s="709"/>
      <c r="P55" s="709"/>
      <c r="Q55" s="709"/>
      <c r="R55" s="709"/>
      <c r="S55" s="709"/>
      <c r="T55" s="709"/>
      <c r="U55" s="709"/>
      <c r="V55" s="709"/>
      <c r="W55" s="709"/>
      <c r="X55" s="709"/>
      <c r="Y55" s="709"/>
      <c r="Z55" s="709"/>
      <c r="AA55" s="709"/>
      <c r="AB55" s="709"/>
      <c r="AC55" s="709"/>
      <c r="AD55" s="709"/>
      <c r="AE55" s="709"/>
      <c r="AF55" s="709"/>
      <c r="AG55" s="709"/>
      <c r="AH55" s="709"/>
      <c r="AI55" s="709"/>
      <c r="AJ55" s="709"/>
      <c r="AK55" s="709"/>
      <c r="AL55" s="709"/>
      <c r="AM55" s="709"/>
      <c r="AN55" s="709"/>
      <c r="AO55" s="709"/>
      <c r="AP55" s="709"/>
      <c r="AQ55" s="709"/>
    </row>
    <row r="56" spans="2:66" x14ac:dyDescent="0.25">
      <c r="J56" s="709"/>
      <c r="K56" s="709"/>
      <c r="L56" s="709"/>
      <c r="M56" s="709"/>
      <c r="N56" s="709"/>
      <c r="O56" s="709"/>
      <c r="P56" s="709"/>
      <c r="Q56" s="709"/>
      <c r="R56" s="709"/>
      <c r="S56" s="709"/>
      <c r="T56" s="709"/>
      <c r="U56" s="709"/>
      <c r="V56" s="709"/>
      <c r="W56" s="709"/>
      <c r="X56" s="709"/>
      <c r="Y56" s="709"/>
      <c r="Z56" s="709"/>
      <c r="AA56" s="709"/>
      <c r="AB56" s="709"/>
      <c r="AC56" s="709"/>
      <c r="AD56" s="709"/>
      <c r="AE56" s="709"/>
      <c r="AF56" s="709"/>
      <c r="AG56" s="709"/>
      <c r="AH56" s="709"/>
      <c r="AI56" s="709"/>
      <c r="AJ56" s="709"/>
      <c r="AK56" s="709"/>
      <c r="AL56" s="709"/>
      <c r="AM56" s="709"/>
      <c r="AN56" s="709"/>
      <c r="AO56" s="709"/>
      <c r="AP56" s="709"/>
      <c r="AQ56" s="709"/>
    </row>
    <row r="57" spans="2:66" x14ac:dyDescent="0.25">
      <c r="J57" s="709"/>
      <c r="K57" s="709"/>
      <c r="L57" s="709"/>
      <c r="M57" s="709"/>
      <c r="N57" s="709"/>
      <c r="O57" s="709"/>
      <c r="P57" s="709"/>
      <c r="Q57" s="709"/>
      <c r="R57" s="709"/>
      <c r="S57" s="709"/>
      <c r="T57" s="709"/>
      <c r="U57" s="709"/>
      <c r="V57" s="709"/>
      <c r="W57" s="709"/>
      <c r="X57" s="709"/>
      <c r="Y57" s="709"/>
      <c r="Z57" s="709"/>
      <c r="AA57" s="709"/>
      <c r="AB57" s="709"/>
      <c r="AC57" s="709"/>
      <c r="AD57" s="709"/>
      <c r="AE57" s="709"/>
      <c r="AF57" s="709"/>
      <c r="AG57" s="709"/>
      <c r="AH57" s="709"/>
      <c r="AI57" s="709"/>
      <c r="AJ57" s="709"/>
      <c r="AK57" s="709"/>
      <c r="AL57" s="709"/>
      <c r="AM57" s="709"/>
      <c r="AN57" s="709"/>
      <c r="AO57" s="709"/>
      <c r="AP57" s="709"/>
      <c r="AQ57" s="709"/>
    </row>
    <row r="58" spans="2:66" x14ac:dyDescent="0.25">
      <c r="J58" s="709"/>
      <c r="K58" s="709"/>
      <c r="L58" s="709"/>
      <c r="M58" s="709"/>
      <c r="N58" s="709"/>
      <c r="O58" s="709"/>
      <c r="P58" s="709"/>
      <c r="Q58" s="709"/>
      <c r="R58" s="709"/>
      <c r="S58" s="709"/>
      <c r="T58" s="709"/>
      <c r="U58" s="709"/>
      <c r="V58" s="709"/>
      <c r="W58" s="709"/>
      <c r="X58" s="709"/>
      <c r="Y58" s="709"/>
      <c r="Z58" s="709"/>
      <c r="AA58" s="709"/>
      <c r="AB58" s="709"/>
      <c r="AC58" s="709"/>
      <c r="AD58" s="709"/>
      <c r="AE58" s="709"/>
      <c r="AF58" s="709"/>
      <c r="AG58" s="709"/>
      <c r="AH58" s="709"/>
      <c r="AI58" s="709"/>
      <c r="AJ58" s="709"/>
      <c r="AK58" s="709"/>
      <c r="AL58" s="709"/>
      <c r="AM58" s="709"/>
      <c r="AN58" s="709"/>
      <c r="AO58" s="709"/>
      <c r="AP58" s="709"/>
      <c r="AQ58" s="709"/>
    </row>
    <row r="59" spans="2:66" x14ac:dyDescent="0.25">
      <c r="J59" s="709"/>
      <c r="K59" s="709"/>
      <c r="L59" s="709"/>
      <c r="M59" s="709"/>
      <c r="N59" s="709"/>
      <c r="O59" s="709"/>
      <c r="P59" s="709"/>
      <c r="Q59" s="709"/>
      <c r="R59" s="709"/>
      <c r="S59" s="709"/>
      <c r="T59" s="709"/>
      <c r="U59" s="709"/>
      <c r="V59" s="709"/>
      <c r="W59" s="709"/>
      <c r="X59" s="709"/>
      <c r="Y59" s="709"/>
      <c r="Z59" s="709"/>
      <c r="AA59" s="709"/>
      <c r="AB59" s="709"/>
      <c r="AC59" s="709"/>
      <c r="AD59" s="709"/>
      <c r="AE59" s="709"/>
      <c r="AF59" s="709"/>
      <c r="AG59" s="709"/>
      <c r="AH59" s="709"/>
      <c r="AI59" s="709"/>
      <c r="AJ59" s="709"/>
      <c r="AK59" s="709"/>
      <c r="AL59" s="709"/>
      <c r="AM59" s="709"/>
      <c r="AN59" s="709"/>
      <c r="AO59" s="709"/>
      <c r="AP59" s="709"/>
      <c r="AQ59" s="709"/>
    </row>
    <row r="60" spans="2:66" x14ac:dyDescent="0.25">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09"/>
      <c r="AJ60" s="709"/>
      <c r="AK60" s="709"/>
      <c r="AL60" s="709"/>
      <c r="AM60" s="709"/>
      <c r="AN60" s="709"/>
      <c r="AO60" s="709"/>
      <c r="AP60" s="709"/>
      <c r="AQ60" s="709"/>
    </row>
    <row r="61" spans="2:66" x14ac:dyDescent="0.25">
      <c r="J61" s="709"/>
      <c r="K61" s="709"/>
      <c r="L61" s="709"/>
      <c r="M61" s="709"/>
      <c r="N61" s="709"/>
      <c r="O61" s="709"/>
      <c r="P61" s="709"/>
      <c r="Q61" s="709"/>
      <c r="R61" s="709"/>
      <c r="S61" s="709"/>
      <c r="T61" s="709"/>
      <c r="U61" s="709"/>
      <c r="V61" s="709"/>
      <c r="W61" s="709"/>
      <c r="X61" s="709"/>
      <c r="Y61" s="709"/>
      <c r="Z61" s="709"/>
      <c r="AA61" s="709"/>
      <c r="AB61" s="709"/>
      <c r="AC61" s="709"/>
      <c r="AD61" s="709"/>
      <c r="AE61" s="709"/>
      <c r="AF61" s="709"/>
      <c r="AG61" s="709"/>
      <c r="AH61" s="709"/>
      <c r="AI61" s="709"/>
      <c r="AJ61" s="709"/>
      <c r="AK61" s="709"/>
      <c r="AL61" s="709"/>
      <c r="AM61" s="709"/>
      <c r="AN61" s="709"/>
      <c r="AO61" s="709"/>
      <c r="AP61" s="709"/>
      <c r="AQ61" s="709"/>
    </row>
    <row r="62" spans="2:66" x14ac:dyDescent="0.25">
      <c r="J62" s="709"/>
      <c r="K62" s="709"/>
      <c r="L62" s="709"/>
      <c r="M62" s="709"/>
      <c r="N62" s="709"/>
      <c r="O62" s="709"/>
      <c r="P62" s="709"/>
      <c r="Q62" s="709"/>
      <c r="R62" s="709"/>
      <c r="S62" s="709"/>
      <c r="T62" s="709"/>
      <c r="U62" s="709"/>
      <c r="V62" s="709"/>
      <c r="W62" s="709"/>
      <c r="X62" s="709"/>
      <c r="Y62" s="709"/>
      <c r="Z62" s="709"/>
      <c r="AA62" s="709"/>
      <c r="AB62" s="709"/>
      <c r="AC62" s="709"/>
      <c r="AD62" s="709"/>
      <c r="AE62" s="709"/>
      <c r="AF62" s="709"/>
      <c r="AG62" s="709"/>
      <c r="AH62" s="709"/>
      <c r="AI62" s="709"/>
      <c r="AJ62" s="709"/>
      <c r="AK62" s="709"/>
      <c r="AL62" s="709"/>
      <c r="AM62" s="709"/>
      <c r="AN62" s="709"/>
      <c r="AO62" s="709"/>
      <c r="AP62" s="709"/>
      <c r="AQ62" s="709"/>
    </row>
    <row r="63" spans="2:66" x14ac:dyDescent="0.25">
      <c r="J63" s="709"/>
      <c r="K63" s="709"/>
      <c r="L63" s="709"/>
      <c r="M63" s="709"/>
      <c r="N63" s="709"/>
      <c r="O63" s="709"/>
      <c r="P63" s="709"/>
      <c r="Q63" s="709"/>
      <c r="R63" s="709"/>
      <c r="S63" s="709"/>
      <c r="T63" s="709"/>
      <c r="U63" s="709"/>
      <c r="V63" s="709"/>
      <c r="W63" s="709"/>
      <c r="X63" s="709"/>
      <c r="Y63" s="709"/>
      <c r="Z63" s="709"/>
      <c r="AA63" s="709"/>
      <c r="AB63" s="709"/>
      <c r="AC63" s="709"/>
      <c r="AD63" s="709"/>
      <c r="AE63" s="709"/>
      <c r="AF63" s="709"/>
      <c r="AG63" s="709"/>
      <c r="AH63" s="709"/>
      <c r="AI63" s="709"/>
      <c r="AJ63" s="709"/>
      <c r="AK63" s="709"/>
      <c r="AL63" s="709"/>
      <c r="AM63" s="709"/>
      <c r="AN63" s="709"/>
      <c r="AO63" s="709"/>
      <c r="AP63" s="709"/>
      <c r="AQ63" s="709"/>
    </row>
    <row r="64" spans="2:66" x14ac:dyDescent="0.25">
      <c r="J64" s="709"/>
      <c r="K64" s="709"/>
      <c r="L64" s="709"/>
      <c r="M64" s="709"/>
      <c r="N64" s="709"/>
      <c r="O64" s="709"/>
      <c r="P64" s="709"/>
      <c r="Q64" s="709"/>
      <c r="R64" s="709"/>
      <c r="S64" s="709"/>
      <c r="T64" s="709"/>
      <c r="U64" s="709"/>
      <c r="V64" s="709"/>
      <c r="W64" s="709"/>
      <c r="X64" s="709"/>
      <c r="Y64" s="709"/>
      <c r="Z64" s="709"/>
      <c r="AA64" s="709"/>
      <c r="AB64" s="709"/>
      <c r="AC64" s="709"/>
      <c r="AD64" s="709"/>
      <c r="AE64" s="709"/>
      <c r="AF64" s="709"/>
      <c r="AG64" s="709"/>
      <c r="AH64" s="709"/>
      <c r="AI64" s="709"/>
      <c r="AJ64" s="709"/>
      <c r="AK64" s="709"/>
      <c r="AL64" s="709"/>
      <c r="AM64" s="709"/>
      <c r="AN64" s="709"/>
      <c r="AO64" s="709"/>
      <c r="AP64" s="709"/>
      <c r="AQ64" s="709"/>
    </row>
    <row r="65" spans="10:43" x14ac:dyDescent="0.25">
      <c r="J65" s="709"/>
      <c r="K65" s="709"/>
      <c r="L65" s="709"/>
      <c r="M65" s="709"/>
      <c r="N65" s="709"/>
      <c r="O65" s="709"/>
      <c r="P65" s="709"/>
      <c r="Q65" s="709"/>
      <c r="R65" s="709"/>
      <c r="S65" s="709"/>
      <c r="T65" s="709"/>
      <c r="U65" s="709"/>
      <c r="V65" s="709"/>
      <c r="W65" s="709"/>
      <c r="X65" s="709"/>
      <c r="Y65" s="709"/>
      <c r="Z65" s="709"/>
      <c r="AA65" s="709"/>
      <c r="AB65" s="709"/>
      <c r="AC65" s="709"/>
      <c r="AD65" s="709"/>
      <c r="AE65" s="709"/>
      <c r="AF65" s="709"/>
      <c r="AG65" s="709"/>
      <c r="AH65" s="709"/>
      <c r="AI65" s="709"/>
      <c r="AJ65" s="709"/>
      <c r="AK65" s="709"/>
      <c r="AL65" s="709"/>
      <c r="AM65" s="709"/>
      <c r="AN65" s="709"/>
      <c r="AO65" s="709"/>
      <c r="AP65" s="709"/>
      <c r="AQ65" s="709"/>
    </row>
    <row r="66" spans="10:43" x14ac:dyDescent="0.25">
      <c r="J66" s="709"/>
      <c r="K66" s="709"/>
      <c r="L66" s="709"/>
      <c r="M66" s="709"/>
      <c r="N66" s="709"/>
      <c r="O66" s="709"/>
      <c r="P66" s="709"/>
      <c r="Q66" s="709"/>
      <c r="R66" s="709"/>
      <c r="S66" s="709"/>
      <c r="T66" s="709"/>
      <c r="U66" s="709"/>
      <c r="V66" s="709"/>
      <c r="W66" s="709"/>
      <c r="X66" s="709"/>
      <c r="Y66" s="709"/>
      <c r="Z66" s="709"/>
      <c r="AA66" s="709"/>
      <c r="AB66" s="709"/>
      <c r="AC66" s="709"/>
      <c r="AD66" s="709"/>
      <c r="AE66" s="709"/>
      <c r="AF66" s="709"/>
      <c r="AG66" s="709"/>
      <c r="AH66" s="709"/>
      <c r="AI66" s="709"/>
      <c r="AJ66" s="709"/>
      <c r="AK66" s="709"/>
      <c r="AL66" s="709"/>
      <c r="AM66" s="709"/>
      <c r="AN66" s="709"/>
      <c r="AO66" s="709"/>
      <c r="AP66" s="709"/>
      <c r="AQ66" s="709"/>
    </row>
    <row r="67" spans="10:43" x14ac:dyDescent="0.25">
      <c r="J67" s="709"/>
      <c r="K67" s="709"/>
      <c r="L67" s="709"/>
      <c r="M67" s="709"/>
      <c r="N67" s="709"/>
      <c r="O67" s="709"/>
      <c r="P67" s="709"/>
      <c r="Q67" s="709"/>
      <c r="R67" s="709"/>
      <c r="S67" s="709"/>
      <c r="T67" s="709"/>
      <c r="U67" s="709"/>
      <c r="V67" s="709"/>
      <c r="W67" s="709"/>
      <c r="X67" s="709"/>
      <c r="Y67" s="709"/>
      <c r="Z67" s="709"/>
      <c r="AA67" s="709"/>
      <c r="AB67" s="709"/>
      <c r="AC67" s="709"/>
      <c r="AD67" s="709"/>
      <c r="AE67" s="709"/>
      <c r="AF67" s="709"/>
      <c r="AG67" s="709"/>
      <c r="AH67" s="709"/>
      <c r="AI67" s="709"/>
      <c r="AJ67" s="709"/>
      <c r="AK67" s="709"/>
      <c r="AL67" s="709"/>
      <c r="AM67" s="709"/>
      <c r="AN67" s="709"/>
      <c r="AO67" s="709"/>
      <c r="AP67" s="709"/>
      <c r="AQ67" s="709"/>
    </row>
    <row r="68" spans="10:43" x14ac:dyDescent="0.25">
      <c r="J68" s="709"/>
      <c r="K68" s="709"/>
      <c r="L68" s="709"/>
      <c r="M68" s="709"/>
      <c r="N68" s="709"/>
      <c r="O68" s="709"/>
      <c r="P68" s="709"/>
      <c r="Q68" s="709"/>
      <c r="R68" s="709"/>
      <c r="S68" s="709"/>
      <c r="T68" s="709"/>
      <c r="U68" s="709"/>
      <c r="V68" s="709"/>
      <c r="W68" s="709"/>
      <c r="X68" s="709"/>
      <c r="Y68" s="709"/>
      <c r="Z68" s="709"/>
      <c r="AA68" s="709"/>
      <c r="AB68" s="709"/>
      <c r="AC68" s="709"/>
      <c r="AD68" s="709"/>
      <c r="AE68" s="709"/>
      <c r="AF68" s="709"/>
      <c r="AG68" s="709"/>
      <c r="AH68" s="709"/>
      <c r="AI68" s="709"/>
      <c r="AJ68" s="709"/>
      <c r="AK68" s="709"/>
      <c r="AL68" s="709"/>
      <c r="AM68" s="709"/>
      <c r="AN68" s="709"/>
      <c r="AO68" s="709"/>
      <c r="AP68" s="709"/>
      <c r="AQ68" s="709"/>
    </row>
    <row r="69" spans="10:43" x14ac:dyDescent="0.25">
      <c r="J69" s="709"/>
      <c r="K69" s="709"/>
      <c r="L69" s="709"/>
      <c r="M69" s="709"/>
      <c r="N69" s="709"/>
      <c r="O69" s="709"/>
      <c r="P69" s="709"/>
      <c r="Q69" s="709"/>
      <c r="R69" s="709"/>
      <c r="S69" s="709"/>
      <c r="T69" s="709"/>
      <c r="U69" s="709"/>
      <c r="V69" s="709"/>
      <c r="W69" s="709"/>
      <c r="X69" s="709"/>
      <c r="Y69" s="709"/>
      <c r="Z69" s="709"/>
      <c r="AA69" s="709"/>
      <c r="AB69" s="709"/>
      <c r="AC69" s="709"/>
      <c r="AD69" s="709"/>
      <c r="AE69" s="709"/>
      <c r="AF69" s="709"/>
      <c r="AG69" s="709"/>
      <c r="AH69" s="709"/>
      <c r="AI69" s="709"/>
      <c r="AJ69" s="709"/>
      <c r="AK69" s="709"/>
      <c r="AL69" s="709"/>
      <c r="AM69" s="709"/>
      <c r="AN69" s="709"/>
      <c r="AO69" s="709"/>
      <c r="AP69" s="709"/>
      <c r="AQ69" s="709"/>
    </row>
    <row r="70" spans="10:43" x14ac:dyDescent="0.25">
      <c r="J70" s="709"/>
      <c r="K70" s="709"/>
      <c r="L70" s="709"/>
      <c r="M70" s="709"/>
      <c r="N70" s="709"/>
      <c r="O70" s="709"/>
      <c r="P70" s="709"/>
      <c r="Q70" s="709"/>
      <c r="R70" s="709"/>
      <c r="S70" s="709"/>
      <c r="T70" s="709"/>
      <c r="U70" s="709"/>
      <c r="V70" s="709"/>
      <c r="W70" s="709"/>
      <c r="X70" s="709"/>
      <c r="Y70" s="709"/>
      <c r="Z70" s="709"/>
      <c r="AA70" s="709"/>
      <c r="AB70" s="709"/>
      <c r="AC70" s="709"/>
      <c r="AD70" s="709"/>
      <c r="AE70" s="709"/>
      <c r="AF70" s="709"/>
      <c r="AG70" s="709"/>
      <c r="AH70" s="709"/>
      <c r="AI70" s="709"/>
      <c r="AJ70" s="709"/>
      <c r="AK70" s="709"/>
      <c r="AL70" s="709"/>
      <c r="AM70" s="709"/>
      <c r="AN70" s="709"/>
      <c r="AO70" s="709"/>
      <c r="AP70" s="709"/>
      <c r="AQ70" s="709"/>
    </row>
    <row r="71" spans="10:43" x14ac:dyDescent="0.25">
      <c r="J71" s="709"/>
      <c r="K71" s="709"/>
      <c r="L71" s="709"/>
      <c r="M71" s="709"/>
      <c r="N71" s="709"/>
      <c r="O71" s="709"/>
      <c r="P71" s="709"/>
      <c r="Q71" s="709"/>
      <c r="R71" s="709"/>
      <c r="S71" s="709"/>
      <c r="T71" s="709"/>
      <c r="U71" s="709"/>
      <c r="V71" s="709"/>
      <c r="W71" s="709"/>
      <c r="X71" s="709"/>
      <c r="Y71" s="709"/>
      <c r="Z71" s="709"/>
      <c r="AA71" s="709"/>
      <c r="AB71" s="709"/>
      <c r="AC71" s="709"/>
      <c r="AD71" s="709"/>
      <c r="AE71" s="709"/>
      <c r="AF71" s="709"/>
      <c r="AG71" s="709"/>
      <c r="AH71" s="709"/>
      <c r="AI71" s="709"/>
      <c r="AJ71" s="709"/>
      <c r="AK71" s="709"/>
      <c r="AL71" s="709"/>
      <c r="AM71" s="709"/>
      <c r="AN71" s="709"/>
      <c r="AO71" s="709"/>
      <c r="AP71" s="709"/>
      <c r="AQ71" s="709"/>
    </row>
    <row r="72" spans="10:43" x14ac:dyDescent="0.25">
      <c r="J72" s="709"/>
      <c r="K72" s="709"/>
      <c r="L72" s="709"/>
      <c r="M72" s="709"/>
      <c r="N72" s="709"/>
      <c r="O72" s="709"/>
      <c r="P72" s="709"/>
      <c r="Q72" s="709"/>
      <c r="R72" s="709"/>
      <c r="S72" s="709"/>
      <c r="T72" s="709"/>
      <c r="U72" s="709"/>
      <c r="V72" s="709"/>
      <c r="W72" s="709"/>
      <c r="X72" s="709"/>
      <c r="Y72" s="709"/>
      <c r="Z72" s="709"/>
      <c r="AA72" s="709"/>
      <c r="AB72" s="709"/>
      <c r="AC72" s="709"/>
      <c r="AD72" s="709"/>
      <c r="AE72" s="709"/>
      <c r="AF72" s="709"/>
      <c r="AG72" s="709"/>
      <c r="AH72" s="709"/>
      <c r="AI72" s="709"/>
      <c r="AJ72" s="709"/>
      <c r="AK72" s="709"/>
      <c r="AL72" s="709"/>
      <c r="AM72" s="709"/>
      <c r="AN72" s="709"/>
      <c r="AO72" s="709"/>
      <c r="AP72" s="709"/>
      <c r="AQ72" s="709"/>
    </row>
    <row r="73" spans="10:43" x14ac:dyDescent="0.25">
      <c r="J73" s="709"/>
      <c r="K73" s="709"/>
      <c r="L73" s="709"/>
      <c r="M73" s="709"/>
      <c r="N73" s="709"/>
      <c r="O73" s="709"/>
      <c r="P73" s="709"/>
      <c r="Q73" s="709"/>
      <c r="R73" s="709"/>
      <c r="S73" s="709"/>
      <c r="T73" s="709"/>
      <c r="U73" s="709"/>
      <c r="V73" s="709"/>
      <c r="W73" s="709"/>
      <c r="X73" s="709"/>
      <c r="Y73" s="709"/>
      <c r="Z73" s="709"/>
      <c r="AA73" s="709"/>
      <c r="AB73" s="709"/>
      <c r="AC73" s="709"/>
      <c r="AD73" s="709"/>
      <c r="AE73" s="709"/>
      <c r="AF73" s="709"/>
      <c r="AG73" s="709"/>
      <c r="AH73" s="709"/>
      <c r="AI73" s="709"/>
      <c r="AJ73" s="709"/>
      <c r="AK73" s="709"/>
      <c r="AL73" s="709"/>
      <c r="AM73" s="709"/>
      <c r="AN73" s="709"/>
      <c r="AO73" s="709"/>
      <c r="AP73" s="709"/>
      <c r="AQ73" s="709"/>
    </row>
    <row r="74" spans="10:43" x14ac:dyDescent="0.25">
      <c r="J74" s="709"/>
      <c r="K74" s="709"/>
      <c r="L74" s="709"/>
      <c r="M74" s="709"/>
      <c r="N74" s="709"/>
      <c r="O74" s="709"/>
      <c r="P74" s="709"/>
      <c r="Q74" s="709"/>
      <c r="R74" s="709"/>
      <c r="S74" s="709"/>
      <c r="T74" s="709"/>
      <c r="U74" s="709"/>
      <c r="V74" s="709"/>
      <c r="W74" s="709"/>
      <c r="X74" s="709"/>
      <c r="Y74" s="709"/>
      <c r="Z74" s="709"/>
      <c r="AA74" s="709"/>
      <c r="AB74" s="709"/>
      <c r="AC74" s="709"/>
      <c r="AD74" s="709"/>
      <c r="AE74" s="709"/>
      <c r="AF74" s="709"/>
      <c r="AG74" s="709"/>
      <c r="AH74" s="709"/>
      <c r="AI74" s="709"/>
      <c r="AJ74" s="709"/>
      <c r="AK74" s="709"/>
      <c r="AL74" s="709"/>
      <c r="AM74" s="709"/>
      <c r="AN74" s="709"/>
      <c r="AO74" s="709"/>
      <c r="AP74" s="709"/>
      <c r="AQ74" s="709"/>
    </row>
    <row r="75" spans="10:43" x14ac:dyDescent="0.25">
      <c r="J75" s="709"/>
      <c r="K75" s="709"/>
      <c r="L75" s="709"/>
      <c r="M75" s="709"/>
      <c r="N75" s="709"/>
      <c r="O75" s="709"/>
      <c r="P75" s="709"/>
      <c r="Q75" s="709"/>
      <c r="R75" s="709"/>
      <c r="S75" s="709"/>
      <c r="T75" s="709"/>
      <c r="U75" s="709"/>
      <c r="V75" s="709"/>
      <c r="W75" s="709"/>
      <c r="X75" s="709"/>
      <c r="Y75" s="709"/>
      <c r="Z75" s="709"/>
      <c r="AA75" s="709"/>
      <c r="AB75" s="709"/>
      <c r="AC75" s="709"/>
      <c r="AD75" s="709"/>
      <c r="AE75" s="709"/>
      <c r="AF75" s="709"/>
      <c r="AG75" s="709"/>
      <c r="AH75" s="709"/>
      <c r="AI75" s="709"/>
      <c r="AJ75" s="709"/>
      <c r="AK75" s="709"/>
      <c r="AL75" s="709"/>
      <c r="AM75" s="709"/>
      <c r="AN75" s="709"/>
      <c r="AO75" s="709"/>
      <c r="AP75" s="709"/>
      <c r="AQ75" s="709"/>
    </row>
    <row r="76" spans="10:43" x14ac:dyDescent="0.25">
      <c r="J76" s="709"/>
      <c r="K76" s="709"/>
      <c r="L76" s="709"/>
      <c r="M76" s="709"/>
      <c r="N76" s="709"/>
      <c r="O76" s="709"/>
      <c r="P76" s="709"/>
      <c r="Q76" s="709"/>
      <c r="R76" s="709"/>
      <c r="S76" s="709"/>
      <c r="T76" s="709"/>
      <c r="U76" s="709"/>
      <c r="V76" s="709"/>
      <c r="W76" s="709"/>
      <c r="X76" s="709"/>
      <c r="Y76" s="709"/>
      <c r="Z76" s="709"/>
      <c r="AA76" s="709"/>
      <c r="AB76" s="709"/>
      <c r="AC76" s="709"/>
      <c r="AD76" s="709"/>
      <c r="AE76" s="709"/>
      <c r="AF76" s="709"/>
      <c r="AG76" s="709"/>
      <c r="AH76" s="709"/>
      <c r="AI76" s="709"/>
      <c r="AJ76" s="709"/>
      <c r="AK76" s="709"/>
      <c r="AL76" s="709"/>
      <c r="AM76" s="709"/>
      <c r="AN76" s="709"/>
      <c r="AO76" s="709"/>
      <c r="AP76" s="709"/>
      <c r="AQ76" s="709"/>
    </row>
    <row r="77" spans="10:43" x14ac:dyDescent="0.25">
      <c r="J77" s="709"/>
      <c r="K77" s="709"/>
      <c r="L77" s="709"/>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09"/>
      <c r="AJ77" s="709"/>
      <c r="AK77" s="709"/>
      <c r="AL77" s="709"/>
      <c r="AM77" s="709"/>
      <c r="AN77" s="709"/>
      <c r="AO77" s="709"/>
      <c r="AP77" s="709"/>
      <c r="AQ77" s="709"/>
    </row>
    <row r="78" spans="10:43" x14ac:dyDescent="0.25">
      <c r="J78" s="709"/>
      <c r="K78" s="709"/>
      <c r="L78" s="709"/>
      <c r="M78" s="709"/>
      <c r="N78" s="709"/>
      <c r="O78" s="709"/>
      <c r="P78" s="709"/>
      <c r="Q78" s="709"/>
      <c r="R78" s="709"/>
      <c r="S78" s="709"/>
      <c r="T78" s="709"/>
      <c r="U78" s="709"/>
      <c r="V78" s="709"/>
      <c r="W78" s="709"/>
      <c r="X78" s="709"/>
      <c r="Y78" s="709"/>
      <c r="Z78" s="709"/>
      <c r="AA78" s="709"/>
      <c r="AB78" s="709"/>
      <c r="AC78" s="709"/>
      <c r="AD78" s="709"/>
      <c r="AE78" s="709"/>
      <c r="AF78" s="709"/>
      <c r="AG78" s="709"/>
      <c r="AH78" s="709"/>
      <c r="AI78" s="709"/>
      <c r="AJ78" s="709"/>
      <c r="AK78" s="709"/>
      <c r="AL78" s="709"/>
      <c r="AM78" s="709"/>
      <c r="AN78" s="709"/>
      <c r="AO78" s="709"/>
      <c r="AP78" s="709"/>
      <c r="AQ78" s="709"/>
    </row>
    <row r="79" spans="10:43" x14ac:dyDescent="0.25">
      <c r="J79" s="709"/>
      <c r="K79" s="709"/>
      <c r="L79" s="709"/>
      <c r="M79" s="709"/>
      <c r="N79" s="709"/>
      <c r="O79" s="709"/>
      <c r="P79" s="709"/>
      <c r="Q79" s="709"/>
      <c r="R79" s="709"/>
      <c r="S79" s="709"/>
      <c r="T79" s="709"/>
      <c r="U79" s="709"/>
      <c r="V79" s="709"/>
      <c r="W79" s="709"/>
      <c r="X79" s="709"/>
      <c r="Y79" s="709"/>
      <c r="Z79" s="709"/>
      <c r="AA79" s="709"/>
      <c r="AB79" s="709"/>
      <c r="AC79" s="709"/>
      <c r="AD79" s="709"/>
      <c r="AE79" s="709"/>
      <c r="AF79" s="709"/>
      <c r="AG79" s="709"/>
      <c r="AH79" s="709"/>
      <c r="AI79" s="709"/>
      <c r="AJ79" s="709"/>
      <c r="AK79" s="709"/>
      <c r="AL79" s="709"/>
      <c r="AM79" s="709"/>
      <c r="AN79" s="709"/>
      <c r="AO79" s="709"/>
      <c r="AP79" s="709"/>
      <c r="AQ79" s="709"/>
    </row>
    <row r="80" spans="10:43" x14ac:dyDescent="0.25">
      <c r="J80" s="709"/>
      <c r="K80" s="709"/>
      <c r="L80" s="709"/>
      <c r="M80" s="709"/>
      <c r="N80" s="709"/>
      <c r="O80" s="709"/>
      <c r="P80" s="709"/>
      <c r="Q80" s="709"/>
      <c r="R80" s="709"/>
      <c r="S80" s="709"/>
      <c r="T80" s="709"/>
      <c r="U80" s="709"/>
      <c r="V80" s="709"/>
      <c r="W80" s="709"/>
      <c r="X80" s="709"/>
      <c r="Y80" s="709"/>
      <c r="Z80" s="709"/>
      <c r="AA80" s="709"/>
      <c r="AB80" s="709"/>
      <c r="AC80" s="709"/>
      <c r="AD80" s="709"/>
      <c r="AE80" s="709"/>
      <c r="AF80" s="709"/>
      <c r="AG80" s="709"/>
      <c r="AH80" s="709"/>
      <c r="AI80" s="709"/>
      <c r="AJ80" s="709"/>
      <c r="AK80" s="709"/>
      <c r="AL80" s="709"/>
      <c r="AM80" s="709"/>
      <c r="AN80" s="709"/>
      <c r="AO80" s="709"/>
      <c r="AP80" s="709"/>
      <c r="AQ80" s="709"/>
    </row>
    <row r="81" spans="10:43" x14ac:dyDescent="0.25">
      <c r="J81" s="709"/>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09"/>
      <c r="AJ81" s="709"/>
      <c r="AK81" s="709"/>
      <c r="AL81" s="709"/>
      <c r="AM81" s="709"/>
      <c r="AN81" s="709"/>
      <c r="AO81" s="709"/>
      <c r="AP81" s="709"/>
      <c r="AQ81" s="709"/>
    </row>
    <row r="82" spans="10:43" x14ac:dyDescent="0.25">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0"/>
      <c r="AN82" s="710"/>
      <c r="AO82" s="710"/>
      <c r="AP82" s="710"/>
      <c r="AQ82" s="710"/>
    </row>
    <row r="83" spans="10:43" x14ac:dyDescent="0.25">
      <c r="J83" s="709"/>
      <c r="K83" s="709"/>
      <c r="L83" s="709"/>
      <c r="M83" s="709"/>
      <c r="N83" s="709"/>
      <c r="O83" s="709"/>
      <c r="P83" s="709"/>
      <c r="Q83" s="709"/>
      <c r="R83" s="709"/>
      <c r="S83" s="709"/>
      <c r="T83" s="709"/>
      <c r="U83" s="709"/>
      <c r="V83" s="709"/>
      <c r="W83" s="709"/>
      <c r="X83" s="709"/>
      <c r="Y83" s="709"/>
      <c r="Z83" s="709"/>
      <c r="AA83" s="709"/>
      <c r="AB83" s="709"/>
      <c r="AC83" s="709"/>
      <c r="AD83" s="709"/>
      <c r="AE83" s="709"/>
      <c r="AF83" s="709"/>
      <c r="AG83" s="709"/>
      <c r="AH83" s="709"/>
      <c r="AI83" s="709"/>
      <c r="AJ83" s="709"/>
      <c r="AK83" s="709"/>
      <c r="AL83" s="709"/>
      <c r="AM83" s="709"/>
      <c r="AN83" s="709"/>
      <c r="AO83" s="709"/>
      <c r="AP83" s="709"/>
      <c r="AQ83" s="709"/>
    </row>
    <row r="84" spans="10:43" x14ac:dyDescent="0.25">
      <c r="J84" s="709"/>
      <c r="K84" s="709"/>
      <c r="L84" s="709"/>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09"/>
      <c r="AN84" s="709"/>
      <c r="AO84" s="709"/>
      <c r="AP84" s="709"/>
      <c r="AQ84" s="709"/>
    </row>
    <row r="85" spans="10:43" x14ac:dyDescent="0.25">
      <c r="J85" s="709"/>
      <c r="K85" s="709"/>
      <c r="L85" s="709"/>
      <c r="M85" s="709"/>
      <c r="N85" s="709"/>
      <c r="O85" s="709"/>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09"/>
      <c r="AN85" s="709"/>
      <c r="AO85" s="709"/>
      <c r="AP85" s="709"/>
      <c r="AQ85" s="709"/>
    </row>
    <row r="86" spans="10:43" x14ac:dyDescent="0.25">
      <c r="J86" s="710"/>
      <c r="K86" s="710"/>
      <c r="L86" s="710"/>
      <c r="M86" s="710"/>
      <c r="N86" s="710">
        <f>SUM(N4:N85)</f>
        <v>0</v>
      </c>
      <c r="O86" s="710"/>
      <c r="P86" s="710"/>
      <c r="Q86" s="710"/>
      <c r="R86" s="710"/>
      <c r="S86" s="710"/>
      <c r="T86" s="710"/>
      <c r="U86" s="710"/>
      <c r="V86" s="710"/>
      <c r="W86" s="710"/>
      <c r="X86" s="710"/>
      <c r="Y86" s="710"/>
      <c r="Z86" s="710"/>
      <c r="AA86" s="710"/>
      <c r="AB86" s="710"/>
      <c r="AC86" s="710"/>
      <c r="AD86" s="710"/>
      <c r="AE86" s="710"/>
      <c r="AF86" s="710"/>
      <c r="AG86" s="710"/>
      <c r="AH86" s="710"/>
      <c r="AI86" s="710"/>
      <c r="AJ86" s="710"/>
      <c r="AK86" s="710"/>
      <c r="AL86" s="710"/>
      <c r="AM86" s="710"/>
      <c r="AN86" s="710"/>
      <c r="AO86" s="710"/>
      <c r="AP86" s="710"/>
      <c r="AQ86" s="710"/>
    </row>
    <row r="87" spans="10:43" x14ac:dyDescent="0.25">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0:43" ht="15.75" thickBot="1" x14ac:dyDescent="0.3">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c r="AP88" s="162"/>
      <c r="AQ88" s="162"/>
    </row>
  </sheetData>
  <mergeCells count="5">
    <mergeCell ref="E55:H55"/>
    <mergeCell ref="E54:H54"/>
    <mergeCell ref="E51:H51"/>
    <mergeCell ref="E52:H52"/>
    <mergeCell ref="E53:H53"/>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9165-6044-4FF1-87CA-C7A210C72DE4}">
  <dimension ref="A1:BJ90"/>
  <sheetViews>
    <sheetView topLeftCell="V30" zoomScale="80" zoomScaleNormal="80" workbookViewId="0">
      <selection activeCell="V30" sqref="V30"/>
    </sheetView>
  </sheetViews>
  <sheetFormatPr defaultRowHeight="15" x14ac:dyDescent="0.25"/>
  <cols>
    <col min="1" max="1" width="17.5703125" customWidth="1"/>
    <col min="2" max="2" width="33.28515625" customWidth="1"/>
    <col min="3" max="3" width="19.5703125" customWidth="1"/>
    <col min="4" max="4" width="44.7109375" bestFit="1" customWidth="1"/>
    <col min="5" max="7" width="14.28515625" customWidth="1"/>
    <col min="8" max="8" width="14.5703125" customWidth="1"/>
    <col min="9" max="9" width="13.28515625" bestFit="1" customWidth="1"/>
    <col min="11" max="11" width="8.7109375" customWidth="1"/>
    <col min="12" max="15" width="8.7109375" hidden="1" customWidth="1"/>
    <col min="16" max="16" width="15.28515625" customWidth="1"/>
    <col min="17" max="17" width="11.5703125" bestFit="1" customWidth="1"/>
    <col min="18" max="18" width="8.42578125" bestFit="1" customWidth="1"/>
    <col min="20" max="20" width="10" customWidth="1"/>
    <col min="21" max="21" width="8.5703125" customWidth="1"/>
    <col min="22" max="22" width="9.5703125" customWidth="1"/>
  </cols>
  <sheetData>
    <row r="1" spans="1:62" x14ac:dyDescent="0.25">
      <c r="E1" s="330"/>
      <c r="F1" s="330"/>
      <c r="G1" s="330"/>
      <c r="Q1" t="s">
        <v>0</v>
      </c>
    </row>
    <row r="2" spans="1:62" x14ac:dyDescent="0.25">
      <c r="B2" s="381" t="s">
        <v>764</v>
      </c>
      <c r="C2" s="381"/>
      <c r="E2" s="330"/>
      <c r="F2" s="330"/>
      <c r="G2" s="330"/>
      <c r="Q2" s="138"/>
      <c r="S2" s="71">
        <v>45383</v>
      </c>
      <c r="T2" s="71">
        <v>45413</v>
      </c>
      <c r="U2" s="71">
        <v>45444</v>
      </c>
      <c r="V2" s="71">
        <v>45474</v>
      </c>
      <c r="W2" s="71">
        <v>45505</v>
      </c>
      <c r="X2" s="71">
        <v>45536</v>
      </c>
      <c r="Y2" s="71">
        <v>45566</v>
      </c>
      <c r="Z2" s="71">
        <v>45597</v>
      </c>
      <c r="AA2" s="71">
        <v>45627</v>
      </c>
      <c r="AB2" s="71">
        <v>45658</v>
      </c>
      <c r="AC2" s="71">
        <v>45689</v>
      </c>
      <c r="AD2" s="71">
        <v>45717</v>
      </c>
      <c r="AE2" s="71">
        <v>45748</v>
      </c>
      <c r="AF2" s="71">
        <v>45778</v>
      </c>
      <c r="AG2" s="71">
        <v>45809</v>
      </c>
      <c r="AH2" s="71">
        <v>45839</v>
      </c>
      <c r="AI2" s="71">
        <v>45870</v>
      </c>
      <c r="AJ2" s="71">
        <v>45901</v>
      </c>
      <c r="AK2" s="71">
        <v>45931</v>
      </c>
      <c r="AL2" s="71">
        <v>45962</v>
      </c>
      <c r="AM2" s="71">
        <v>45992</v>
      </c>
      <c r="AN2" s="71">
        <v>46023</v>
      </c>
      <c r="AO2" s="71">
        <v>46054</v>
      </c>
      <c r="AP2" s="71">
        <v>46082</v>
      </c>
      <c r="AQ2" s="71">
        <v>46113</v>
      </c>
      <c r="AR2" s="71">
        <v>46143</v>
      </c>
      <c r="AS2" s="71">
        <v>46174</v>
      </c>
      <c r="AT2" s="71">
        <v>46204</v>
      </c>
      <c r="AU2" s="71">
        <v>46235</v>
      </c>
      <c r="AV2" s="71">
        <v>46266</v>
      </c>
      <c r="AW2" s="71">
        <v>46296</v>
      </c>
      <c r="AX2" s="71">
        <v>46327</v>
      </c>
      <c r="AY2" s="71">
        <v>46357</v>
      </c>
      <c r="AZ2" s="71">
        <v>46388</v>
      </c>
      <c r="BA2" s="71">
        <v>46419</v>
      </c>
      <c r="BB2" s="71">
        <v>46447</v>
      </c>
      <c r="BC2" s="71">
        <v>46478</v>
      </c>
      <c r="BD2" s="71">
        <v>46508</v>
      </c>
      <c r="BE2" s="71">
        <v>46539</v>
      </c>
      <c r="BF2" s="71">
        <v>46569</v>
      </c>
      <c r="BG2" s="71">
        <v>46600</v>
      </c>
      <c r="BH2" s="71">
        <v>46631</v>
      </c>
      <c r="BI2" s="71">
        <v>46661</v>
      </c>
      <c r="BJ2" s="71">
        <v>46692</v>
      </c>
    </row>
    <row r="3" spans="1:62" ht="15.75" thickBot="1" x14ac:dyDescent="0.3">
      <c r="D3" t="s">
        <v>765</v>
      </c>
      <c r="E3" s="330"/>
      <c r="F3" s="330"/>
      <c r="G3" s="330"/>
      <c r="Q3" t="s">
        <v>14</v>
      </c>
      <c r="AP3" t="s">
        <v>15</v>
      </c>
    </row>
    <row r="4" spans="1:62" ht="60.75" thickBot="1" x14ac:dyDescent="0.3">
      <c r="A4" s="85"/>
      <c r="B4" s="91" t="s">
        <v>16</v>
      </c>
      <c r="C4" s="409" t="s">
        <v>766</v>
      </c>
      <c r="D4" s="92" t="s">
        <v>17</v>
      </c>
      <c r="E4" s="331" t="s">
        <v>18</v>
      </c>
      <c r="F4" s="93" t="s">
        <v>578</v>
      </c>
      <c r="G4" s="93" t="s">
        <v>767</v>
      </c>
      <c r="H4" s="93" t="s">
        <v>20</v>
      </c>
      <c r="I4" s="391" t="s">
        <v>21</v>
      </c>
      <c r="J4" s="392" t="s">
        <v>22</v>
      </c>
      <c r="K4" s="393" t="s">
        <v>23</v>
      </c>
      <c r="L4" s="384" t="s">
        <v>24</v>
      </c>
      <c r="M4" s="94" t="s">
        <v>25</v>
      </c>
      <c r="N4" s="94" t="s">
        <v>26</v>
      </c>
      <c r="O4" s="94" t="s">
        <v>27</v>
      </c>
      <c r="P4" s="449" t="s">
        <v>187</v>
      </c>
      <c r="Q4" s="97">
        <v>1</v>
      </c>
      <c r="R4" s="97">
        <v>2</v>
      </c>
      <c r="S4" s="97">
        <v>3</v>
      </c>
      <c r="T4" s="97">
        <v>4</v>
      </c>
      <c r="U4" s="97">
        <v>5</v>
      </c>
      <c r="V4" s="97">
        <v>6</v>
      </c>
      <c r="W4" s="97">
        <v>7</v>
      </c>
      <c r="X4" s="97">
        <v>8</v>
      </c>
      <c r="Y4" s="97">
        <v>9</v>
      </c>
      <c r="Z4" s="97">
        <v>10</v>
      </c>
      <c r="AA4" s="97">
        <v>11</v>
      </c>
      <c r="AB4" s="97">
        <v>12</v>
      </c>
      <c r="AC4" s="97">
        <v>13</v>
      </c>
      <c r="AD4" s="97">
        <v>14</v>
      </c>
      <c r="AE4" s="97">
        <v>15</v>
      </c>
      <c r="AF4" s="97">
        <v>16</v>
      </c>
      <c r="AG4" s="97">
        <v>17</v>
      </c>
      <c r="AH4" s="97">
        <v>18</v>
      </c>
      <c r="AI4" s="97">
        <v>19</v>
      </c>
      <c r="AJ4" s="97">
        <v>20</v>
      </c>
      <c r="AK4" s="97">
        <v>21</v>
      </c>
      <c r="AL4" s="97">
        <v>22</v>
      </c>
      <c r="AM4" s="97">
        <v>23</v>
      </c>
      <c r="AN4" s="97">
        <v>24</v>
      </c>
      <c r="AO4" s="97">
        <v>25</v>
      </c>
      <c r="AP4" s="97">
        <v>26</v>
      </c>
      <c r="AQ4" s="97">
        <v>27</v>
      </c>
      <c r="AR4" s="97">
        <v>28</v>
      </c>
      <c r="AS4" s="97">
        <v>29</v>
      </c>
      <c r="AT4" s="97">
        <v>30</v>
      </c>
      <c r="AU4" s="97">
        <v>31</v>
      </c>
      <c r="AV4" s="97">
        <v>32</v>
      </c>
      <c r="AW4" s="97">
        <v>33</v>
      </c>
      <c r="AX4" s="97">
        <v>34</v>
      </c>
      <c r="AY4" s="97">
        <v>35</v>
      </c>
      <c r="AZ4" s="97">
        <v>36</v>
      </c>
      <c r="BA4" s="97">
        <v>37</v>
      </c>
      <c r="BB4" s="97">
        <v>38</v>
      </c>
      <c r="BC4" s="99">
        <v>39</v>
      </c>
      <c r="BD4" s="99">
        <v>40</v>
      </c>
      <c r="BE4" s="99">
        <v>41</v>
      </c>
      <c r="BF4" s="99">
        <v>42</v>
      </c>
      <c r="BG4" s="85"/>
      <c r="BH4" s="85"/>
      <c r="BI4" s="85"/>
      <c r="BJ4" s="85"/>
    </row>
    <row r="5" spans="1:62" x14ac:dyDescent="0.25">
      <c r="B5" s="8" t="s">
        <v>29</v>
      </c>
      <c r="C5" s="387"/>
      <c r="D5" t="s">
        <v>30</v>
      </c>
      <c r="E5" s="413">
        <v>67650</v>
      </c>
      <c r="F5" s="334"/>
      <c r="G5" s="730"/>
      <c r="H5" s="78"/>
      <c r="I5" s="394"/>
      <c r="J5" s="394"/>
      <c r="K5" s="394"/>
      <c r="L5" s="76"/>
      <c r="M5" s="19"/>
      <c r="N5" s="19"/>
      <c r="O5" s="78"/>
      <c r="P5" s="394"/>
      <c r="Q5" s="2">
        <v>67650</v>
      </c>
      <c r="R5" s="722">
        <v>-36664.74</v>
      </c>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C5" s="77"/>
    </row>
    <row r="6" spans="1:62" x14ac:dyDescent="0.25">
      <c r="B6" s="8"/>
      <c r="C6" s="387" t="s">
        <v>117</v>
      </c>
      <c r="D6" t="s">
        <v>31</v>
      </c>
      <c r="E6" s="414">
        <v>50000</v>
      </c>
      <c r="F6" s="334">
        <v>49664</v>
      </c>
      <c r="G6" s="730"/>
      <c r="H6" s="78"/>
      <c r="I6" s="394"/>
      <c r="J6" s="394"/>
      <c r="K6" s="394"/>
      <c r="L6" s="76"/>
      <c r="M6" s="19"/>
      <c r="N6" s="19"/>
      <c r="O6" s="78"/>
      <c r="P6" s="394"/>
      <c r="Q6" s="2">
        <v>1600</v>
      </c>
      <c r="R6" s="2"/>
      <c r="S6" s="2"/>
      <c r="T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C6" s="77"/>
    </row>
    <row r="7" spans="1:62" x14ac:dyDescent="0.25">
      <c r="B7" s="8"/>
      <c r="C7" s="387"/>
      <c r="D7" t="s">
        <v>32</v>
      </c>
      <c r="E7" s="347"/>
      <c r="F7" s="334"/>
      <c r="G7" s="730"/>
      <c r="H7" s="78"/>
      <c r="I7" s="394"/>
      <c r="J7" s="394"/>
      <c r="K7" s="394"/>
      <c r="L7" s="76"/>
      <c r="M7" s="19"/>
      <c r="N7" s="19"/>
      <c r="O7" s="78"/>
      <c r="P7" s="394"/>
      <c r="Q7" s="2">
        <v>725039.42</v>
      </c>
      <c r="R7" s="2">
        <v>752232.48</v>
      </c>
      <c r="S7" s="2">
        <v>303614.87600000011</v>
      </c>
      <c r="T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C7" s="77"/>
    </row>
    <row r="8" spans="1:62" x14ac:dyDescent="0.25">
      <c r="B8" s="8"/>
      <c r="C8" s="387"/>
      <c r="D8" t="s">
        <v>33</v>
      </c>
      <c r="E8" s="414">
        <v>3660</v>
      </c>
      <c r="F8" s="334"/>
      <c r="G8" s="730"/>
      <c r="H8" s="78"/>
      <c r="I8" s="394"/>
      <c r="J8" s="394"/>
      <c r="K8" s="394"/>
      <c r="L8" s="76"/>
      <c r="M8" s="19"/>
      <c r="N8" s="19"/>
      <c r="O8" s="78"/>
      <c r="P8" s="394"/>
      <c r="Q8" s="2"/>
      <c r="R8" s="2"/>
      <c r="S8" s="2"/>
      <c r="T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C8" s="77"/>
    </row>
    <row r="9" spans="1:62" x14ac:dyDescent="0.25">
      <c r="B9" s="13"/>
      <c r="C9" s="387"/>
      <c r="D9" s="6" t="s">
        <v>34</v>
      </c>
      <c r="E9" s="415"/>
      <c r="F9" s="335"/>
      <c r="G9" s="730"/>
      <c r="H9" s="78"/>
      <c r="I9" s="394"/>
      <c r="J9" s="394"/>
      <c r="K9" s="394"/>
      <c r="L9" s="76"/>
      <c r="M9" s="19"/>
      <c r="N9" s="19"/>
      <c r="O9" s="78"/>
      <c r="P9" s="394"/>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W9" s="2"/>
      <c r="AX9" s="2"/>
      <c r="AY9" s="2"/>
      <c r="AZ9" s="2"/>
      <c r="BA9" s="2"/>
      <c r="BB9" s="2"/>
      <c r="BC9" s="77"/>
    </row>
    <row r="10" spans="1:62" x14ac:dyDescent="0.25">
      <c r="B10" s="14" t="s">
        <v>35</v>
      </c>
      <c r="C10" s="387"/>
      <c r="D10" s="15"/>
      <c r="E10" s="416">
        <v>150000</v>
      </c>
      <c r="F10" s="336"/>
      <c r="G10" s="731"/>
      <c r="H10" s="80"/>
      <c r="I10" s="394"/>
      <c r="J10" s="394"/>
      <c r="K10" s="394"/>
      <c r="L10" s="76"/>
      <c r="M10" s="19"/>
      <c r="N10" s="19"/>
      <c r="O10" s="78"/>
      <c r="P10" s="394"/>
      <c r="Q10" s="2"/>
      <c r="R10" s="2"/>
      <c r="S10" s="2"/>
      <c r="T10" s="2"/>
      <c r="U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C10" s="77"/>
    </row>
    <row r="11" spans="1:62" x14ac:dyDescent="0.25">
      <c r="B11" s="24" t="s">
        <v>37</v>
      </c>
      <c r="C11" s="387"/>
      <c r="D11" s="3" t="s">
        <v>38</v>
      </c>
      <c r="E11" s="417">
        <v>170000</v>
      </c>
      <c r="F11" s="337"/>
      <c r="G11" s="732"/>
      <c r="H11" s="324"/>
      <c r="I11" s="394"/>
      <c r="J11" s="394"/>
      <c r="K11" s="394"/>
      <c r="L11" s="76"/>
      <c r="M11" s="19"/>
      <c r="N11" s="19"/>
      <c r="O11" s="78"/>
      <c r="P11" s="394"/>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77"/>
    </row>
    <row r="12" spans="1:62" ht="15.75" thickBot="1" x14ac:dyDescent="0.3">
      <c r="B12" s="8"/>
      <c r="C12" s="387"/>
      <c r="D12" s="6" t="s">
        <v>39</v>
      </c>
      <c r="E12" s="415">
        <f>600000+62500+62500</f>
        <v>725000</v>
      </c>
      <c r="F12" s="335"/>
      <c r="G12" s="733"/>
      <c r="H12" s="79"/>
      <c r="I12" s="394"/>
      <c r="J12" s="394"/>
      <c r="K12" s="394"/>
      <c r="L12" s="76"/>
      <c r="M12" s="19"/>
      <c r="N12" s="19"/>
      <c r="O12" s="78"/>
      <c r="P12" s="394"/>
      <c r="Q12" s="2"/>
      <c r="R12" s="2"/>
      <c r="S12" s="2"/>
      <c r="T12" s="2"/>
      <c r="U12" s="2"/>
      <c r="V12" s="2"/>
      <c r="W12" s="2"/>
      <c r="X12" s="2"/>
      <c r="Y12" s="2"/>
      <c r="Z12" s="2"/>
      <c r="AA12" s="2"/>
      <c r="AB12" s="2"/>
      <c r="AF12" s="2"/>
      <c r="AG12" s="2"/>
      <c r="AH12" s="2"/>
      <c r="AI12" s="2"/>
      <c r="AJ12" s="2"/>
      <c r="AK12" s="2"/>
      <c r="AL12" s="2"/>
      <c r="AM12" s="2"/>
      <c r="AN12" s="2"/>
      <c r="AO12" s="2"/>
      <c r="AP12" s="2"/>
      <c r="AQ12" s="2"/>
      <c r="AR12" s="2"/>
      <c r="AS12" s="2"/>
      <c r="AT12" s="2"/>
      <c r="AU12" s="2"/>
      <c r="AV12" s="2"/>
      <c r="AW12" s="2"/>
      <c r="AX12" s="2"/>
      <c r="AY12" s="2"/>
      <c r="AZ12" s="2"/>
      <c r="BC12" s="77"/>
      <c r="BD12" s="2"/>
    </row>
    <row r="13" spans="1:62" x14ac:dyDescent="0.25">
      <c r="B13" s="955" t="s">
        <v>768</v>
      </c>
      <c r="C13" s="390" t="s">
        <v>420</v>
      </c>
      <c r="D13" s="389" t="s">
        <v>769</v>
      </c>
      <c r="E13" s="337">
        <v>319829.69</v>
      </c>
      <c r="F13" s="337">
        <v>319829.69</v>
      </c>
      <c r="G13" s="386"/>
      <c r="H13" s="394"/>
      <c r="I13" s="394"/>
      <c r="J13" s="394"/>
      <c r="K13" s="394"/>
      <c r="L13" s="76"/>
      <c r="M13" s="19"/>
      <c r="N13" s="19"/>
      <c r="O13" s="78"/>
      <c r="P13" s="394">
        <f>SUM(Q13:AH13)</f>
        <v>34116.199999999997</v>
      </c>
      <c r="Q13" s="2"/>
      <c r="R13" s="2"/>
      <c r="S13" s="2"/>
      <c r="T13" s="2"/>
      <c r="U13" s="2"/>
      <c r="V13" s="2">
        <v>34116.199999999997</v>
      </c>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5"/>
      <c r="BD13" s="2"/>
      <c r="BE13" s="2"/>
      <c r="BF13" s="2"/>
      <c r="BG13" s="2"/>
      <c r="BH13" s="2"/>
      <c r="BI13" s="2"/>
      <c r="BJ13" s="2"/>
    </row>
    <row r="14" spans="1:62" x14ac:dyDescent="0.25">
      <c r="B14" s="956"/>
      <c r="C14" s="390" t="s">
        <v>420</v>
      </c>
      <c r="D14" s="388" t="s">
        <v>770</v>
      </c>
      <c r="E14" s="386">
        <v>141419.4</v>
      </c>
      <c r="F14" s="337"/>
      <c r="G14" s="386"/>
      <c r="H14" s="394"/>
      <c r="I14" s="394"/>
      <c r="J14" s="394"/>
      <c r="K14" s="394"/>
      <c r="L14" s="76"/>
      <c r="M14" s="19"/>
      <c r="N14" s="19"/>
      <c r="O14" s="78"/>
      <c r="P14" s="394"/>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5"/>
      <c r="BD14" s="2"/>
      <c r="BE14" s="2"/>
      <c r="BF14" s="2"/>
      <c r="BG14" s="2"/>
      <c r="BH14" s="2"/>
      <c r="BI14" s="2"/>
      <c r="BJ14" s="2"/>
    </row>
    <row r="15" spans="1:62" x14ac:dyDescent="0.25">
      <c r="B15" s="956"/>
      <c r="C15" s="390" t="s">
        <v>420</v>
      </c>
      <c r="D15" s="388" t="s">
        <v>771</v>
      </c>
      <c r="E15" s="386">
        <v>176894.98</v>
      </c>
      <c r="F15" s="337"/>
      <c r="G15" s="386"/>
      <c r="H15" s="394"/>
      <c r="I15" s="394"/>
      <c r="J15" s="394"/>
      <c r="K15" s="394"/>
      <c r="L15" s="76"/>
      <c r="M15" s="19"/>
      <c r="N15" s="19"/>
      <c r="O15" s="78"/>
      <c r="P15" s="394"/>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5"/>
      <c r="BD15" s="2"/>
      <c r="BE15" s="2"/>
      <c r="BF15" s="2"/>
      <c r="BG15" s="2"/>
      <c r="BH15" s="2"/>
      <c r="BI15" s="2"/>
      <c r="BJ15" s="2"/>
    </row>
    <row r="16" spans="1:62" x14ac:dyDescent="0.25">
      <c r="B16" s="956"/>
      <c r="C16" s="390" t="s">
        <v>420</v>
      </c>
      <c r="D16" s="404" t="s">
        <v>772</v>
      </c>
      <c r="E16" s="396">
        <v>437184.36</v>
      </c>
      <c r="F16" s="337"/>
      <c r="G16" s="386"/>
      <c r="H16" s="394"/>
      <c r="I16" s="394"/>
      <c r="J16" s="394"/>
      <c r="K16" s="394"/>
      <c r="L16" s="76"/>
      <c r="M16" s="19"/>
      <c r="N16" s="19"/>
      <c r="O16" s="78"/>
      <c r="P16" s="394"/>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5"/>
      <c r="BD16" s="2"/>
      <c r="BE16" s="2"/>
      <c r="BF16" s="2"/>
      <c r="BG16" s="2"/>
      <c r="BH16" s="2"/>
      <c r="BI16" s="2"/>
      <c r="BJ16" s="2"/>
    </row>
    <row r="17" spans="1:62" x14ac:dyDescent="0.25">
      <c r="B17" s="387" t="s">
        <v>41</v>
      </c>
      <c r="C17" s="408" t="s">
        <v>120</v>
      </c>
      <c r="D17" s="407"/>
      <c r="E17" s="418">
        <v>100000</v>
      </c>
      <c r="F17" s="396"/>
      <c r="G17" s="386"/>
      <c r="H17" s="394"/>
      <c r="I17" s="394"/>
      <c r="J17" s="394"/>
      <c r="K17" s="394"/>
      <c r="M17" s="19"/>
      <c r="N17" s="19"/>
      <c r="O17" s="78"/>
      <c r="P17" s="394"/>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5"/>
      <c r="BD17" s="2"/>
      <c r="BE17" s="2"/>
      <c r="BF17" s="2"/>
      <c r="BG17" s="2"/>
      <c r="BH17" s="2"/>
      <c r="BI17" s="2"/>
      <c r="BJ17" s="2"/>
    </row>
    <row r="18" spans="1:62" x14ac:dyDescent="0.25">
      <c r="B18" s="401" t="s">
        <v>42</v>
      </c>
      <c r="C18" s="422" t="s">
        <v>773</v>
      </c>
      <c r="D18" s="408" t="s">
        <v>43</v>
      </c>
      <c r="E18" s="400">
        <v>100000</v>
      </c>
      <c r="F18" s="400">
        <v>50000</v>
      </c>
      <c r="G18" s="386"/>
      <c r="H18" s="394"/>
      <c r="I18" s="394"/>
      <c r="J18" s="394"/>
      <c r="K18" s="394"/>
      <c r="L18" s="412">
        <v>43250</v>
      </c>
      <c r="M18" s="19"/>
      <c r="N18" s="19"/>
      <c r="O18" s="78"/>
      <c r="P18" s="394"/>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5"/>
      <c r="BD18" s="2"/>
      <c r="BE18" s="2"/>
      <c r="BF18" s="2"/>
      <c r="BG18" s="2"/>
      <c r="BH18" s="2"/>
      <c r="BI18" s="2"/>
      <c r="BJ18" s="2"/>
    </row>
    <row r="19" spans="1:62" x14ac:dyDescent="0.25">
      <c r="B19" s="401"/>
      <c r="C19" s="422"/>
      <c r="D19" s="408" t="s">
        <v>774</v>
      </c>
      <c r="E19" s="400">
        <v>20000</v>
      </c>
      <c r="F19" s="400"/>
      <c r="G19" s="386"/>
      <c r="H19" s="394"/>
      <c r="I19" s="394"/>
      <c r="J19" s="394"/>
      <c r="K19" s="394"/>
      <c r="L19" s="412"/>
      <c r="M19" s="19"/>
      <c r="N19" s="19"/>
      <c r="O19" s="78"/>
      <c r="P19" s="394"/>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5"/>
      <c r="BD19" s="2"/>
      <c r="BE19" s="2"/>
      <c r="BF19" s="2"/>
      <c r="BG19" s="2"/>
      <c r="BH19" s="2"/>
      <c r="BI19" s="2"/>
      <c r="BJ19" s="2"/>
    </row>
    <row r="20" spans="1:62" x14ac:dyDescent="0.25">
      <c r="B20" s="401"/>
      <c r="C20" s="401" t="s">
        <v>363</v>
      </c>
      <c r="D20" s="408" t="s">
        <v>44</v>
      </c>
      <c r="E20" s="400">
        <f>34200+15800</f>
        <v>50000</v>
      </c>
      <c r="F20" s="400">
        <v>34200</v>
      </c>
      <c r="G20" s="386"/>
      <c r="H20" s="394"/>
      <c r="I20" s="394"/>
      <c r="J20" s="394"/>
      <c r="K20" s="394"/>
      <c r="L20" s="76"/>
      <c r="M20" s="19"/>
      <c r="N20" s="19"/>
      <c r="O20" s="78"/>
      <c r="P20" s="394"/>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C20" s="77"/>
    </row>
    <row r="21" spans="1:62" x14ac:dyDescent="0.25">
      <c r="B21" s="16"/>
      <c r="C21" s="401" t="s">
        <v>775</v>
      </c>
      <c r="D21" s="408" t="s">
        <v>45</v>
      </c>
      <c r="E21" s="400">
        <v>45000</v>
      </c>
      <c r="F21" s="400"/>
      <c r="G21" s="386"/>
      <c r="H21" s="394"/>
      <c r="I21" s="394"/>
      <c r="J21" s="394"/>
      <c r="K21" s="394"/>
      <c r="L21" s="76"/>
      <c r="M21" s="19"/>
      <c r="N21" s="19"/>
      <c r="O21" s="78"/>
      <c r="P21" s="394"/>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C21" s="77"/>
    </row>
    <row r="22" spans="1:62" x14ac:dyDescent="0.25">
      <c r="B22" s="16"/>
      <c r="C22" s="401" t="s">
        <v>545</v>
      </c>
      <c r="D22" s="408" t="s">
        <v>46</v>
      </c>
      <c r="E22" s="400">
        <v>75000</v>
      </c>
      <c r="F22" s="400">
        <f>5250+52800</f>
        <v>58050</v>
      </c>
      <c r="G22" s="386"/>
      <c r="H22" s="394"/>
      <c r="I22" s="394"/>
      <c r="J22" s="394"/>
      <c r="K22" s="394"/>
      <c r="L22" s="76"/>
      <c r="M22" s="19"/>
      <c r="N22" s="19"/>
      <c r="O22" s="78"/>
      <c r="P22" s="394"/>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C22" s="77"/>
    </row>
    <row r="23" spans="1:62" x14ac:dyDescent="0.25">
      <c r="B23" s="16"/>
      <c r="C23" s="410" t="s">
        <v>420</v>
      </c>
      <c r="D23" s="408" t="s">
        <v>47</v>
      </c>
      <c r="E23" s="402">
        <v>36495</v>
      </c>
      <c r="F23" s="402">
        <v>36495</v>
      </c>
      <c r="G23" s="385"/>
      <c r="H23" s="394"/>
      <c r="I23" s="394"/>
      <c r="J23" s="394"/>
      <c r="K23" s="394"/>
      <c r="L23" s="76"/>
      <c r="M23" s="19"/>
      <c r="N23" s="19"/>
      <c r="O23" s="78"/>
      <c r="P23" s="394"/>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B23" s="2"/>
      <c r="BC23" s="77"/>
    </row>
    <row r="24" spans="1:62" x14ac:dyDescent="0.25">
      <c r="A24">
        <v>4</v>
      </c>
      <c r="B24" s="16"/>
      <c r="C24" s="390" t="s">
        <v>776</v>
      </c>
      <c r="D24" s="408" t="s">
        <v>48</v>
      </c>
      <c r="E24" s="400">
        <v>200000</v>
      </c>
      <c r="F24" s="400"/>
      <c r="G24" s="386"/>
      <c r="H24" s="394"/>
      <c r="I24" s="394"/>
      <c r="J24" s="394"/>
      <c r="K24" s="394"/>
      <c r="L24" s="76"/>
      <c r="M24" s="19"/>
      <c r="N24" s="19"/>
      <c r="O24" s="78"/>
      <c r="P24" s="394">
        <f>SUM(S24:X24)</f>
        <v>150428</v>
      </c>
      <c r="Q24" s="2"/>
      <c r="R24" s="2"/>
      <c r="S24" s="2">
        <v>96363</v>
      </c>
      <c r="T24" s="2">
        <v>54065</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C24" s="77"/>
    </row>
    <row r="25" spans="1:62" x14ac:dyDescent="0.25">
      <c r="B25" s="16"/>
      <c r="C25" s="401"/>
      <c r="D25" s="408" t="s">
        <v>777</v>
      </c>
      <c r="E25" s="419">
        <v>50000</v>
      </c>
      <c r="F25" s="400"/>
      <c r="G25" s="386"/>
      <c r="H25" s="394"/>
      <c r="I25" s="394"/>
      <c r="J25" s="394"/>
      <c r="K25" s="394"/>
      <c r="L25" s="76"/>
      <c r="M25" s="19"/>
      <c r="N25" s="19"/>
      <c r="O25" s="78"/>
      <c r="P25" s="394"/>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C25" s="77"/>
    </row>
    <row r="26" spans="1:62" x14ac:dyDescent="0.25">
      <c r="B26" s="16"/>
      <c r="C26" s="401" t="s">
        <v>373</v>
      </c>
      <c r="D26" s="408" t="s">
        <v>50</v>
      </c>
      <c r="E26" s="419">
        <v>1000000</v>
      </c>
      <c r="F26" s="400"/>
      <c r="G26" s="386"/>
      <c r="H26" s="394"/>
      <c r="I26" s="394"/>
      <c r="J26" s="394"/>
      <c r="K26" s="394"/>
      <c r="L26" s="76"/>
      <c r="M26" s="19"/>
      <c r="N26" s="19"/>
      <c r="O26" s="78"/>
      <c r="P26" s="394"/>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C26" s="77"/>
    </row>
    <row r="27" spans="1:62" x14ac:dyDescent="0.25">
      <c r="B27" s="16"/>
      <c r="C27" s="410" t="s">
        <v>420</v>
      </c>
      <c r="D27" s="408" t="s">
        <v>51</v>
      </c>
      <c r="E27" s="400">
        <v>12310.09</v>
      </c>
      <c r="F27" s="400"/>
      <c r="G27" s="386"/>
      <c r="H27" s="394"/>
      <c r="I27" s="394"/>
      <c r="J27" s="394"/>
      <c r="K27" s="394"/>
      <c r="L27" s="76"/>
      <c r="M27" s="19"/>
      <c r="N27" s="19"/>
      <c r="O27" s="78"/>
      <c r="P27" s="394"/>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5"/>
      <c r="BD27" s="2"/>
    </row>
    <row r="28" spans="1:62" x14ac:dyDescent="0.25">
      <c r="B28" s="16"/>
      <c r="C28" s="410" t="s">
        <v>420</v>
      </c>
      <c r="D28" s="408" t="s">
        <v>52</v>
      </c>
      <c r="E28" s="400">
        <v>5905.35</v>
      </c>
      <c r="F28" s="400"/>
      <c r="G28" s="386"/>
      <c r="H28" s="394"/>
      <c r="I28" s="394"/>
      <c r="J28" s="394"/>
      <c r="K28" s="394"/>
      <c r="L28" s="76"/>
      <c r="M28" s="19"/>
      <c r="N28" s="19"/>
      <c r="O28" s="78"/>
      <c r="P28" s="394"/>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C28" s="77"/>
    </row>
    <row r="29" spans="1:62" x14ac:dyDescent="0.25">
      <c r="B29" s="16"/>
      <c r="C29" s="410" t="s">
        <v>420</v>
      </c>
      <c r="D29" s="387" t="s">
        <v>53</v>
      </c>
      <c r="E29" s="402">
        <v>35474.83</v>
      </c>
      <c r="F29" s="402"/>
      <c r="G29" s="385"/>
      <c r="H29" s="394"/>
      <c r="I29" s="394"/>
      <c r="J29" s="394"/>
      <c r="K29" s="394"/>
      <c r="L29" s="76"/>
      <c r="M29" s="19"/>
      <c r="N29" s="19"/>
      <c r="O29" s="78"/>
      <c r="P29" s="394"/>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C29" s="77"/>
    </row>
    <row r="30" spans="1:62" x14ac:dyDescent="0.25">
      <c r="B30" s="16"/>
      <c r="C30" s="410" t="s">
        <v>420</v>
      </c>
      <c r="D30" s="387" t="s">
        <v>54</v>
      </c>
      <c r="E30" s="400">
        <v>40030.83</v>
      </c>
      <c r="F30" s="400"/>
      <c r="G30" s="386"/>
      <c r="H30" s="394"/>
      <c r="I30" s="394"/>
      <c r="J30" s="394"/>
      <c r="K30" s="394"/>
      <c r="L30" s="76"/>
      <c r="M30" s="19"/>
      <c r="N30" s="19"/>
      <c r="O30" s="78"/>
      <c r="P30" s="394"/>
      <c r="Q30" s="2"/>
      <c r="R30" s="2"/>
      <c r="S30" s="2"/>
      <c r="T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C30" s="77"/>
    </row>
    <row r="31" spans="1:62" x14ac:dyDescent="0.25">
      <c r="B31" s="16"/>
      <c r="C31" s="401"/>
      <c r="D31" s="387" t="s">
        <v>55</v>
      </c>
      <c r="E31" s="419">
        <v>45000</v>
      </c>
      <c r="F31" s="400"/>
      <c r="G31" s="386"/>
      <c r="H31" s="394"/>
      <c r="I31" s="394"/>
      <c r="J31" s="394"/>
      <c r="K31" s="394"/>
      <c r="L31" s="76"/>
      <c r="M31" s="19"/>
      <c r="N31" s="19"/>
      <c r="O31" s="78"/>
      <c r="P31" s="394"/>
      <c r="Q31" s="2"/>
      <c r="R31" s="2"/>
      <c r="S31" s="2"/>
      <c r="T31" s="2"/>
      <c r="V31" s="2"/>
      <c r="W31" s="2"/>
      <c r="X31" s="2"/>
      <c r="Y31" s="2"/>
      <c r="Z31" s="2"/>
      <c r="AA31" s="2"/>
      <c r="AB31" s="2"/>
      <c r="AC31" s="2"/>
      <c r="AD31" s="2"/>
      <c r="AE31" s="2"/>
      <c r="AF31" s="2"/>
      <c r="AG31" s="2"/>
      <c r="AH31" s="2"/>
      <c r="AI31" s="2"/>
      <c r="AJ31" s="2"/>
      <c r="AK31" s="2"/>
      <c r="AL31" s="2"/>
      <c r="AM31" s="2"/>
      <c r="AN31" s="2"/>
      <c r="AO31" s="2"/>
      <c r="AQ31" s="2"/>
      <c r="AR31" s="2"/>
      <c r="AS31" s="2"/>
      <c r="AT31" s="2"/>
      <c r="AU31" s="2"/>
      <c r="AV31" s="2"/>
      <c r="AW31" s="2"/>
      <c r="AX31" s="2"/>
      <c r="AY31" s="2"/>
      <c r="AZ31" s="2"/>
      <c r="BC31" s="77"/>
    </row>
    <row r="32" spans="1:62" x14ac:dyDescent="0.25">
      <c r="B32" s="16"/>
      <c r="C32" s="410" t="s">
        <v>420</v>
      </c>
      <c r="D32" s="387" t="s">
        <v>56</v>
      </c>
      <c r="E32" s="395">
        <v>250000</v>
      </c>
      <c r="F32" s="395">
        <v>187047</v>
      </c>
      <c r="G32" s="394">
        <v>250000</v>
      </c>
      <c r="H32" s="394"/>
      <c r="I32" s="394"/>
      <c r="J32" s="394"/>
      <c r="K32" s="394"/>
      <c r="L32" s="76"/>
      <c r="M32" s="19"/>
      <c r="N32" s="19"/>
      <c r="O32" s="78"/>
      <c r="P32" s="394"/>
      <c r="Q32" s="2"/>
      <c r="R32" s="2"/>
      <c r="S32" s="2"/>
      <c r="T32" s="2"/>
      <c r="U32" s="2"/>
      <c r="V32" s="2"/>
      <c r="W32" s="2"/>
      <c r="X32" s="2"/>
      <c r="Y32" s="2"/>
      <c r="Z32" s="2"/>
      <c r="AA32" s="2"/>
      <c r="AB32" s="2"/>
      <c r="AC32" s="2"/>
      <c r="AD32" s="2"/>
      <c r="AE32" s="2"/>
      <c r="AF32" s="2"/>
      <c r="AG32" s="2"/>
      <c r="AH32" s="2"/>
      <c r="AI32" s="2"/>
      <c r="AJ32" s="2"/>
      <c r="AK32" s="2"/>
      <c r="AL32" s="2"/>
      <c r="AM32" s="2"/>
      <c r="AN32" s="2"/>
      <c r="AO32" s="2"/>
      <c r="AQ32" s="2"/>
      <c r="AR32" s="2"/>
      <c r="AS32" s="2"/>
      <c r="AT32" s="2"/>
      <c r="AU32" s="2"/>
      <c r="AV32" s="2"/>
      <c r="AW32" s="2"/>
      <c r="AX32" s="2"/>
      <c r="AY32" s="2"/>
      <c r="AZ32" s="2"/>
      <c r="BA32" s="2"/>
      <c r="BB32" s="2"/>
      <c r="BC32" s="2"/>
    </row>
    <row r="33" spans="2:62" x14ac:dyDescent="0.25">
      <c r="B33" s="16"/>
      <c r="C33" s="410" t="s">
        <v>420</v>
      </c>
      <c r="D33" s="387" t="s">
        <v>778</v>
      </c>
      <c r="E33" s="734">
        <v>151553</v>
      </c>
      <c r="F33" s="395"/>
      <c r="G33" s="394"/>
      <c r="H33" s="394"/>
      <c r="I33" s="394"/>
      <c r="J33" s="394"/>
      <c r="K33" s="394"/>
      <c r="L33" s="76"/>
      <c r="M33" s="19"/>
      <c r="N33" s="19"/>
      <c r="O33" s="78"/>
      <c r="P33" s="394"/>
      <c r="Q33" s="2"/>
      <c r="R33" s="2"/>
      <c r="S33" s="2"/>
      <c r="T33" s="2"/>
      <c r="U33" s="2"/>
      <c r="V33" s="2"/>
      <c r="W33" s="2"/>
      <c r="X33" s="2"/>
      <c r="Y33" s="2"/>
      <c r="Z33" s="2"/>
      <c r="AA33" s="2"/>
      <c r="AB33" s="2"/>
      <c r="AC33" s="2"/>
      <c r="AD33" s="2"/>
      <c r="AE33" s="2"/>
      <c r="AF33" s="2"/>
      <c r="AG33" s="2"/>
      <c r="AH33" s="2"/>
      <c r="AI33" s="2"/>
      <c r="AJ33" s="2"/>
      <c r="AK33" s="2"/>
      <c r="AL33" s="2"/>
      <c r="AM33" s="2"/>
      <c r="AN33" s="2"/>
      <c r="AO33" s="2"/>
      <c r="AQ33" s="2"/>
      <c r="AR33" s="2"/>
      <c r="AS33" s="2"/>
      <c r="AT33" s="2"/>
      <c r="AU33" s="2"/>
      <c r="AV33" s="2"/>
      <c r="AW33" s="2"/>
      <c r="AX33" s="2"/>
      <c r="AY33" s="2"/>
      <c r="AZ33" s="2"/>
      <c r="BA33" s="2"/>
      <c r="BB33" s="2"/>
      <c r="BC33" s="2"/>
    </row>
    <row r="34" spans="2:62" x14ac:dyDescent="0.25">
      <c r="B34" s="16"/>
      <c r="C34" s="410" t="s">
        <v>420</v>
      </c>
      <c r="D34" s="795" t="s">
        <v>779</v>
      </c>
      <c r="E34" s="734">
        <v>14067</v>
      </c>
      <c r="F34" s="395"/>
      <c r="G34" s="394"/>
      <c r="H34" s="394"/>
      <c r="I34" s="394"/>
      <c r="J34" s="394"/>
      <c r="K34" s="394"/>
      <c r="L34" s="76"/>
      <c r="M34" s="19"/>
      <c r="N34" s="19"/>
      <c r="O34" s="78"/>
      <c r="P34" s="394"/>
      <c r="Q34" s="2"/>
      <c r="R34" s="2"/>
      <c r="S34" s="2"/>
      <c r="T34" s="2"/>
      <c r="U34" s="2"/>
      <c r="V34" s="2"/>
      <c r="W34" s="2"/>
      <c r="X34" s="2"/>
      <c r="Y34" s="2"/>
      <c r="Z34" s="2"/>
      <c r="AA34" s="2"/>
      <c r="AB34" s="2"/>
      <c r="AC34" s="2"/>
      <c r="AD34" s="2"/>
      <c r="AE34" s="2"/>
      <c r="AF34" s="2"/>
      <c r="AG34" s="2"/>
      <c r="AH34" s="2"/>
      <c r="AI34" s="2"/>
      <c r="AJ34" s="2"/>
      <c r="AK34" s="2"/>
      <c r="AL34" s="2"/>
      <c r="AM34" s="2"/>
      <c r="AN34" s="2"/>
      <c r="AO34" s="2"/>
      <c r="AQ34" s="2"/>
      <c r="AR34" s="2"/>
      <c r="AS34" s="2"/>
      <c r="AT34" s="2"/>
      <c r="AU34" s="2"/>
      <c r="AV34" s="2"/>
      <c r="AW34" s="2"/>
      <c r="AX34" s="2"/>
      <c r="AY34" s="2"/>
      <c r="AZ34" s="2"/>
      <c r="BA34" s="2"/>
      <c r="BB34" s="2"/>
      <c r="BC34" s="2"/>
    </row>
    <row r="35" spans="2:62" x14ac:dyDescent="0.25">
      <c r="B35" s="16"/>
      <c r="C35" s="410" t="s">
        <v>420</v>
      </c>
      <c r="D35" s="387" t="s">
        <v>780</v>
      </c>
      <c r="E35" s="729">
        <v>40000</v>
      </c>
      <c r="F35" s="395"/>
      <c r="G35" s="394"/>
      <c r="H35" s="394"/>
      <c r="I35" s="394"/>
      <c r="J35" s="394"/>
      <c r="K35" s="394"/>
      <c r="L35" s="76"/>
      <c r="M35" s="19"/>
      <c r="N35" s="19"/>
      <c r="O35" s="78"/>
      <c r="P35" s="394"/>
      <c r="Q35" s="2"/>
      <c r="R35" s="2"/>
      <c r="S35" s="2"/>
      <c r="T35" s="2"/>
      <c r="U35" s="2"/>
      <c r="V35" s="2"/>
      <c r="W35" s="2"/>
      <c r="X35" s="2"/>
      <c r="Y35" s="2"/>
      <c r="Z35" s="2"/>
      <c r="AA35" s="2"/>
      <c r="AB35" s="2"/>
      <c r="AC35" s="2"/>
      <c r="AD35" s="2"/>
      <c r="AE35" s="2"/>
      <c r="AF35" s="2"/>
      <c r="AG35" s="2"/>
      <c r="AH35" s="2"/>
      <c r="AI35" s="2"/>
      <c r="AJ35" s="2"/>
      <c r="AK35" s="2"/>
      <c r="AL35" s="2"/>
      <c r="AM35" s="2"/>
      <c r="AN35" s="2"/>
      <c r="AO35" s="2"/>
      <c r="AQ35" s="2"/>
      <c r="AR35" s="2"/>
      <c r="AS35" s="2"/>
      <c r="AT35" s="2"/>
      <c r="AU35" s="2"/>
      <c r="AV35" s="2"/>
      <c r="AW35" s="2"/>
      <c r="AX35" s="2"/>
      <c r="AY35" s="2"/>
      <c r="AZ35" s="2"/>
      <c r="BA35" s="2"/>
      <c r="BB35" s="2"/>
      <c r="BC35" s="2"/>
    </row>
    <row r="36" spans="2:62" x14ac:dyDescent="0.25">
      <c r="B36" s="16"/>
      <c r="C36" s="401"/>
      <c r="D36" s="387" t="s">
        <v>57</v>
      </c>
      <c r="E36" s="419">
        <v>32000</v>
      </c>
      <c r="F36" s="400"/>
      <c r="G36" s="386"/>
      <c r="H36" s="394"/>
      <c r="I36" s="394"/>
      <c r="J36" s="394"/>
      <c r="K36" s="394"/>
      <c r="L36" s="76"/>
      <c r="M36" s="19"/>
      <c r="N36" s="19"/>
      <c r="O36" s="78"/>
      <c r="P36" s="394"/>
      <c r="Q36" s="2"/>
      <c r="R36" s="2"/>
      <c r="S36" s="2"/>
      <c r="T36" s="2"/>
      <c r="U36" s="2"/>
      <c r="V36" s="2"/>
      <c r="W36" s="2"/>
      <c r="X36" s="2"/>
      <c r="Y36" s="2"/>
      <c r="Z36" s="2"/>
      <c r="AA36" s="2"/>
      <c r="AB36" s="2"/>
      <c r="AC36" s="2"/>
      <c r="AD36" s="2"/>
      <c r="AE36" s="2"/>
      <c r="AF36" s="2"/>
      <c r="AG36" s="2"/>
      <c r="AH36" s="2"/>
      <c r="AI36" s="2"/>
      <c r="AJ36" s="2"/>
      <c r="AK36" s="2"/>
      <c r="AL36" s="2"/>
      <c r="AM36" s="2"/>
      <c r="AN36" s="2"/>
      <c r="AO36" s="2"/>
      <c r="AQ36" s="2"/>
      <c r="AR36" s="2"/>
      <c r="AS36" s="2"/>
      <c r="AT36" s="2"/>
      <c r="AU36" s="2"/>
      <c r="AV36" s="2"/>
      <c r="AW36" s="2"/>
      <c r="AX36" s="2"/>
      <c r="AY36" s="2"/>
      <c r="AZ36" s="2"/>
      <c r="BC36" s="77"/>
    </row>
    <row r="37" spans="2:62" x14ac:dyDescent="0.25">
      <c r="B37" s="16"/>
      <c r="C37" s="401" t="s">
        <v>781</v>
      </c>
      <c r="D37" s="387" t="s">
        <v>58</v>
      </c>
      <c r="E37" s="400">
        <v>217926.99</v>
      </c>
      <c r="F37" s="400"/>
      <c r="G37" s="386"/>
      <c r="H37" s="394"/>
      <c r="I37" s="394"/>
      <c r="J37" s="394"/>
      <c r="K37" s="394"/>
      <c r="L37" s="76"/>
      <c r="M37" s="19"/>
      <c r="N37" s="19"/>
      <c r="O37" s="78"/>
      <c r="P37" s="394"/>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5"/>
      <c r="BD37" s="2"/>
      <c r="BE37" s="2"/>
      <c r="BF37" s="2"/>
      <c r="BG37" s="2"/>
      <c r="BI37" s="2"/>
      <c r="BJ37" s="2"/>
    </row>
    <row r="38" spans="2:62" x14ac:dyDescent="0.25">
      <c r="B38" s="16"/>
      <c r="C38" s="401"/>
      <c r="D38" s="387" t="s">
        <v>59</v>
      </c>
      <c r="E38" s="400">
        <v>10979.43</v>
      </c>
      <c r="F38" s="400"/>
      <c r="G38" s="386"/>
      <c r="H38" s="394"/>
      <c r="I38" s="394"/>
      <c r="J38" s="394"/>
      <c r="K38" s="394"/>
      <c r="L38" s="76"/>
      <c r="M38" s="19"/>
      <c r="N38" s="19"/>
      <c r="O38" s="78"/>
      <c r="P38" s="394"/>
      <c r="Q38" s="2"/>
      <c r="R38" s="2"/>
      <c r="S38" s="2"/>
      <c r="T38" s="2"/>
      <c r="U38" s="2"/>
      <c r="V38" s="2"/>
      <c r="W38" s="2"/>
      <c r="X38" s="2"/>
      <c r="Y38" s="2"/>
      <c r="Z38" s="2"/>
      <c r="AA38" s="2"/>
      <c r="AB38" s="2"/>
      <c r="AC38" s="2"/>
      <c r="AD38" s="2"/>
      <c r="AE38" s="2"/>
      <c r="AF38" s="2"/>
      <c r="AG38" s="2"/>
      <c r="AH38" s="2"/>
      <c r="AI38" s="2"/>
      <c r="AJ38" s="2"/>
      <c r="AK38" s="2"/>
      <c r="AL38" s="2"/>
      <c r="AM38" s="2"/>
      <c r="AN38" s="2"/>
      <c r="AO38" s="2"/>
      <c r="AQ38" s="2"/>
      <c r="AR38" s="2"/>
      <c r="AS38" s="2"/>
      <c r="AT38" s="2"/>
      <c r="AU38" s="2"/>
      <c r="AV38" s="2"/>
      <c r="AW38" s="2"/>
      <c r="AX38" s="2"/>
      <c r="AY38" s="2"/>
      <c r="AZ38" s="2"/>
      <c r="BA38" s="2"/>
      <c r="BC38" s="77"/>
    </row>
    <row r="39" spans="2:62" x14ac:dyDescent="0.25">
      <c r="B39" s="16"/>
      <c r="C39" s="401"/>
      <c r="D39" s="387" t="s">
        <v>60</v>
      </c>
      <c r="E39" s="400">
        <v>59658.2</v>
      </c>
      <c r="F39" s="400"/>
      <c r="G39" s="386"/>
      <c r="H39" s="394"/>
      <c r="I39" s="394"/>
      <c r="J39" s="394"/>
      <c r="K39" s="394"/>
      <c r="L39" s="76"/>
      <c r="M39" s="19"/>
      <c r="N39" s="19"/>
      <c r="O39" s="78"/>
      <c r="P39" s="394"/>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77"/>
      <c r="BE39" s="2"/>
    </row>
    <row r="40" spans="2:62" x14ac:dyDescent="0.25">
      <c r="B40" s="16"/>
      <c r="C40" s="401"/>
      <c r="D40" s="387" t="s">
        <v>782</v>
      </c>
      <c r="E40" s="400">
        <v>12141.65</v>
      </c>
      <c r="F40" s="728"/>
      <c r="G40" s="386"/>
      <c r="H40" s="394"/>
      <c r="I40" s="394"/>
      <c r="J40" s="399"/>
      <c r="K40" s="399"/>
      <c r="L40" s="76"/>
      <c r="M40" s="19"/>
      <c r="N40" s="19"/>
      <c r="O40" s="78"/>
      <c r="P40" s="394"/>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77"/>
      <c r="BE40" s="2"/>
    </row>
    <row r="41" spans="2:62" x14ac:dyDescent="0.25">
      <c r="B41" s="16"/>
      <c r="C41" s="401"/>
      <c r="D41" s="387" t="s">
        <v>63</v>
      </c>
      <c r="E41" s="400">
        <v>0</v>
      </c>
      <c r="F41" s="400"/>
      <c r="G41" s="386"/>
      <c r="H41" s="394"/>
      <c r="I41" s="394"/>
      <c r="J41" s="394"/>
      <c r="K41" s="394"/>
      <c r="L41" s="394"/>
      <c r="M41" s="394"/>
      <c r="N41" s="394"/>
      <c r="O41" s="460"/>
      <c r="P41" s="394"/>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C41" s="77"/>
    </row>
    <row r="42" spans="2:62" x14ac:dyDescent="0.25">
      <c r="B42" s="16"/>
      <c r="C42" s="401"/>
      <c r="D42" s="387" t="s">
        <v>64</v>
      </c>
      <c r="E42" s="400">
        <v>54520</v>
      </c>
      <c r="F42" s="400"/>
      <c r="G42" s="386"/>
      <c r="H42" s="394"/>
      <c r="I42" s="394"/>
      <c r="J42" s="394"/>
      <c r="K42" s="394"/>
      <c r="L42" s="394"/>
      <c r="M42" s="394"/>
      <c r="N42" s="394"/>
      <c r="O42" s="460"/>
      <c r="P42" s="394"/>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C42" s="77"/>
    </row>
    <row r="43" spans="2:62" x14ac:dyDescent="0.25">
      <c r="B43" s="16"/>
      <c r="C43" s="401"/>
      <c r="D43" s="387" t="s">
        <v>499</v>
      </c>
      <c r="E43" s="400">
        <v>16544.759999999998</v>
      </c>
      <c r="F43" s="400"/>
      <c r="G43" s="386"/>
      <c r="H43" s="394"/>
      <c r="I43" s="394"/>
      <c r="J43" s="394"/>
      <c r="K43" s="394"/>
      <c r="L43" s="394"/>
      <c r="M43" s="394"/>
      <c r="N43" s="394"/>
      <c r="O43" s="460"/>
      <c r="P43" s="394"/>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C43" s="77"/>
    </row>
    <row r="44" spans="2:62" x14ac:dyDescent="0.25">
      <c r="B44" s="16"/>
      <c r="C44" s="401"/>
      <c r="D44" s="385" t="s">
        <v>783</v>
      </c>
      <c r="E44" s="400">
        <v>5632.72</v>
      </c>
      <c r="F44" s="400"/>
      <c r="G44" s="400"/>
      <c r="H44" s="394"/>
      <c r="I44" s="394"/>
      <c r="J44" s="394"/>
      <c r="K44" s="394"/>
      <c r="L44" s="394"/>
      <c r="M44" s="394"/>
      <c r="N44" s="394"/>
      <c r="O44" s="460"/>
      <c r="P44" s="394"/>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C44" s="77"/>
    </row>
    <row r="45" spans="2:62" x14ac:dyDescent="0.25">
      <c r="B45" s="16"/>
      <c r="C45" s="401"/>
      <c r="D45" s="385" t="s">
        <v>784</v>
      </c>
      <c r="E45" s="400">
        <v>3946.92</v>
      </c>
      <c r="F45" s="400"/>
      <c r="G45" s="400"/>
      <c r="H45" s="394"/>
      <c r="I45" s="394"/>
      <c r="J45" s="394"/>
      <c r="K45" s="394"/>
      <c r="L45" s="394"/>
      <c r="M45" s="394"/>
      <c r="N45" s="394"/>
      <c r="O45" s="460"/>
      <c r="P45" s="394"/>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C45" s="77"/>
    </row>
    <row r="46" spans="2:62" x14ac:dyDescent="0.25">
      <c r="B46" s="16"/>
      <c r="C46" s="401"/>
      <c r="D46" s="387" t="s">
        <v>785</v>
      </c>
      <c r="E46" s="400">
        <v>10422.39</v>
      </c>
      <c r="F46" s="728"/>
      <c r="G46" s="728"/>
      <c r="H46" s="399"/>
      <c r="I46" s="399"/>
      <c r="J46" s="399"/>
      <c r="K46" s="399"/>
      <c r="L46" s="399"/>
      <c r="M46" s="399"/>
      <c r="N46" s="399"/>
      <c r="O46" s="461"/>
      <c r="P46" s="399"/>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C46" s="77"/>
    </row>
    <row r="47" spans="2:62" x14ac:dyDescent="0.25">
      <c r="B47" s="16"/>
      <c r="C47" s="408" t="s">
        <v>120</v>
      </c>
      <c r="D47" s="387" t="s">
        <v>65</v>
      </c>
      <c r="E47" s="735">
        <v>450000</v>
      </c>
      <c r="F47" s="386"/>
      <c r="G47" s="386"/>
      <c r="H47" s="394"/>
      <c r="I47" s="394"/>
      <c r="J47" s="394"/>
      <c r="K47" s="394"/>
      <c r="L47" s="394"/>
      <c r="M47" s="394"/>
      <c r="N47" s="394"/>
      <c r="O47" s="394"/>
      <c r="P47" s="394"/>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C47" s="77"/>
    </row>
    <row r="48" spans="2:62" x14ac:dyDescent="0.25">
      <c r="B48" s="16"/>
      <c r="C48" s="401"/>
      <c r="D48" s="387" t="s">
        <v>66</v>
      </c>
      <c r="E48" s="736">
        <v>105000</v>
      </c>
      <c r="F48" s="386"/>
      <c r="G48" s="386"/>
      <c r="H48" s="394"/>
      <c r="I48" s="394"/>
      <c r="J48" s="394"/>
      <c r="K48" s="394"/>
      <c r="L48" s="394"/>
      <c r="M48" s="394"/>
      <c r="N48" s="394"/>
      <c r="O48" s="394"/>
      <c r="P48" s="394"/>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S48" s="2"/>
      <c r="AT48" s="2"/>
      <c r="AU48" s="2"/>
      <c r="AV48" s="2"/>
      <c r="AW48" s="2"/>
      <c r="AX48" s="2"/>
      <c r="AY48" s="2"/>
      <c r="AZ48" s="2"/>
      <c r="BA48" s="2"/>
      <c r="BB48" s="2"/>
      <c r="BC48" s="5"/>
      <c r="BD48" s="2"/>
      <c r="BE48" s="2"/>
    </row>
    <row r="49" spans="2:62" x14ac:dyDescent="0.25">
      <c r="B49" s="16"/>
      <c r="C49" s="401" t="s">
        <v>131</v>
      </c>
      <c r="D49" s="387" t="s">
        <v>67</v>
      </c>
      <c r="E49" s="737">
        <f>(350000+50000)</f>
        <v>400000</v>
      </c>
      <c r="F49" s="386"/>
      <c r="G49" s="386"/>
      <c r="H49" s="394"/>
      <c r="I49" s="394"/>
      <c r="J49" s="394"/>
      <c r="K49" s="394"/>
      <c r="L49" s="394"/>
      <c r="M49" s="394"/>
      <c r="N49" s="394"/>
      <c r="O49" s="394"/>
      <c r="P49" s="394"/>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5"/>
    </row>
    <row r="50" spans="2:62" x14ac:dyDescent="0.25">
      <c r="B50" s="16"/>
      <c r="C50" s="401" t="s">
        <v>133</v>
      </c>
      <c r="D50" s="387" t="s">
        <v>68</v>
      </c>
      <c r="E50" s="737">
        <v>20000</v>
      </c>
      <c r="F50" s="386"/>
      <c r="G50" s="386"/>
      <c r="H50" s="394"/>
      <c r="I50" s="394"/>
      <c r="J50" s="394"/>
      <c r="K50" s="394"/>
      <c r="L50" s="394"/>
      <c r="M50" s="394"/>
      <c r="N50" s="394"/>
      <c r="O50" s="394"/>
      <c r="P50" s="394"/>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B50" s="2"/>
      <c r="BC50" s="77"/>
    </row>
    <row r="51" spans="2:62" x14ac:dyDescent="0.25">
      <c r="B51" s="16"/>
      <c r="C51" s="401"/>
      <c r="D51" s="387" t="s">
        <v>71</v>
      </c>
      <c r="E51" s="736">
        <v>17782</v>
      </c>
      <c r="F51" s="386"/>
      <c r="G51" s="386"/>
      <c r="H51" s="394"/>
      <c r="I51" s="394"/>
      <c r="J51" s="394"/>
      <c r="K51" s="394"/>
      <c r="L51" s="394"/>
      <c r="M51" s="394"/>
      <c r="N51" s="394"/>
      <c r="O51" s="394"/>
      <c r="P51" s="394"/>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C51" s="77"/>
    </row>
    <row r="52" spans="2:62" x14ac:dyDescent="0.25">
      <c r="B52" s="16"/>
      <c r="C52" s="401"/>
      <c r="D52" s="387" t="s">
        <v>72</v>
      </c>
      <c r="E52" s="737">
        <v>3995</v>
      </c>
      <c r="F52" s="386"/>
      <c r="G52" s="386"/>
      <c r="H52" s="394"/>
      <c r="I52" s="394"/>
      <c r="J52" s="394"/>
      <c r="K52" s="394"/>
      <c r="L52" s="394"/>
      <c r="M52" s="394"/>
      <c r="N52" s="394"/>
      <c r="O52" s="394"/>
      <c r="P52" s="394"/>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C52" s="77"/>
    </row>
    <row r="53" spans="2:62" x14ac:dyDescent="0.25">
      <c r="B53" s="16"/>
      <c r="C53" s="401"/>
      <c r="D53" s="387" t="s">
        <v>73</v>
      </c>
      <c r="E53" s="737">
        <v>18031.27</v>
      </c>
      <c r="F53" s="386"/>
      <c r="G53" s="386"/>
      <c r="H53" s="394"/>
      <c r="I53" s="394"/>
      <c r="J53" s="394"/>
      <c r="K53" s="394"/>
      <c r="L53" s="394"/>
      <c r="M53" s="394"/>
      <c r="N53" s="394"/>
      <c r="O53" s="394"/>
      <c r="P53" s="394"/>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C53" s="77"/>
    </row>
    <row r="54" spans="2:62" x14ac:dyDescent="0.25">
      <c r="B54" s="16"/>
      <c r="C54" s="401"/>
      <c r="D54" s="387" t="s">
        <v>76</v>
      </c>
      <c r="E54" s="737">
        <v>5461.79</v>
      </c>
      <c r="F54" s="386"/>
      <c r="G54" s="386"/>
      <c r="H54" s="394"/>
      <c r="I54" s="394"/>
      <c r="J54" s="394"/>
      <c r="K54" s="387"/>
      <c r="L54" s="387"/>
      <c r="M54" s="394"/>
      <c r="N54" s="387"/>
      <c r="O54" s="387"/>
      <c r="P54" s="394"/>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C54" s="5"/>
    </row>
    <row r="55" spans="2:62" x14ac:dyDescent="0.25">
      <c r="B55" s="16"/>
      <c r="C55" s="401"/>
      <c r="D55" s="387" t="s">
        <v>77</v>
      </c>
      <c r="E55" s="736">
        <v>41636</v>
      </c>
      <c r="F55" s="386"/>
      <c r="G55" s="386"/>
      <c r="H55" s="394"/>
      <c r="I55" s="394"/>
      <c r="J55" s="394"/>
      <c r="K55" s="394"/>
      <c r="L55" s="394"/>
      <c r="M55" s="394"/>
      <c r="N55" s="394"/>
      <c r="O55" s="394"/>
      <c r="P55" s="394"/>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5"/>
    </row>
    <row r="56" spans="2:62" x14ac:dyDescent="0.25">
      <c r="B56" s="16"/>
      <c r="C56" s="401"/>
      <c r="D56" s="387" t="s">
        <v>78</v>
      </c>
      <c r="E56" s="736">
        <v>4300</v>
      </c>
      <c r="F56" s="386"/>
      <c r="G56" s="386"/>
      <c r="H56" s="394"/>
      <c r="I56" s="394"/>
      <c r="J56" s="394"/>
      <c r="K56" s="394"/>
      <c r="L56" s="394"/>
      <c r="M56" s="394"/>
      <c r="N56" s="394"/>
      <c r="O56" s="394"/>
      <c r="P56" s="394"/>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C56" s="77"/>
    </row>
    <row r="57" spans="2:62" x14ac:dyDescent="0.25">
      <c r="B57" s="16"/>
      <c r="C57" s="401"/>
      <c r="D57" s="387" t="s">
        <v>81</v>
      </c>
      <c r="E57" s="736">
        <v>90000</v>
      </c>
      <c r="F57" s="386"/>
      <c r="G57" s="386"/>
      <c r="H57" s="394"/>
      <c r="I57" s="394"/>
      <c r="J57" s="394"/>
      <c r="K57" s="394"/>
      <c r="L57" s="394"/>
      <c r="M57" s="394"/>
      <c r="N57" s="394"/>
      <c r="O57" s="394"/>
      <c r="P57" s="394"/>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V57" s="2"/>
      <c r="AW57" s="2"/>
      <c r="AX57" s="2"/>
      <c r="AY57" s="2"/>
      <c r="AZ57" s="2"/>
      <c r="BC57" s="77"/>
    </row>
    <row r="58" spans="2:62" x14ac:dyDescent="0.25">
      <c r="B58" s="16"/>
      <c r="C58" s="401"/>
      <c r="D58" s="387" t="s">
        <v>83</v>
      </c>
      <c r="E58" s="736">
        <v>6450</v>
      </c>
      <c r="F58" s="386"/>
      <c r="G58" s="386"/>
      <c r="H58" s="394"/>
      <c r="I58" s="394"/>
      <c r="J58" s="394"/>
      <c r="K58" s="394"/>
      <c r="L58" s="394"/>
      <c r="M58" s="394"/>
      <c r="N58" s="394"/>
      <c r="O58" s="394"/>
      <c r="P58" s="394"/>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C58" s="77"/>
    </row>
    <row r="59" spans="2:62" ht="30" x14ac:dyDescent="0.25">
      <c r="B59" s="16"/>
      <c r="C59" s="401"/>
      <c r="D59" s="403" t="s">
        <v>786</v>
      </c>
      <c r="E59" s="737">
        <v>50000</v>
      </c>
      <c r="F59" s="386"/>
      <c r="G59" s="386"/>
      <c r="H59" s="394"/>
      <c r="I59" s="394"/>
      <c r="J59" s="394"/>
      <c r="K59" s="394"/>
      <c r="L59" s="394"/>
      <c r="M59" s="394"/>
      <c r="N59" s="394"/>
      <c r="O59" s="394"/>
      <c r="P59" s="394"/>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C59" s="77"/>
    </row>
    <row r="60" spans="2:62" x14ac:dyDescent="0.25">
      <c r="B60" s="16"/>
      <c r="C60" s="401"/>
      <c r="D60" s="387" t="s">
        <v>787</v>
      </c>
      <c r="E60" s="737">
        <v>75000</v>
      </c>
      <c r="F60" s="386"/>
      <c r="G60" s="386"/>
      <c r="H60" s="394"/>
      <c r="I60" s="394"/>
      <c r="J60" s="394"/>
      <c r="K60" s="394"/>
      <c r="L60" s="394"/>
      <c r="M60" s="394"/>
      <c r="N60" s="394"/>
      <c r="O60" s="394"/>
      <c r="P60" s="394"/>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C60" s="5"/>
    </row>
    <row r="61" spans="2:62" ht="30" x14ac:dyDescent="0.25">
      <c r="B61" s="16"/>
      <c r="C61" s="401"/>
      <c r="D61" s="403" t="s">
        <v>788</v>
      </c>
      <c r="E61" s="737">
        <v>50000</v>
      </c>
      <c r="F61" s="386"/>
      <c r="G61" s="386"/>
      <c r="H61" s="394"/>
      <c r="I61" s="394"/>
      <c r="J61" s="394"/>
      <c r="K61" s="394"/>
      <c r="L61" s="394"/>
      <c r="M61" s="394"/>
      <c r="N61" s="394"/>
      <c r="O61" s="394"/>
      <c r="P61" s="394"/>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C61" s="5"/>
    </row>
    <row r="62" spans="2:62" x14ac:dyDescent="0.25">
      <c r="B62" s="257" t="s">
        <v>88</v>
      </c>
      <c r="C62" s="401" t="s">
        <v>142</v>
      </c>
      <c r="D62" t="s">
        <v>789</v>
      </c>
      <c r="E62" s="730">
        <v>120000</v>
      </c>
      <c r="F62" s="386"/>
      <c r="G62" s="386"/>
      <c r="H62" s="394"/>
      <c r="I62" s="394"/>
      <c r="J62" s="394"/>
      <c r="K62" s="394"/>
      <c r="L62" s="394"/>
      <c r="M62" s="394"/>
      <c r="N62" s="394"/>
      <c r="O62" s="394"/>
      <c r="P62" s="394"/>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5"/>
    </row>
    <row r="63" spans="2:62" x14ac:dyDescent="0.25">
      <c r="B63" s="8"/>
      <c r="C63" s="401" t="s">
        <v>142</v>
      </c>
      <c r="D63" t="s">
        <v>790</v>
      </c>
      <c r="E63" s="730">
        <v>148500</v>
      </c>
      <c r="F63" s="386"/>
      <c r="G63" s="386"/>
      <c r="H63" s="394"/>
      <c r="I63" s="394"/>
      <c r="J63" s="394"/>
      <c r="K63" s="394"/>
      <c r="L63" s="394"/>
      <c r="M63" s="394"/>
      <c r="N63" s="394"/>
      <c r="O63" s="394"/>
      <c r="P63" s="394"/>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5"/>
      <c r="BD63" s="2"/>
      <c r="BE63" s="2"/>
      <c r="BF63" s="2"/>
      <c r="BG63" s="2"/>
      <c r="BH63" s="2"/>
      <c r="BI63" s="2"/>
      <c r="BJ63" s="2"/>
    </row>
    <row r="64" spans="2:62" x14ac:dyDescent="0.25">
      <c r="B64" s="16"/>
      <c r="C64" s="401"/>
      <c r="D64" t="s">
        <v>91</v>
      </c>
      <c r="E64" s="738">
        <v>561000</v>
      </c>
      <c r="F64" s="386"/>
      <c r="G64" s="386"/>
      <c r="H64" s="394"/>
      <c r="I64" s="394"/>
      <c r="J64" s="394"/>
      <c r="K64" s="394"/>
      <c r="L64" s="394"/>
      <c r="M64" s="394"/>
      <c r="N64" s="394"/>
      <c r="O64" s="394"/>
      <c r="P64" s="394"/>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C64" s="5"/>
      <c r="BE64" s="2"/>
      <c r="BF64">
        <v>220000</v>
      </c>
    </row>
    <row r="65" spans="1:62" x14ac:dyDescent="0.25">
      <c r="B65" s="17"/>
      <c r="C65" s="6"/>
      <c r="D65" s="6" t="s">
        <v>92</v>
      </c>
      <c r="E65" s="738">
        <v>113000</v>
      </c>
      <c r="F65" s="386"/>
      <c r="G65" s="386"/>
      <c r="H65" s="394"/>
      <c r="I65" s="394"/>
      <c r="J65" s="394"/>
      <c r="K65" s="394"/>
      <c r="L65" s="394"/>
      <c r="M65" s="394"/>
      <c r="N65" s="394"/>
      <c r="O65" s="394"/>
      <c r="P65" s="394"/>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E65" s="2"/>
      <c r="BF65" s="2">
        <v>13200</v>
      </c>
    </row>
    <row r="66" spans="1:62" x14ac:dyDescent="0.25">
      <c r="B66" s="13" t="s">
        <v>93</v>
      </c>
      <c r="C66" s="15"/>
      <c r="D66" s="6" t="s">
        <v>94</v>
      </c>
      <c r="E66" s="733">
        <v>500000</v>
      </c>
      <c r="F66" s="386"/>
      <c r="G66" s="386"/>
      <c r="H66" s="394"/>
      <c r="I66" s="394"/>
      <c r="J66" s="394"/>
      <c r="K66" s="394"/>
      <c r="L66" s="387"/>
      <c r="M66" s="394"/>
      <c r="N66" s="394"/>
      <c r="O66" s="394"/>
      <c r="P66" s="394"/>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5"/>
    </row>
    <row r="67" spans="1:62" x14ac:dyDescent="0.25">
      <c r="B67" s="14" t="s">
        <v>95</v>
      </c>
      <c r="C67" s="15"/>
      <c r="D67" s="15"/>
      <c r="E67" s="731">
        <v>0</v>
      </c>
      <c r="F67" s="386"/>
      <c r="G67" s="386"/>
      <c r="H67" s="394"/>
      <c r="I67" s="394"/>
      <c r="J67" s="394"/>
      <c r="K67" s="394"/>
      <c r="L67" s="394"/>
      <c r="M67" s="394"/>
      <c r="N67" s="394"/>
      <c r="O67" s="394"/>
      <c r="P67" s="394"/>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5"/>
    </row>
    <row r="68" spans="1:62" x14ac:dyDescent="0.25">
      <c r="B68" s="14" t="s">
        <v>96</v>
      </c>
      <c r="D68" s="15"/>
      <c r="E68" s="730">
        <v>30000</v>
      </c>
      <c r="F68" s="386"/>
      <c r="G68" s="386"/>
      <c r="H68" s="394"/>
      <c r="I68" s="394"/>
      <c r="J68" s="394"/>
      <c r="K68" s="394"/>
      <c r="L68" s="394"/>
      <c r="M68" s="394"/>
      <c r="N68" s="394"/>
      <c r="O68" s="394"/>
      <c r="P68" s="394"/>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C68" s="5"/>
    </row>
    <row r="69" spans="1:62" ht="15.75" thickBot="1" x14ac:dyDescent="0.3">
      <c r="B69" s="8" t="s">
        <v>791</v>
      </c>
      <c r="C69" s="169"/>
      <c r="E69" s="739">
        <v>0</v>
      </c>
      <c r="F69" s="386"/>
      <c r="G69" s="386"/>
      <c r="H69" s="394"/>
      <c r="I69" s="394"/>
      <c r="J69" s="394"/>
      <c r="K69" s="394"/>
      <c r="L69" s="394"/>
      <c r="M69" s="394"/>
      <c r="N69" s="394"/>
      <c r="O69" s="394"/>
      <c r="P69" s="394"/>
      <c r="Q69" s="2"/>
      <c r="R69" s="2"/>
      <c r="S69" s="2"/>
      <c r="T69" s="2"/>
      <c r="U69" s="2"/>
      <c r="V69" s="74"/>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C69" s="5"/>
    </row>
    <row r="70" spans="1:62" ht="15.75" thickBot="1" x14ac:dyDescent="0.3">
      <c r="A70" s="72"/>
      <c r="B70" s="168" t="s">
        <v>97</v>
      </c>
      <c r="C70" s="12"/>
      <c r="D70" s="169"/>
      <c r="E70" s="330">
        <v>30000</v>
      </c>
      <c r="F70" s="386"/>
      <c r="G70" s="386"/>
      <c r="H70" s="740"/>
      <c r="I70" s="740"/>
      <c r="J70" s="740"/>
      <c r="K70" s="462"/>
      <c r="L70" s="462"/>
      <c r="M70" s="462"/>
      <c r="N70" s="462"/>
      <c r="O70" s="462"/>
      <c r="P70" s="462"/>
      <c r="Q70" s="74"/>
      <c r="R70" s="74"/>
      <c r="S70" s="74"/>
      <c r="T70" s="74"/>
      <c r="U70" s="74"/>
      <c r="V70" s="2"/>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2"/>
      <c r="BB70" s="72"/>
      <c r="BC70" s="5"/>
      <c r="BD70" s="72"/>
      <c r="BE70" s="72"/>
      <c r="BF70" s="72"/>
      <c r="BG70" s="72"/>
      <c r="BH70" s="72"/>
      <c r="BI70" s="72"/>
      <c r="BJ70" s="72"/>
    </row>
    <row r="71" spans="1:62" ht="15.75" thickBot="1" x14ac:dyDescent="0.3">
      <c r="B71" s="11" t="s">
        <v>98</v>
      </c>
      <c r="C71" s="10"/>
      <c r="D71" s="12"/>
      <c r="E71" s="421">
        <f>SUM(E5:E70)</f>
        <v>7776403.6499999985</v>
      </c>
      <c r="F71" s="386"/>
      <c r="G71" s="386"/>
      <c r="H71" s="394"/>
      <c r="I71" s="394"/>
      <c r="J71" s="394"/>
      <c r="K71" s="394"/>
      <c r="L71" s="394"/>
      <c r="M71" s="394"/>
      <c r="N71" s="394"/>
      <c r="O71" s="394"/>
      <c r="P71" s="394"/>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C71" s="5"/>
    </row>
    <row r="72" spans="1:62" ht="15.75" thickBot="1" x14ac:dyDescent="0.3">
      <c r="B72" s="9" t="s">
        <v>99</v>
      </c>
      <c r="C72" s="372"/>
      <c r="D72" s="38">
        <v>500</v>
      </c>
      <c r="E72" s="330"/>
      <c r="F72" s="386"/>
      <c r="G72" s="386"/>
      <c r="H72" s="394"/>
      <c r="I72" s="394"/>
      <c r="J72" s="394"/>
      <c r="K72" s="394"/>
      <c r="L72" s="394"/>
      <c r="M72" s="394"/>
      <c r="N72" s="394"/>
      <c r="O72" s="394"/>
      <c r="P72" s="394"/>
      <c r="Q72" s="2"/>
      <c r="R72" s="2"/>
      <c r="S72" s="2"/>
      <c r="T72" s="2"/>
      <c r="U72" s="2"/>
      <c r="V72" s="6"/>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C72" s="5"/>
    </row>
    <row r="73" spans="1:62" ht="15.75" thickBot="1" x14ac:dyDescent="0.3">
      <c r="B73" s="35" t="s">
        <v>100</v>
      </c>
      <c r="D73" s="10"/>
      <c r="E73" s="330"/>
      <c r="F73" s="386"/>
      <c r="G73" s="386"/>
      <c r="H73" s="463">
        <f>H71/D72</f>
        <v>0</v>
      </c>
      <c r="I73" s="463"/>
      <c r="J73" s="463"/>
      <c r="K73" s="463"/>
      <c r="L73" s="463"/>
      <c r="M73" s="463"/>
      <c r="N73" s="463"/>
      <c r="O73" s="463"/>
      <c r="P73" s="463"/>
      <c r="Q73" s="6"/>
      <c r="R73" s="6"/>
      <c r="S73" s="6"/>
      <c r="T73" s="6"/>
      <c r="U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7"/>
    </row>
    <row r="74" spans="1:62" x14ac:dyDescent="0.25">
      <c r="E74" s="330">
        <f>SUM(E5:E59,E67,E66)</f>
        <v>6648903.6499999985</v>
      </c>
      <c r="F74" s="330"/>
      <c r="G74" s="330"/>
      <c r="AD74" s="34" t="s">
        <v>101</v>
      </c>
      <c r="AE74" s="2">
        <f>SUM(Q71:AE71)</f>
        <v>0</v>
      </c>
    </row>
    <row r="75" spans="1:62" x14ac:dyDescent="0.25">
      <c r="D75" t="s">
        <v>792</v>
      </c>
      <c r="E75" s="330" t="e">
        <f>#REF!-#REF!</f>
        <v>#REF!</v>
      </c>
      <c r="F75" s="330"/>
      <c r="G75" s="330"/>
    </row>
    <row r="76" spans="1:62" x14ac:dyDescent="0.25">
      <c r="E76" s="330"/>
      <c r="F76" s="330"/>
      <c r="G76" s="330"/>
      <c r="H76" s="2">
        <f>H75-H71</f>
        <v>0</v>
      </c>
      <c r="I76" s="2"/>
      <c r="J76" s="2"/>
      <c r="V76" s="2"/>
    </row>
    <row r="77" spans="1:62" x14ac:dyDescent="0.25">
      <c r="E77" s="330"/>
      <c r="F77" s="330"/>
      <c r="G77" s="330"/>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5"/>
      <c r="BA77" s="383"/>
      <c r="BB77" s="383"/>
      <c r="BC77" s="383"/>
    </row>
    <row r="78" spans="1:62" x14ac:dyDescent="0.25">
      <c r="E78" s="330"/>
      <c r="F78" s="330"/>
      <c r="G78" s="330"/>
    </row>
    <row r="79" spans="1:62" x14ac:dyDescent="0.25">
      <c r="D79" s="1" t="s">
        <v>104</v>
      </c>
      <c r="E79" s="330" t="e">
        <f>E75-E74</f>
        <v>#REF!</v>
      </c>
      <c r="F79" s="330"/>
      <c r="G79" s="330"/>
    </row>
    <row r="80" spans="1:62" x14ac:dyDescent="0.25">
      <c r="E80" s="330"/>
      <c r="F80" s="330"/>
      <c r="G80" s="330"/>
    </row>
    <row r="81" spans="4:17" x14ac:dyDescent="0.25">
      <c r="E81" s="330"/>
      <c r="F81" s="330"/>
      <c r="G81" s="330"/>
      <c r="H81" s="20"/>
      <c r="I81" s="2"/>
      <c r="J81" s="2"/>
      <c r="Q81" s="2"/>
    </row>
    <row r="82" spans="4:17" x14ac:dyDescent="0.25">
      <c r="E82" s="330"/>
      <c r="F82" s="330"/>
      <c r="G82" s="330"/>
    </row>
    <row r="84" spans="4:17" x14ac:dyDescent="0.25">
      <c r="E84" s="421">
        <f>SUM(E13:E65)/100</f>
        <v>60500.936499999996</v>
      </c>
      <c r="F84" s="330"/>
      <c r="G84" s="330"/>
    </row>
    <row r="86" spans="4:17" x14ac:dyDescent="0.25">
      <c r="E86" s="330"/>
      <c r="F86" s="330"/>
      <c r="G86" s="330"/>
    </row>
    <row r="87" spans="4:17" x14ac:dyDescent="0.25">
      <c r="D87" s="57" t="s">
        <v>793</v>
      </c>
    </row>
    <row r="90" spans="4:17" x14ac:dyDescent="0.25">
      <c r="I90" s="330" t="b">
        <f>I96=SUM(E13:E16)</f>
        <v>0</v>
      </c>
    </row>
  </sheetData>
  <mergeCells count="1">
    <mergeCell ref="B13:B16"/>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C189E-19A8-4A37-94E1-5721668DE8A0}">
  <dimension ref="B2:BJ89"/>
  <sheetViews>
    <sheetView zoomScale="90" zoomScaleNormal="90" workbookViewId="0">
      <selection activeCell="B13" sqref="B13:B18"/>
    </sheetView>
  </sheetViews>
  <sheetFormatPr defaultRowHeight="15" x14ac:dyDescent="0.25"/>
  <cols>
    <col min="1" max="1" width="4.42578125" customWidth="1"/>
    <col min="2" max="2" width="33.7109375" customWidth="1"/>
    <col min="3" max="3" width="20.28515625" customWidth="1"/>
    <col min="4" max="4" width="43.7109375" customWidth="1"/>
    <col min="5" max="6" width="18.42578125" customWidth="1"/>
    <col min="7" max="10" width="16.5703125" customWidth="1"/>
    <col min="11" max="11" width="21.5703125" customWidth="1"/>
    <col min="12" max="12" width="11.42578125" customWidth="1"/>
    <col min="13" max="13" width="12.28515625" customWidth="1"/>
    <col min="14" max="14" width="10.7109375" customWidth="1"/>
    <col min="16" max="16" width="16.7109375" customWidth="1"/>
    <col min="20" max="20" width="11.28515625" customWidth="1"/>
    <col min="54" max="54" width="9.5703125" bestFit="1" customWidth="1"/>
    <col min="60" max="60" width="10.5703125" bestFit="1" customWidth="1"/>
  </cols>
  <sheetData>
    <row r="2" spans="2:62" x14ac:dyDescent="0.25">
      <c r="E2" s="330"/>
      <c r="F2" s="330"/>
      <c r="G2" s="330"/>
      <c r="Q2" t="s">
        <v>0</v>
      </c>
    </row>
    <row r="3" spans="2:62" x14ac:dyDescent="0.25">
      <c r="B3" s="381" t="s">
        <v>794</v>
      </c>
      <c r="C3" s="381"/>
      <c r="D3" t="s">
        <v>795</v>
      </c>
      <c r="E3" s="330"/>
      <c r="F3" s="330"/>
      <c r="G3" s="330"/>
      <c r="Q3" s="138"/>
      <c r="T3" s="71">
        <v>45413</v>
      </c>
      <c r="U3" s="71">
        <v>45444</v>
      </c>
      <c r="V3" s="71">
        <v>45474</v>
      </c>
      <c r="W3" s="71">
        <v>45505</v>
      </c>
      <c r="X3" s="71">
        <v>45536</v>
      </c>
      <c r="Y3" s="71">
        <v>45566</v>
      </c>
      <c r="Z3" s="71">
        <v>45597</v>
      </c>
      <c r="AA3" s="71">
        <v>45627</v>
      </c>
      <c r="AB3" s="71">
        <v>45658</v>
      </c>
      <c r="AC3" s="71">
        <v>45689</v>
      </c>
      <c r="AD3" s="71">
        <v>45717</v>
      </c>
      <c r="AE3" s="71">
        <v>45748</v>
      </c>
      <c r="AF3" s="71">
        <v>45778</v>
      </c>
      <c r="AG3" s="71">
        <v>45809</v>
      </c>
      <c r="AH3" s="71">
        <v>45839</v>
      </c>
      <c r="AI3" s="71">
        <v>45870</v>
      </c>
      <c r="AJ3" s="71">
        <v>45901</v>
      </c>
      <c r="AK3" s="71">
        <v>45931</v>
      </c>
      <c r="AL3" s="71">
        <v>45962</v>
      </c>
      <c r="AM3" s="71">
        <v>45992</v>
      </c>
      <c r="AN3" s="71">
        <v>46023</v>
      </c>
      <c r="AO3" s="71">
        <v>46054</v>
      </c>
      <c r="AP3" s="71">
        <v>46082</v>
      </c>
      <c r="AQ3" s="71">
        <v>46113</v>
      </c>
      <c r="AR3" s="71">
        <v>46143</v>
      </c>
      <c r="AS3" s="71">
        <v>46174</v>
      </c>
      <c r="AT3" s="71">
        <v>46204</v>
      </c>
      <c r="AU3" s="71">
        <v>46235</v>
      </c>
      <c r="AV3" s="71">
        <v>46266</v>
      </c>
      <c r="AW3" s="71">
        <v>46296</v>
      </c>
      <c r="AX3" s="71">
        <v>46327</v>
      </c>
      <c r="AY3" s="71">
        <v>46357</v>
      </c>
      <c r="AZ3" s="71">
        <v>46388</v>
      </c>
      <c r="BA3" s="71">
        <v>46419</v>
      </c>
      <c r="BB3" s="71">
        <v>46447</v>
      </c>
      <c r="BC3" s="71">
        <v>46478</v>
      </c>
      <c r="BD3" s="71">
        <v>46508</v>
      </c>
      <c r="BE3" s="71">
        <v>46539</v>
      </c>
      <c r="BF3" s="71">
        <v>46569</v>
      </c>
      <c r="BG3" s="71">
        <v>46600</v>
      </c>
      <c r="BH3" s="71">
        <v>46631</v>
      </c>
      <c r="BI3" s="71">
        <v>46661</v>
      </c>
      <c r="BJ3" s="71">
        <v>46692</v>
      </c>
    </row>
    <row r="4" spans="2:62" ht="15.75" thickBot="1" x14ac:dyDescent="0.3">
      <c r="E4" s="330"/>
      <c r="F4" s="330"/>
      <c r="G4" s="330"/>
      <c r="Q4" t="s">
        <v>14</v>
      </c>
      <c r="AP4" t="s">
        <v>15</v>
      </c>
    </row>
    <row r="5" spans="2:62" s="473" customFormat="1" ht="30" x14ac:dyDescent="0.25">
      <c r="B5" s="932" t="s">
        <v>16</v>
      </c>
      <c r="C5" s="933" t="s">
        <v>766</v>
      </c>
      <c r="D5" s="933" t="s">
        <v>17</v>
      </c>
      <c r="E5" s="900" t="s">
        <v>18</v>
      </c>
      <c r="F5" s="920" t="s">
        <v>578</v>
      </c>
      <c r="G5" s="464" t="s">
        <v>796</v>
      </c>
      <c r="H5" s="465" t="s">
        <v>20</v>
      </c>
      <c r="I5" s="466" t="s">
        <v>21</v>
      </c>
      <c r="J5" s="467" t="s">
        <v>22</v>
      </c>
      <c r="K5" s="468" t="s">
        <v>23</v>
      </c>
      <c r="L5" s="469" t="s">
        <v>24</v>
      </c>
      <c r="M5" s="470" t="s">
        <v>25</v>
      </c>
      <c r="N5" s="470" t="s">
        <v>26</v>
      </c>
      <c r="O5" s="470" t="s">
        <v>27</v>
      </c>
      <c r="P5" s="470" t="s">
        <v>28</v>
      </c>
      <c r="Q5" s="471">
        <v>1</v>
      </c>
      <c r="R5" s="471">
        <v>2</v>
      </c>
      <c r="S5" s="471">
        <v>3</v>
      </c>
      <c r="T5" s="471">
        <v>4</v>
      </c>
      <c r="U5" s="471">
        <v>5</v>
      </c>
      <c r="V5" s="471">
        <v>6</v>
      </c>
      <c r="W5" s="471">
        <v>7</v>
      </c>
      <c r="X5" s="471">
        <v>8</v>
      </c>
      <c r="Y5" s="471">
        <v>9</v>
      </c>
      <c r="Z5" s="471">
        <v>10</v>
      </c>
      <c r="AA5" s="471">
        <v>11</v>
      </c>
      <c r="AB5" s="471">
        <v>12</v>
      </c>
      <c r="AC5" s="471">
        <v>13</v>
      </c>
      <c r="AD5" s="471">
        <v>14</v>
      </c>
      <c r="AE5" s="471">
        <v>15</v>
      </c>
      <c r="AF5" s="471">
        <v>16</v>
      </c>
      <c r="AG5" s="471">
        <v>17</v>
      </c>
      <c r="AH5" s="471">
        <v>18</v>
      </c>
      <c r="AI5" s="471">
        <v>19</v>
      </c>
      <c r="AJ5" s="471">
        <v>20</v>
      </c>
      <c r="AK5" s="471">
        <v>21</v>
      </c>
      <c r="AL5" s="471">
        <v>22</v>
      </c>
      <c r="AM5" s="471">
        <v>23</v>
      </c>
      <c r="AN5" s="471">
        <v>24</v>
      </c>
      <c r="AO5" s="471">
        <v>25</v>
      </c>
      <c r="AP5" s="471">
        <v>26</v>
      </c>
      <c r="AQ5" s="471">
        <v>27</v>
      </c>
      <c r="AR5" s="471">
        <v>28</v>
      </c>
      <c r="AS5" s="471">
        <v>29</v>
      </c>
      <c r="AT5" s="471">
        <v>30</v>
      </c>
      <c r="AU5" s="471">
        <v>31</v>
      </c>
      <c r="AV5" s="471">
        <v>32</v>
      </c>
      <c r="AW5" s="471">
        <v>33</v>
      </c>
      <c r="AX5" s="471">
        <v>34</v>
      </c>
      <c r="AY5" s="471">
        <v>35</v>
      </c>
      <c r="AZ5" s="471">
        <v>36</v>
      </c>
      <c r="BA5" s="471">
        <v>37</v>
      </c>
      <c r="BB5" s="471">
        <v>38</v>
      </c>
      <c r="BC5" s="472">
        <v>39</v>
      </c>
      <c r="BD5" s="472">
        <v>40</v>
      </c>
      <c r="BE5" s="472">
        <v>41</v>
      </c>
      <c r="BF5" s="472">
        <v>42</v>
      </c>
    </row>
    <row r="6" spans="2:62" x14ac:dyDescent="0.25">
      <c r="B6" s="512" t="s">
        <v>29</v>
      </c>
      <c r="D6" t="s">
        <v>30</v>
      </c>
      <c r="E6" s="901">
        <v>81180</v>
      </c>
      <c r="F6" s="921"/>
      <c r="G6" s="334"/>
      <c r="H6" s="78"/>
      <c r="I6" s="394"/>
      <c r="J6" s="394"/>
      <c r="K6" s="394"/>
      <c r="L6" s="76"/>
      <c r="M6" s="19"/>
      <c r="N6" s="19"/>
      <c r="O6" s="19"/>
      <c r="P6" s="19"/>
      <c r="Q6" s="2">
        <v>67650</v>
      </c>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C6" s="77"/>
    </row>
    <row r="7" spans="2:62" x14ac:dyDescent="0.25">
      <c r="B7" s="512"/>
      <c r="D7" t="s">
        <v>31</v>
      </c>
      <c r="E7" s="902">
        <v>44670</v>
      </c>
      <c r="F7" s="921"/>
      <c r="G7" s="334"/>
      <c r="H7" s="78"/>
      <c r="I7" s="394"/>
      <c r="J7" s="394"/>
      <c r="K7" s="394"/>
      <c r="L7" s="76"/>
      <c r="M7" s="19"/>
      <c r="N7" s="19"/>
      <c r="O7" s="19"/>
      <c r="P7" s="19"/>
      <c r="Q7" s="2">
        <v>800</v>
      </c>
      <c r="R7" s="2"/>
      <c r="S7" s="2"/>
      <c r="T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C7" s="77"/>
    </row>
    <row r="8" spans="2:62" x14ac:dyDescent="0.25">
      <c r="B8" s="512"/>
      <c r="D8" t="s">
        <v>32</v>
      </c>
      <c r="E8" s="902">
        <v>1800000</v>
      </c>
      <c r="F8" s="921"/>
      <c r="G8" s="334"/>
      <c r="H8" s="78"/>
      <c r="I8" s="394"/>
      <c r="J8" s="394"/>
      <c r="K8" s="394"/>
      <c r="L8" s="76"/>
      <c r="M8" s="19"/>
      <c r="N8" s="19"/>
      <c r="O8" s="19"/>
      <c r="P8" s="19"/>
      <c r="Q8" s="2"/>
      <c r="R8" s="2"/>
      <c r="S8" s="2"/>
      <c r="T8" s="2"/>
      <c r="V8" s="2"/>
      <c r="W8" s="2"/>
      <c r="X8" s="2"/>
      <c r="Y8" s="2"/>
      <c r="Z8" s="2"/>
      <c r="AA8" s="2"/>
      <c r="AB8" s="2"/>
      <c r="AC8" s="2"/>
      <c r="AD8" s="2"/>
      <c r="AE8" s="2"/>
      <c r="AF8" s="2"/>
      <c r="AG8" s="2"/>
      <c r="AH8" s="2"/>
      <c r="AI8" s="2"/>
      <c r="AJ8" s="2"/>
      <c r="AK8" s="2"/>
      <c r="AL8" s="2"/>
      <c r="AM8" s="2"/>
      <c r="AN8" s="2"/>
      <c r="AO8" s="2"/>
      <c r="AP8" s="2"/>
      <c r="AQ8" s="2"/>
      <c r="AR8" s="2"/>
      <c r="AS8" s="2"/>
      <c r="AT8" s="2"/>
      <c r="AU8" s="2"/>
      <c r="AV8" s="2">
        <v>2160.7800000000002</v>
      </c>
      <c r="AW8" s="2"/>
      <c r="AX8" s="2"/>
      <c r="AY8" s="2"/>
      <c r="AZ8" s="2"/>
      <c r="BB8" s="712">
        <v>6482.3159999999989</v>
      </c>
      <c r="BC8" s="77"/>
      <c r="BH8" s="712">
        <v>20798.507999999994</v>
      </c>
    </row>
    <row r="9" spans="2:62" x14ac:dyDescent="0.25">
      <c r="B9" s="512"/>
      <c r="D9" t="s">
        <v>33</v>
      </c>
      <c r="E9" s="902">
        <v>3600</v>
      </c>
      <c r="F9" s="921"/>
      <c r="G9" s="334"/>
      <c r="H9" s="78"/>
      <c r="I9" s="394"/>
      <c r="J9" s="394"/>
      <c r="K9" s="394"/>
      <c r="L9" s="76"/>
      <c r="M9" s="19"/>
      <c r="N9" s="19"/>
      <c r="O9" s="19"/>
      <c r="P9" s="19"/>
      <c r="Q9" s="2"/>
      <c r="R9" s="2"/>
      <c r="S9" s="2"/>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C9" s="77"/>
    </row>
    <row r="10" spans="2:62" x14ac:dyDescent="0.25">
      <c r="B10" s="934" t="s">
        <v>35</v>
      </c>
      <c r="C10" s="15"/>
      <c r="D10" s="15"/>
      <c r="E10" s="903">
        <v>157693</v>
      </c>
      <c r="F10" s="922"/>
      <c r="G10" s="336"/>
      <c r="H10" s="80"/>
      <c r="I10" s="394"/>
      <c r="J10" s="394"/>
      <c r="K10" s="394"/>
      <c r="L10" s="76"/>
      <c r="M10" s="19"/>
      <c r="N10" s="19"/>
      <c r="O10" s="19"/>
      <c r="P10" s="19"/>
      <c r="Q10" s="2"/>
      <c r="R10" s="2"/>
      <c r="S10" s="2"/>
      <c r="T10" s="2"/>
      <c r="U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C10" s="77"/>
    </row>
    <row r="11" spans="2:62" x14ac:dyDescent="0.25">
      <c r="B11" s="935" t="s">
        <v>37</v>
      </c>
      <c r="C11" s="3"/>
      <c r="D11" s="3" t="s">
        <v>797</v>
      </c>
      <c r="E11" s="904">
        <v>170000</v>
      </c>
      <c r="F11" s="923"/>
      <c r="G11" s="337"/>
      <c r="H11" s="324"/>
      <c r="I11" s="394"/>
      <c r="J11" s="394"/>
      <c r="K11" s="394"/>
      <c r="L11" s="76"/>
      <c r="M11" s="19"/>
      <c r="N11" s="19"/>
      <c r="O11" s="19"/>
      <c r="P11" s="19"/>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77"/>
    </row>
    <row r="12" spans="2:62" ht="15.75" thickBot="1" x14ac:dyDescent="0.3">
      <c r="B12" s="512"/>
      <c r="D12" s="6" t="s">
        <v>39</v>
      </c>
      <c r="E12" s="905">
        <f>600000+62250+62250</f>
        <v>724500</v>
      </c>
      <c r="F12" s="924"/>
      <c r="G12" s="335"/>
      <c r="H12" s="79"/>
      <c r="I12" s="394"/>
      <c r="J12" s="394"/>
      <c r="K12" s="394"/>
      <c r="L12" s="76"/>
      <c r="M12" s="19"/>
      <c r="N12" s="19"/>
      <c r="O12" s="19"/>
      <c r="P12" s="19"/>
      <c r="Q12" s="2"/>
      <c r="R12" s="2"/>
      <c r="S12" s="2"/>
      <c r="T12" s="2"/>
      <c r="U12" s="2"/>
      <c r="V12" s="2"/>
      <c r="W12" s="2"/>
      <c r="X12" s="2"/>
      <c r="Y12" s="2"/>
      <c r="Z12" s="2"/>
      <c r="AA12" s="2"/>
      <c r="AB12" s="2"/>
      <c r="AF12" s="2"/>
      <c r="AG12" s="2"/>
      <c r="AH12" s="2"/>
      <c r="AI12" s="2"/>
      <c r="AJ12" s="2"/>
      <c r="AK12" s="2"/>
      <c r="AL12" s="2"/>
      <c r="AM12" s="2"/>
      <c r="AN12" s="2"/>
      <c r="AO12" s="2"/>
      <c r="AP12" s="2"/>
      <c r="AQ12" s="2"/>
      <c r="AR12" s="2"/>
      <c r="AS12" s="2"/>
      <c r="AT12" s="2"/>
      <c r="AU12" s="2"/>
      <c r="AV12" s="2"/>
      <c r="AW12" s="2"/>
      <c r="AX12" s="2"/>
      <c r="AY12" s="2"/>
      <c r="AZ12" s="2"/>
      <c r="BC12" s="77"/>
      <c r="BD12" s="2"/>
    </row>
    <row r="13" spans="2:62" x14ac:dyDescent="0.25">
      <c r="B13" s="957" t="s">
        <v>798</v>
      </c>
      <c r="C13" s="397" t="s">
        <v>799</v>
      </c>
      <c r="D13" s="918" t="s">
        <v>800</v>
      </c>
      <c r="E13" s="906">
        <v>53420</v>
      </c>
      <c r="F13" s="923"/>
      <c r="G13" s="337"/>
      <c r="H13" s="80"/>
      <c r="I13" s="394"/>
      <c r="J13" s="394"/>
      <c r="K13" s="394"/>
      <c r="L13" s="76"/>
      <c r="M13" s="19"/>
      <c r="N13" s="19"/>
      <c r="O13" s="19"/>
      <c r="P13" s="19"/>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5"/>
      <c r="BD13" s="2"/>
      <c r="BE13" s="2"/>
      <c r="BF13" s="2"/>
      <c r="BG13" s="2"/>
      <c r="BH13" s="2"/>
      <c r="BI13" s="2"/>
      <c r="BJ13" s="2"/>
    </row>
    <row r="14" spans="2:62" x14ac:dyDescent="0.25">
      <c r="B14" s="957"/>
      <c r="C14" s="390"/>
      <c r="D14" s="919" t="s">
        <v>801</v>
      </c>
      <c r="E14" s="907">
        <v>22420</v>
      </c>
      <c r="F14" s="400"/>
      <c r="G14" s="386"/>
      <c r="H14" s="136"/>
      <c r="I14" s="394"/>
      <c r="J14" s="394"/>
      <c r="K14" s="394"/>
      <c r="L14" s="76"/>
      <c r="M14" s="19"/>
      <c r="N14" s="19"/>
      <c r="O14" s="19"/>
      <c r="P14" s="19"/>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5"/>
      <c r="BD14" s="2"/>
      <c r="BE14" s="2"/>
      <c r="BF14" s="2"/>
      <c r="BG14" s="2"/>
      <c r="BH14" s="2"/>
      <c r="BI14" s="2"/>
      <c r="BJ14" s="2"/>
    </row>
    <row r="15" spans="2:62" ht="30" x14ac:dyDescent="0.25">
      <c r="B15" s="957"/>
      <c r="C15" s="390"/>
      <c r="D15" s="919" t="s">
        <v>802</v>
      </c>
      <c r="E15" s="907">
        <v>76800</v>
      </c>
      <c r="F15" s="400"/>
      <c r="G15" s="386"/>
      <c r="H15" s="136"/>
      <c r="I15" s="394"/>
      <c r="J15" s="394"/>
      <c r="K15" s="394"/>
      <c r="L15" s="76"/>
      <c r="M15" s="19"/>
      <c r="N15" s="19"/>
      <c r="O15" s="19"/>
      <c r="P15" s="19"/>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5"/>
      <c r="BD15" s="2"/>
      <c r="BE15" s="2"/>
      <c r="BF15" s="2"/>
      <c r="BG15" s="2"/>
      <c r="BH15" s="2"/>
      <c r="BI15" s="2"/>
      <c r="BJ15" s="2"/>
    </row>
    <row r="16" spans="2:62" ht="30" x14ac:dyDescent="0.25">
      <c r="B16" s="957"/>
      <c r="C16" s="390"/>
      <c r="D16" s="919" t="s">
        <v>803</v>
      </c>
      <c r="E16" s="907">
        <v>97620</v>
      </c>
      <c r="F16" s="400"/>
      <c r="G16" s="386"/>
      <c r="H16" s="136"/>
      <c r="I16" s="394"/>
      <c r="J16" s="394"/>
      <c r="K16" s="394"/>
      <c r="L16" s="76"/>
      <c r="M16" s="19"/>
      <c r="N16" s="19"/>
      <c r="O16" s="19"/>
      <c r="P16" s="19"/>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5"/>
      <c r="BD16" s="2"/>
      <c r="BE16" s="2"/>
      <c r="BF16" s="2"/>
      <c r="BG16" s="2"/>
      <c r="BH16" s="2"/>
      <c r="BI16" s="2"/>
      <c r="BJ16" s="2"/>
    </row>
    <row r="17" spans="2:62" x14ac:dyDescent="0.25">
      <c r="B17" s="957"/>
      <c r="C17" s="390"/>
      <c r="D17" s="919" t="s">
        <v>804</v>
      </c>
      <c r="E17" s="907">
        <v>99800</v>
      </c>
      <c r="F17" s="400"/>
      <c r="G17" s="386"/>
      <c r="H17" s="136"/>
      <c r="I17" s="394"/>
      <c r="J17" s="394"/>
      <c r="K17" s="394"/>
      <c r="L17" s="76"/>
      <c r="M17" s="19"/>
      <c r="N17" s="19"/>
      <c r="O17" s="19"/>
      <c r="P17" s="19"/>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5"/>
      <c r="BD17" s="2"/>
      <c r="BE17" s="2"/>
      <c r="BF17" s="2"/>
      <c r="BG17" s="2"/>
      <c r="BH17" s="2"/>
      <c r="BI17" s="2"/>
      <c r="BJ17" s="2"/>
    </row>
    <row r="18" spans="2:62" ht="30" x14ac:dyDescent="0.25">
      <c r="B18" s="957"/>
      <c r="C18" s="390"/>
      <c r="D18" s="919" t="s">
        <v>805</v>
      </c>
      <c r="E18" s="907">
        <v>365010</v>
      </c>
      <c r="F18" s="400"/>
      <c r="G18" s="386"/>
      <c r="H18" s="136"/>
      <c r="I18" s="394"/>
      <c r="J18" s="394"/>
      <c r="K18" s="394"/>
      <c r="L18" s="76"/>
      <c r="M18" s="19"/>
      <c r="N18" s="19"/>
      <c r="O18" s="19"/>
      <c r="P18" s="19"/>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5"/>
      <c r="BD18" s="2"/>
      <c r="BE18" s="2"/>
      <c r="BF18" s="2"/>
      <c r="BG18" s="2"/>
      <c r="BH18" s="2"/>
      <c r="BI18" s="2"/>
      <c r="BJ18" s="2"/>
    </row>
    <row r="19" spans="2:62" x14ac:dyDescent="0.25">
      <c r="B19" s="512" t="s">
        <v>806</v>
      </c>
      <c r="E19" s="908">
        <v>96120</v>
      </c>
      <c r="F19" s="728"/>
      <c r="G19" s="396"/>
      <c r="H19" s="2"/>
      <c r="I19" s="395"/>
      <c r="J19" s="394"/>
      <c r="K19" s="394"/>
      <c r="L19" s="76"/>
      <c r="M19" s="19"/>
      <c r="N19" s="19"/>
      <c r="O19" s="19"/>
      <c r="P19" s="19"/>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5"/>
      <c r="BD19" s="2"/>
      <c r="BE19" s="2"/>
      <c r="BF19" s="2"/>
      <c r="BG19" s="2"/>
      <c r="BH19" s="2"/>
      <c r="BI19" s="2"/>
      <c r="BJ19" s="2"/>
    </row>
    <row r="20" spans="2:62" x14ac:dyDescent="0.25">
      <c r="B20" s="936" t="s">
        <v>807</v>
      </c>
      <c r="C20" s="370" t="s">
        <v>773</v>
      </c>
      <c r="D20" t="s">
        <v>808</v>
      </c>
      <c r="E20" s="907">
        <v>31650</v>
      </c>
      <c r="F20" s="400"/>
      <c r="G20" s="386"/>
      <c r="H20" s="394"/>
      <c r="I20" s="395"/>
      <c r="J20" s="394"/>
      <c r="K20" s="394"/>
      <c r="L20" s="76"/>
      <c r="M20" s="19"/>
      <c r="N20" s="19"/>
      <c r="O20" s="19"/>
      <c r="P20" s="19"/>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5"/>
      <c r="BD20" s="2"/>
      <c r="BE20" s="2"/>
      <c r="BF20" s="2"/>
      <c r="BG20" s="2"/>
      <c r="BH20" s="2"/>
      <c r="BI20" s="2"/>
      <c r="BJ20" s="2"/>
    </row>
    <row r="21" spans="2:62" x14ac:dyDescent="0.25">
      <c r="B21" s="937"/>
      <c r="C21" s="370" t="s">
        <v>476</v>
      </c>
      <c r="D21" t="s">
        <v>809</v>
      </c>
      <c r="E21" s="907">
        <v>28500</v>
      </c>
      <c r="F21" s="400"/>
      <c r="G21" s="386"/>
      <c r="H21" s="394"/>
      <c r="I21" s="395"/>
      <c r="J21" s="394"/>
      <c r="K21" s="394"/>
      <c r="L21" s="76"/>
      <c r="M21" s="19"/>
      <c r="N21" s="19"/>
      <c r="O21" s="19"/>
      <c r="P21" s="19"/>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C21" s="77"/>
    </row>
    <row r="22" spans="2:62" x14ac:dyDescent="0.25">
      <c r="B22" s="937"/>
      <c r="C22" s="370" t="s">
        <v>810</v>
      </c>
      <c r="D22" t="s">
        <v>189</v>
      </c>
      <c r="E22" s="907">
        <v>3000</v>
      </c>
      <c r="F22" s="400"/>
      <c r="G22" s="386"/>
      <c r="H22" s="394"/>
      <c r="I22" s="395"/>
      <c r="J22" s="394"/>
      <c r="K22" s="394"/>
      <c r="L22" s="76"/>
      <c r="M22" s="19"/>
      <c r="N22" s="19"/>
      <c r="O22" s="19"/>
      <c r="P22" s="19"/>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C22" s="77"/>
    </row>
    <row r="23" spans="2:62" ht="30" x14ac:dyDescent="0.25">
      <c r="B23" s="937"/>
      <c r="C23" s="370" t="s">
        <v>476</v>
      </c>
      <c r="D23" s="85" t="s">
        <v>811</v>
      </c>
      <c r="E23" s="907">
        <v>16400</v>
      </c>
      <c r="F23" s="400"/>
      <c r="G23" s="386"/>
      <c r="H23" s="394"/>
      <c r="I23" s="395"/>
      <c r="J23" s="394"/>
      <c r="K23" s="394"/>
      <c r="L23" s="76"/>
      <c r="M23" s="19"/>
      <c r="N23" s="19"/>
      <c r="O23" s="19"/>
      <c r="P23" s="19"/>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C23" s="77"/>
    </row>
    <row r="24" spans="2:62" x14ac:dyDescent="0.25">
      <c r="B24" s="937"/>
      <c r="C24" s="370"/>
      <c r="D24" t="s">
        <v>46</v>
      </c>
      <c r="E24" s="907">
        <v>24500</v>
      </c>
      <c r="F24" s="400"/>
      <c r="G24" s="386"/>
      <c r="H24" s="394"/>
      <c r="I24" s="395"/>
      <c r="J24" s="394"/>
      <c r="K24" s="394"/>
      <c r="L24" s="76"/>
      <c r="M24" s="19"/>
      <c r="N24" s="19"/>
      <c r="O24" s="19"/>
      <c r="P24" s="19"/>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C24" s="77"/>
    </row>
    <row r="25" spans="2:62" x14ac:dyDescent="0.25">
      <c r="B25" s="937"/>
      <c r="C25" s="370" t="s">
        <v>812</v>
      </c>
      <c r="D25" t="s">
        <v>47</v>
      </c>
      <c r="E25" s="907">
        <v>48900</v>
      </c>
      <c r="F25" s="400"/>
      <c r="G25" s="385"/>
      <c r="H25" s="394"/>
      <c r="I25" s="395"/>
      <c r="J25" s="394"/>
      <c r="K25" s="394"/>
      <c r="L25" s="76"/>
      <c r="M25" s="19"/>
      <c r="N25" s="19"/>
      <c r="O25" s="19"/>
      <c r="P25" s="19"/>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B25" s="2"/>
      <c r="BC25" s="77"/>
    </row>
    <row r="26" spans="2:62" x14ac:dyDescent="0.25">
      <c r="B26" s="937"/>
      <c r="C26" s="370" t="s">
        <v>813</v>
      </c>
      <c r="D26" t="s">
        <v>48</v>
      </c>
      <c r="E26" s="907">
        <v>155045</v>
      </c>
      <c r="F26" s="400"/>
      <c r="G26" s="386"/>
      <c r="H26" s="394"/>
      <c r="I26" s="395"/>
      <c r="J26" s="394"/>
      <c r="K26" s="394"/>
      <c r="L26" s="76"/>
      <c r="M26" s="19"/>
      <c r="N26" s="19"/>
      <c r="O26" s="19"/>
      <c r="P26" s="19"/>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C26" s="77"/>
    </row>
    <row r="27" spans="2:62" x14ac:dyDescent="0.25">
      <c r="B27" s="937"/>
      <c r="C27" s="370"/>
      <c r="D27" t="s">
        <v>50</v>
      </c>
      <c r="E27" s="909">
        <v>750000</v>
      </c>
      <c r="F27" s="925"/>
      <c r="G27" s="386"/>
      <c r="H27" s="394"/>
      <c r="I27" s="395"/>
      <c r="J27" s="394"/>
      <c r="K27" s="394"/>
      <c r="L27" s="76"/>
      <c r="M27" s="19"/>
      <c r="N27" s="19"/>
      <c r="O27" s="19"/>
      <c r="P27" s="19"/>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C27" s="77"/>
    </row>
    <row r="28" spans="2:62" x14ac:dyDescent="0.25">
      <c r="B28" s="937"/>
      <c r="C28" s="370" t="s">
        <v>814</v>
      </c>
      <c r="D28" t="s">
        <v>51</v>
      </c>
      <c r="E28" s="907">
        <v>25250</v>
      </c>
      <c r="F28" s="400"/>
      <c r="G28" s="386"/>
      <c r="H28" s="394"/>
      <c r="I28" s="395"/>
      <c r="J28" s="394"/>
      <c r="K28" s="394"/>
      <c r="L28" s="76"/>
      <c r="M28" s="19"/>
      <c r="N28" s="19"/>
      <c r="O28" s="19"/>
      <c r="P28" s="19"/>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5"/>
      <c r="BD28" s="2"/>
    </row>
    <row r="29" spans="2:62" x14ac:dyDescent="0.25">
      <c r="B29" s="937"/>
      <c r="C29" s="370"/>
      <c r="D29" t="s">
        <v>52</v>
      </c>
      <c r="E29" s="909">
        <v>5905.35</v>
      </c>
      <c r="F29" s="925"/>
      <c r="G29" s="386"/>
      <c r="H29" s="394"/>
      <c r="I29" s="395"/>
      <c r="J29" s="394"/>
      <c r="K29" s="394"/>
      <c r="L29" s="76"/>
      <c r="M29" s="19"/>
      <c r="N29" s="19"/>
      <c r="O29" s="19"/>
      <c r="P29" s="19"/>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C29" s="77"/>
    </row>
    <row r="30" spans="2:62" x14ac:dyDescent="0.25">
      <c r="B30" s="937"/>
      <c r="C30" s="370" t="s">
        <v>815</v>
      </c>
      <c r="D30" t="s">
        <v>53</v>
      </c>
      <c r="E30" s="910">
        <v>18000</v>
      </c>
      <c r="F30" s="926"/>
      <c r="G30" s="386"/>
      <c r="H30" s="394"/>
      <c r="I30" s="395"/>
      <c r="J30" s="394"/>
      <c r="K30" s="394"/>
      <c r="L30" s="76"/>
      <c r="M30" s="19"/>
      <c r="N30" s="19"/>
      <c r="O30" s="19"/>
      <c r="P30" s="19"/>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C30" s="77"/>
    </row>
    <row r="31" spans="2:62" ht="30" x14ac:dyDescent="0.25">
      <c r="B31" s="937"/>
      <c r="C31" s="370" t="s">
        <v>812</v>
      </c>
      <c r="D31" t="s">
        <v>54</v>
      </c>
      <c r="E31" s="911" t="s">
        <v>816</v>
      </c>
      <c r="F31" s="927"/>
      <c r="G31" s="386"/>
      <c r="H31" s="394"/>
      <c r="I31" s="395"/>
      <c r="J31" s="394"/>
      <c r="K31" s="394"/>
      <c r="L31" s="76"/>
      <c r="M31" s="19"/>
      <c r="N31" s="19"/>
      <c r="O31" s="19"/>
      <c r="P31" s="19"/>
      <c r="Q31" s="2"/>
      <c r="R31" s="2"/>
      <c r="S31" s="2"/>
      <c r="T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C31" s="77"/>
    </row>
    <row r="32" spans="2:62" ht="30" x14ac:dyDescent="0.25">
      <c r="B32" s="937"/>
      <c r="C32" s="370" t="s">
        <v>812</v>
      </c>
      <c r="D32" t="s">
        <v>55</v>
      </c>
      <c r="E32" s="911" t="s">
        <v>816</v>
      </c>
      <c r="F32" s="927"/>
      <c r="G32" s="398" t="s">
        <v>817</v>
      </c>
      <c r="H32" s="394"/>
      <c r="I32" s="395"/>
      <c r="J32" s="394"/>
      <c r="K32" s="394"/>
      <c r="L32" s="76"/>
      <c r="M32" s="19"/>
      <c r="N32" s="19"/>
      <c r="O32" s="19"/>
      <c r="P32" s="19"/>
      <c r="Q32" s="2"/>
      <c r="R32" s="2"/>
      <c r="S32" s="2"/>
      <c r="T32" s="2"/>
      <c r="V32" s="2"/>
      <c r="W32" s="2"/>
      <c r="X32" s="2"/>
      <c r="Y32" s="2"/>
      <c r="Z32" s="2"/>
      <c r="AA32" s="2"/>
      <c r="AB32" s="2"/>
      <c r="AC32" s="2"/>
      <c r="AD32" s="2"/>
      <c r="AE32" s="2"/>
      <c r="AF32" s="2"/>
      <c r="AG32" s="2"/>
      <c r="AH32" s="2"/>
      <c r="AI32" s="2"/>
      <c r="AJ32" s="2"/>
      <c r="AK32" s="2"/>
      <c r="AL32" s="2"/>
      <c r="AM32" s="2"/>
      <c r="AN32" s="2"/>
      <c r="AO32" s="2"/>
      <c r="AQ32" s="2"/>
      <c r="AR32" s="2"/>
      <c r="AS32" s="2"/>
      <c r="AT32" s="2"/>
      <c r="AU32" s="2"/>
      <c r="AV32" s="2"/>
      <c r="AW32" s="2"/>
      <c r="AX32" s="2"/>
      <c r="AY32" s="2"/>
      <c r="AZ32" s="2"/>
      <c r="BC32" s="77"/>
    </row>
    <row r="33" spans="2:62" x14ac:dyDescent="0.25">
      <c r="B33" s="937"/>
      <c r="C33" s="370" t="s">
        <v>391</v>
      </c>
      <c r="D33" t="s">
        <v>818</v>
      </c>
      <c r="E33" s="907">
        <v>186980</v>
      </c>
      <c r="F33" s="400"/>
      <c r="G33" s="386"/>
      <c r="H33" s="394"/>
      <c r="I33" s="395"/>
      <c r="J33" s="394"/>
      <c r="K33" s="394"/>
      <c r="L33" s="76"/>
      <c r="M33" s="19"/>
      <c r="N33" s="19"/>
      <c r="O33" s="19"/>
      <c r="P33" s="19"/>
      <c r="Q33" s="2"/>
      <c r="R33" s="2"/>
      <c r="S33" s="2"/>
      <c r="T33" s="2"/>
      <c r="U33" s="2"/>
      <c r="V33" s="2"/>
      <c r="W33" s="2"/>
      <c r="X33" s="2"/>
      <c r="Y33" s="2"/>
      <c r="Z33" s="2"/>
      <c r="AA33" s="2"/>
      <c r="AB33" s="2"/>
      <c r="AC33" s="2"/>
      <c r="AD33" s="2"/>
      <c r="AE33" s="2"/>
      <c r="AF33" s="2"/>
      <c r="AG33" s="2"/>
      <c r="AH33" s="2"/>
      <c r="AI33" s="2"/>
      <c r="AJ33" s="2"/>
      <c r="AK33" s="2"/>
      <c r="AL33" s="2"/>
      <c r="AM33" s="2"/>
      <c r="AN33" s="2"/>
      <c r="AO33" s="2"/>
      <c r="AQ33" s="2"/>
      <c r="AR33" s="2"/>
      <c r="AS33" s="2"/>
      <c r="AT33" s="2"/>
      <c r="AU33" s="2"/>
      <c r="AV33" s="2"/>
      <c r="AW33" s="2"/>
      <c r="AX33" s="2"/>
      <c r="AY33" s="2"/>
      <c r="AZ33" s="2"/>
      <c r="BA33" s="2"/>
      <c r="BB33" s="2"/>
      <c r="BC33" s="2"/>
    </row>
    <row r="34" spans="2:62" x14ac:dyDescent="0.25">
      <c r="B34" s="937"/>
      <c r="C34" s="370"/>
      <c r="D34" t="s">
        <v>819</v>
      </c>
      <c r="E34" s="907">
        <v>12450</v>
      </c>
      <c r="F34" s="400"/>
      <c r="G34" s="386"/>
      <c r="H34" s="394"/>
      <c r="I34" s="395"/>
      <c r="J34" s="394"/>
      <c r="K34" s="394"/>
      <c r="L34" s="76"/>
      <c r="M34" s="19"/>
      <c r="N34" s="19"/>
      <c r="O34" s="19"/>
      <c r="P34" s="19"/>
      <c r="Q34" s="2"/>
      <c r="R34" s="2"/>
      <c r="S34" s="2"/>
      <c r="T34" s="2"/>
      <c r="U34" s="2"/>
      <c r="V34" s="2"/>
      <c r="W34" s="2"/>
      <c r="X34" s="2"/>
      <c r="Y34" s="2"/>
      <c r="Z34" s="2"/>
      <c r="AA34" s="2"/>
      <c r="AB34" s="2"/>
      <c r="AC34" s="2"/>
      <c r="AD34" s="2"/>
      <c r="AE34" s="2"/>
      <c r="AF34" s="2"/>
      <c r="AG34" s="2"/>
      <c r="AH34" s="2"/>
      <c r="AI34" s="2"/>
      <c r="AJ34" s="2"/>
      <c r="AK34" s="2"/>
      <c r="AL34" s="2"/>
      <c r="AM34" s="2"/>
      <c r="AN34" s="2"/>
      <c r="AO34" s="2"/>
      <c r="AQ34" s="2"/>
      <c r="AR34" s="2"/>
      <c r="AS34" s="2"/>
      <c r="AT34" s="2"/>
      <c r="AU34" s="2"/>
      <c r="AV34" s="2"/>
      <c r="AW34" s="2"/>
      <c r="AX34" s="2"/>
      <c r="AY34" s="2"/>
      <c r="AZ34" s="2"/>
      <c r="BA34" s="2"/>
      <c r="BB34" s="2"/>
      <c r="BC34" s="2"/>
    </row>
    <row r="35" spans="2:62" x14ac:dyDescent="0.25">
      <c r="B35" s="937"/>
      <c r="C35" s="370" t="s">
        <v>820</v>
      </c>
      <c r="D35" t="s">
        <v>46</v>
      </c>
      <c r="E35" s="907">
        <v>73605</v>
      </c>
      <c r="F35" s="400"/>
      <c r="G35" s="386"/>
      <c r="H35" s="394"/>
      <c r="I35" s="395"/>
      <c r="J35" s="394"/>
      <c r="K35" s="394"/>
      <c r="L35" s="76"/>
      <c r="M35" s="19"/>
      <c r="N35" s="19"/>
      <c r="O35" s="19"/>
      <c r="P35" s="19"/>
      <c r="Q35" s="2"/>
      <c r="R35" s="2"/>
      <c r="S35" s="2"/>
      <c r="T35" s="2"/>
      <c r="U35" s="2"/>
      <c r="V35" s="2"/>
      <c r="W35" s="2"/>
      <c r="X35" s="2"/>
      <c r="Y35" s="2"/>
      <c r="Z35" s="2"/>
      <c r="AA35" s="2"/>
      <c r="AB35" s="2"/>
      <c r="AC35" s="2"/>
      <c r="AD35" s="2"/>
      <c r="AE35" s="2"/>
      <c r="AF35" s="2"/>
      <c r="AG35" s="2"/>
      <c r="AH35" s="2"/>
      <c r="AI35" s="2"/>
      <c r="AJ35" s="2"/>
      <c r="AK35" s="2"/>
      <c r="AL35" s="2"/>
      <c r="AM35" s="2"/>
      <c r="AN35" s="2"/>
      <c r="AO35" s="2"/>
      <c r="AQ35" s="2"/>
      <c r="AR35" s="2"/>
      <c r="AS35" s="2"/>
      <c r="AT35" s="2"/>
      <c r="AU35" s="2"/>
      <c r="AV35" s="2"/>
      <c r="AW35" s="2"/>
      <c r="AX35" s="2"/>
      <c r="AY35" s="2"/>
      <c r="AZ35" s="2"/>
      <c r="BA35" s="2"/>
      <c r="BB35" s="2"/>
      <c r="BC35" s="2"/>
    </row>
    <row r="36" spans="2:62" x14ac:dyDescent="0.25">
      <c r="B36" s="937"/>
      <c r="C36" s="370" t="s">
        <v>821</v>
      </c>
      <c r="D36" t="s">
        <v>822</v>
      </c>
      <c r="E36" s="907">
        <v>192780</v>
      </c>
      <c r="F36" s="400"/>
      <c r="G36" s="386"/>
      <c r="H36" s="394"/>
      <c r="I36" s="395"/>
      <c r="J36" s="394"/>
      <c r="K36" s="394"/>
      <c r="L36" s="76"/>
      <c r="M36" s="19"/>
      <c r="N36" s="19"/>
      <c r="O36" s="19"/>
      <c r="P36" s="19"/>
      <c r="Q36" s="2"/>
      <c r="R36" s="2"/>
      <c r="S36" s="2"/>
      <c r="T36" s="2"/>
      <c r="U36" s="2"/>
      <c r="V36" s="2"/>
      <c r="W36" s="2"/>
      <c r="X36" s="2"/>
      <c r="Y36" s="2"/>
      <c r="Z36" s="2"/>
      <c r="AA36" s="2"/>
      <c r="AB36" s="2"/>
      <c r="AC36" s="2"/>
      <c r="AD36" s="2"/>
      <c r="AE36" s="2"/>
      <c r="AF36" s="2"/>
      <c r="AG36" s="2"/>
      <c r="AH36" s="2"/>
      <c r="AI36" s="2"/>
      <c r="AJ36" s="2"/>
      <c r="AK36" s="2"/>
      <c r="AL36" s="2"/>
      <c r="AM36" s="2"/>
      <c r="AN36" s="2"/>
      <c r="AO36" s="2"/>
      <c r="AQ36" s="2"/>
      <c r="AR36" s="2"/>
      <c r="AS36" s="2"/>
      <c r="AT36" s="2"/>
      <c r="AU36" s="2"/>
      <c r="AV36" s="2"/>
      <c r="AW36" s="2"/>
      <c r="AX36" s="2"/>
      <c r="AY36" s="2"/>
      <c r="AZ36" s="2"/>
      <c r="BC36" s="77"/>
    </row>
    <row r="37" spans="2:62" x14ac:dyDescent="0.25">
      <c r="B37" s="937"/>
      <c r="C37" s="370" t="s">
        <v>821</v>
      </c>
      <c r="D37" t="s">
        <v>823</v>
      </c>
      <c r="E37" s="910">
        <v>94395</v>
      </c>
      <c r="F37" s="926"/>
      <c r="G37" s="386"/>
      <c r="H37" s="394"/>
      <c r="I37" s="395"/>
      <c r="J37" s="394"/>
      <c r="K37" s="394"/>
      <c r="L37" s="76"/>
      <c r="M37" s="19"/>
      <c r="N37" s="19"/>
      <c r="O37" s="19"/>
      <c r="P37" s="19"/>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5"/>
      <c r="BD37" s="2"/>
      <c r="BE37" s="2"/>
      <c r="BF37" s="2"/>
      <c r="BG37" s="2"/>
      <c r="BI37" s="2"/>
      <c r="BJ37" s="2"/>
    </row>
    <row r="38" spans="2:62" x14ac:dyDescent="0.25">
      <c r="B38" s="937"/>
      <c r="C38" s="370" t="s">
        <v>812</v>
      </c>
      <c r="D38" t="s">
        <v>824</v>
      </c>
      <c r="E38" s="910">
        <v>75000</v>
      </c>
      <c r="F38" s="926"/>
      <c r="G38" s="386"/>
      <c r="H38" s="394"/>
      <c r="I38" s="395"/>
      <c r="J38" s="394"/>
      <c r="K38" s="394"/>
      <c r="L38" s="76"/>
      <c r="M38" s="19"/>
      <c r="N38" s="19"/>
      <c r="O38" s="19"/>
      <c r="P38" s="19"/>
      <c r="Q38" s="2"/>
      <c r="R38" s="2"/>
      <c r="S38" s="2"/>
      <c r="T38" s="2"/>
      <c r="U38" s="2"/>
      <c r="V38" s="2"/>
      <c r="W38" s="2"/>
      <c r="X38" s="2"/>
      <c r="Y38" s="2"/>
      <c r="Z38" s="2"/>
      <c r="AA38" s="2"/>
      <c r="AB38" s="2"/>
      <c r="AC38" s="2"/>
      <c r="AD38" s="2"/>
      <c r="AE38" s="2"/>
      <c r="AF38" s="2"/>
      <c r="AG38" s="2"/>
      <c r="AH38" s="2"/>
      <c r="AI38" s="2"/>
      <c r="AJ38" s="2"/>
      <c r="AK38" s="2"/>
      <c r="AL38" s="2"/>
      <c r="AM38" s="2"/>
      <c r="AN38" s="2"/>
      <c r="AO38" s="2"/>
      <c r="AQ38" s="2"/>
      <c r="AR38" s="2"/>
      <c r="AS38" s="2"/>
      <c r="AT38" s="2"/>
      <c r="AU38" s="2"/>
      <c r="AV38" s="2"/>
      <c r="AW38" s="2"/>
      <c r="AX38" s="2"/>
      <c r="AY38" s="2"/>
      <c r="AZ38" s="2"/>
      <c r="BA38" s="2"/>
      <c r="BC38" s="77"/>
    </row>
    <row r="39" spans="2:62" x14ac:dyDescent="0.25">
      <c r="B39" s="937"/>
      <c r="C39" s="370" t="s">
        <v>821</v>
      </c>
      <c r="D39" t="s">
        <v>825</v>
      </c>
      <c r="E39" s="910">
        <v>27720</v>
      </c>
      <c r="F39" s="926"/>
      <c r="G39" s="386"/>
      <c r="H39" s="394"/>
      <c r="I39" s="395"/>
      <c r="J39" s="394"/>
      <c r="K39" s="394"/>
      <c r="L39" s="76"/>
      <c r="M39" s="19"/>
      <c r="N39" s="19"/>
      <c r="O39" s="19"/>
      <c r="P39" s="19"/>
      <c r="Q39" s="2"/>
      <c r="R39" s="2"/>
      <c r="S39" s="2"/>
      <c r="T39" s="2"/>
      <c r="U39" s="2"/>
      <c r="V39" s="2"/>
      <c r="W39" s="2"/>
      <c r="X39" s="2"/>
      <c r="Y39" s="2"/>
      <c r="Z39" s="2"/>
      <c r="AA39" s="2"/>
      <c r="AB39" s="2"/>
      <c r="AC39" s="2"/>
      <c r="AD39" s="2"/>
      <c r="AE39" s="2"/>
      <c r="AF39" s="2"/>
      <c r="AG39" s="2"/>
      <c r="AH39" s="2"/>
      <c r="AI39" s="2"/>
      <c r="AJ39" s="2"/>
      <c r="AK39" s="2"/>
      <c r="AL39" s="2"/>
      <c r="AM39" s="2"/>
      <c r="AN39" s="2"/>
      <c r="AO39" s="2"/>
      <c r="AQ39" s="2"/>
      <c r="AR39" s="2"/>
      <c r="AS39" s="2"/>
      <c r="AT39" s="2"/>
      <c r="AU39" s="2"/>
      <c r="AV39" s="2"/>
      <c r="AW39" s="2"/>
      <c r="AX39" s="2"/>
      <c r="AY39" s="2"/>
      <c r="AZ39" s="2"/>
      <c r="BA39" s="2"/>
      <c r="BC39" s="77"/>
    </row>
    <row r="40" spans="2:62" x14ac:dyDescent="0.25">
      <c r="B40" s="937"/>
      <c r="C40" s="370" t="s">
        <v>821</v>
      </c>
      <c r="D40" t="s">
        <v>826</v>
      </c>
      <c r="E40" s="910">
        <v>23415</v>
      </c>
      <c r="F40" s="926"/>
      <c r="G40" s="386"/>
      <c r="H40" s="394"/>
      <c r="I40" s="395"/>
      <c r="J40" s="394"/>
      <c r="K40" s="394"/>
      <c r="L40" s="76"/>
      <c r="M40" s="19"/>
      <c r="N40" s="19"/>
      <c r="O40" s="19"/>
      <c r="P40" s="19"/>
      <c r="Q40" s="2"/>
      <c r="R40" s="2"/>
      <c r="S40" s="2"/>
      <c r="T40" s="2"/>
      <c r="U40" s="2"/>
      <c r="V40" s="2"/>
      <c r="W40" s="2"/>
      <c r="X40" s="2"/>
      <c r="Y40" s="2"/>
      <c r="Z40" s="2"/>
      <c r="AA40" s="2"/>
      <c r="AB40" s="2"/>
      <c r="AC40" s="2"/>
      <c r="AD40" s="2"/>
      <c r="AE40" s="2"/>
      <c r="AF40" s="2"/>
      <c r="AG40" s="2"/>
      <c r="AH40" s="2"/>
      <c r="AI40" s="2"/>
      <c r="AJ40" s="2"/>
      <c r="AK40" s="2"/>
      <c r="AL40" s="2"/>
      <c r="AM40" s="2"/>
      <c r="AN40" s="2"/>
      <c r="AO40" s="2"/>
      <c r="AQ40" s="2"/>
      <c r="AR40" s="2"/>
      <c r="AS40" s="2"/>
      <c r="AT40" s="2"/>
      <c r="AU40" s="2"/>
      <c r="AV40" s="2"/>
      <c r="AW40" s="2"/>
      <c r="AX40" s="2"/>
      <c r="AY40" s="2"/>
      <c r="AZ40" s="2"/>
      <c r="BA40" s="2"/>
      <c r="BC40" s="77"/>
    </row>
    <row r="41" spans="2:62" x14ac:dyDescent="0.25">
      <c r="B41" s="937"/>
      <c r="C41" s="370" t="s">
        <v>814</v>
      </c>
      <c r="D41" t="s">
        <v>60</v>
      </c>
      <c r="E41" s="910">
        <v>21300</v>
      </c>
      <c r="F41" s="926"/>
      <c r="G41" s="386"/>
      <c r="H41" s="394"/>
      <c r="I41" s="395"/>
      <c r="J41" s="394"/>
      <c r="K41" s="394"/>
      <c r="L41" s="76"/>
      <c r="M41" s="19"/>
      <c r="N41" s="19"/>
      <c r="O41" s="19"/>
      <c r="P41" s="19"/>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77"/>
      <c r="BE41" s="2"/>
    </row>
    <row r="42" spans="2:62" x14ac:dyDescent="0.25">
      <c r="B42" s="937"/>
      <c r="C42" s="370" t="s">
        <v>827</v>
      </c>
      <c r="D42" t="s">
        <v>828</v>
      </c>
      <c r="E42" s="907">
        <v>136780</v>
      </c>
      <c r="F42" s="400"/>
      <c r="G42" s="386"/>
      <c r="H42" s="394"/>
      <c r="I42" s="395"/>
      <c r="J42" s="394"/>
      <c r="K42" s="394"/>
      <c r="L42" s="76"/>
      <c r="M42" s="19"/>
      <c r="N42" s="19"/>
      <c r="O42" s="19"/>
      <c r="P42" s="19"/>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77"/>
      <c r="BE42" s="2"/>
    </row>
    <row r="43" spans="2:62" x14ac:dyDescent="0.25">
      <c r="B43" s="937"/>
      <c r="C43" s="370" t="s">
        <v>568</v>
      </c>
      <c r="D43" t="s">
        <v>63</v>
      </c>
      <c r="E43" s="912">
        <v>0</v>
      </c>
      <c r="F43" s="928"/>
      <c r="G43" s="334"/>
      <c r="H43" s="19"/>
      <c r="I43" s="2"/>
      <c r="J43" s="2"/>
      <c r="K43" s="2"/>
      <c r="L43" s="19"/>
      <c r="M43" s="19"/>
      <c r="N43" s="19"/>
      <c r="O43" s="19"/>
      <c r="P43" s="19"/>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C43" s="77"/>
    </row>
    <row r="44" spans="2:62" x14ac:dyDescent="0.25">
      <c r="B44" s="937"/>
      <c r="C44" s="370" t="s">
        <v>497</v>
      </c>
      <c r="D44" t="s">
        <v>64</v>
      </c>
      <c r="E44" s="902">
        <v>52445</v>
      </c>
      <c r="F44" s="921"/>
      <c r="G44" s="334"/>
      <c r="H44" s="19"/>
      <c r="I44" s="2"/>
      <c r="J44" s="2"/>
      <c r="K44" s="2"/>
      <c r="L44" s="19"/>
      <c r="M44" s="19"/>
      <c r="N44" s="19"/>
      <c r="O44" s="19"/>
      <c r="P44" s="19"/>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C44" s="77"/>
    </row>
    <row r="45" spans="2:62" x14ac:dyDescent="0.25">
      <c r="B45" s="937"/>
      <c r="C45" s="370"/>
      <c r="D45" t="s">
        <v>829</v>
      </c>
      <c r="E45" s="902">
        <v>6500</v>
      </c>
      <c r="F45" s="921"/>
      <c r="G45" s="334"/>
      <c r="H45" s="19"/>
      <c r="I45" s="2"/>
      <c r="J45" s="2"/>
      <c r="K45" s="2"/>
      <c r="L45" s="19"/>
      <c r="M45" s="19"/>
      <c r="N45" s="19"/>
      <c r="O45" s="19"/>
      <c r="P45" s="19"/>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C45" s="77"/>
    </row>
    <row r="46" spans="2:62" x14ac:dyDescent="0.25">
      <c r="B46" s="937"/>
      <c r="C46" s="370"/>
      <c r="D46" t="s">
        <v>830</v>
      </c>
      <c r="E46" s="902">
        <v>6500</v>
      </c>
      <c r="F46" s="921"/>
      <c r="G46" s="334"/>
      <c r="H46" s="19"/>
      <c r="I46" s="2"/>
      <c r="J46" s="2"/>
      <c r="K46" s="2"/>
      <c r="L46" s="19"/>
      <c r="M46" s="19"/>
      <c r="N46" s="19"/>
      <c r="O46" s="19"/>
      <c r="P46" s="19"/>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C46" s="77"/>
    </row>
    <row r="47" spans="2:62" x14ac:dyDescent="0.25">
      <c r="B47" s="937"/>
      <c r="C47" s="370"/>
      <c r="D47" t="s">
        <v>831</v>
      </c>
      <c r="E47" s="902">
        <v>6500</v>
      </c>
      <c r="F47" s="921"/>
      <c r="G47" s="334"/>
      <c r="H47" s="19"/>
      <c r="I47" s="2"/>
      <c r="J47" s="2"/>
      <c r="K47" s="2"/>
      <c r="L47" s="19"/>
      <c r="M47" s="19"/>
      <c r="N47" s="19"/>
      <c r="O47" s="19"/>
      <c r="P47" s="19"/>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C47" s="77"/>
    </row>
    <row r="48" spans="2:62" x14ac:dyDescent="0.25">
      <c r="B48" s="937"/>
      <c r="C48" s="370" t="s">
        <v>832</v>
      </c>
      <c r="D48" t="s">
        <v>65</v>
      </c>
      <c r="E48" s="902">
        <v>450000</v>
      </c>
      <c r="F48" s="921"/>
      <c r="G48" s="334"/>
      <c r="H48" s="19"/>
      <c r="I48" s="2"/>
      <c r="J48" s="2"/>
      <c r="K48" s="2"/>
      <c r="L48" s="19"/>
      <c r="M48" s="19"/>
      <c r="N48" s="19"/>
      <c r="O48" s="19"/>
      <c r="P48" s="19"/>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C48" s="77"/>
    </row>
    <row r="49" spans="2:57" x14ac:dyDescent="0.25">
      <c r="B49" s="937"/>
      <c r="C49" s="370"/>
      <c r="D49" t="s">
        <v>66</v>
      </c>
      <c r="E49" s="902">
        <v>100000</v>
      </c>
      <c r="F49" s="921"/>
      <c r="G49" s="334"/>
      <c r="H49" s="19"/>
      <c r="I49" s="2"/>
      <c r="J49" s="2"/>
      <c r="K49" s="2"/>
      <c r="L49" s="19"/>
      <c r="M49" s="19"/>
      <c r="N49" s="19"/>
      <c r="O49" s="19"/>
      <c r="P49" s="19"/>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S49" s="2"/>
      <c r="AT49" s="2"/>
      <c r="AU49" s="2"/>
      <c r="AV49" s="2"/>
      <c r="AW49" s="2"/>
      <c r="AX49" s="2"/>
      <c r="AY49" s="2"/>
      <c r="AZ49" s="2"/>
      <c r="BA49" s="2"/>
      <c r="BB49" s="2"/>
      <c r="BC49" s="5"/>
      <c r="BD49" s="2"/>
      <c r="BE49" s="2"/>
    </row>
    <row r="50" spans="2:57" x14ac:dyDescent="0.25">
      <c r="B50" s="937"/>
      <c r="C50" s="370" t="s">
        <v>833</v>
      </c>
      <c r="D50" t="s">
        <v>67</v>
      </c>
      <c r="E50" s="902">
        <v>343000</v>
      </c>
      <c r="F50" s="921"/>
      <c r="G50" s="334"/>
      <c r="H50" s="19"/>
      <c r="I50" s="2"/>
      <c r="J50" s="2"/>
      <c r="K50" s="2"/>
      <c r="L50" s="19"/>
      <c r="M50" s="19"/>
      <c r="N50" s="19"/>
      <c r="O50" s="19"/>
      <c r="P50" s="19"/>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5"/>
    </row>
    <row r="51" spans="2:57" x14ac:dyDescent="0.25">
      <c r="B51" s="937"/>
      <c r="C51" s="370" t="s">
        <v>834</v>
      </c>
      <c r="D51" t="s">
        <v>68</v>
      </c>
      <c r="E51" s="913">
        <v>5500</v>
      </c>
      <c r="F51" s="921"/>
      <c r="G51" s="334"/>
      <c r="H51" s="19"/>
      <c r="I51" s="2"/>
      <c r="J51" s="2"/>
      <c r="K51" s="2"/>
      <c r="L51" s="19"/>
      <c r="M51" s="19"/>
      <c r="N51" s="19"/>
      <c r="O51" s="19"/>
      <c r="P51" s="19"/>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B51" s="2"/>
      <c r="BC51" s="77"/>
    </row>
    <row r="52" spans="2:57" x14ac:dyDescent="0.25">
      <c r="B52" s="937"/>
      <c r="C52" s="370"/>
      <c r="D52" t="s">
        <v>516</v>
      </c>
      <c r="E52" s="902">
        <v>0</v>
      </c>
      <c r="F52" s="921"/>
      <c r="G52" s="334"/>
      <c r="H52" s="19"/>
      <c r="I52" s="2"/>
      <c r="J52" s="2"/>
      <c r="K52" s="2"/>
      <c r="L52" s="19"/>
      <c r="M52" s="19"/>
      <c r="N52" s="19"/>
      <c r="O52" s="19"/>
      <c r="P52" s="19"/>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C52" s="77"/>
    </row>
    <row r="53" spans="2:57" x14ac:dyDescent="0.25">
      <c r="B53" s="937"/>
      <c r="C53" s="370"/>
      <c r="D53" t="s">
        <v>72</v>
      </c>
      <c r="E53" s="913">
        <v>3995</v>
      </c>
      <c r="F53" s="921"/>
      <c r="G53" s="334"/>
      <c r="H53" s="19"/>
      <c r="I53" s="2"/>
      <c r="J53" s="2"/>
      <c r="K53" s="2"/>
      <c r="L53" s="19"/>
      <c r="M53" s="19"/>
      <c r="N53" s="19"/>
      <c r="O53" s="19"/>
      <c r="P53" s="19"/>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C53" s="77"/>
    </row>
    <row r="54" spans="2:57" x14ac:dyDescent="0.25">
      <c r="B54" s="937"/>
      <c r="C54" s="370"/>
      <c r="D54" t="s">
        <v>73</v>
      </c>
      <c r="E54" s="913">
        <v>18031.27</v>
      </c>
      <c r="F54" s="921"/>
      <c r="G54" s="334"/>
      <c r="H54" s="19"/>
      <c r="I54" s="2"/>
      <c r="J54" s="2"/>
      <c r="K54" s="2"/>
      <c r="L54" s="19"/>
      <c r="M54" s="19"/>
      <c r="N54" s="19"/>
      <c r="O54" s="19"/>
      <c r="P54" s="19"/>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C54" s="77"/>
    </row>
    <row r="55" spans="2:57" x14ac:dyDescent="0.25">
      <c r="B55" s="937"/>
      <c r="C55" s="370" t="s">
        <v>835</v>
      </c>
      <c r="D55" t="s">
        <v>76</v>
      </c>
      <c r="E55" s="913">
        <v>5461.79</v>
      </c>
      <c r="F55" s="921"/>
      <c r="G55" s="334"/>
      <c r="H55" s="19"/>
      <c r="I55" s="19"/>
      <c r="J55" s="19"/>
      <c r="K55" s="67"/>
      <c r="L55" s="67"/>
      <c r="M55" s="19"/>
      <c r="N55" s="67"/>
      <c r="O55" s="67"/>
      <c r="P55" s="19"/>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C55" s="5"/>
    </row>
    <row r="56" spans="2:57" x14ac:dyDescent="0.25">
      <c r="B56" s="937"/>
      <c r="C56" s="370" t="s">
        <v>836</v>
      </c>
      <c r="D56" t="s">
        <v>78</v>
      </c>
      <c r="E56" s="913">
        <v>4300</v>
      </c>
      <c r="F56" s="921"/>
      <c r="G56" s="334"/>
      <c r="H56" s="19"/>
      <c r="I56" s="2"/>
      <c r="J56" s="2"/>
      <c r="K56" s="2"/>
      <c r="L56" s="19"/>
      <c r="M56" s="19"/>
      <c r="N56" s="19"/>
      <c r="O56" s="19"/>
      <c r="P56" s="19"/>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C56" s="77"/>
    </row>
    <row r="57" spans="2:57" x14ac:dyDescent="0.25">
      <c r="B57" s="937"/>
      <c r="C57" s="370"/>
      <c r="D57" t="s">
        <v>80</v>
      </c>
      <c r="E57" s="902">
        <v>30000</v>
      </c>
      <c r="F57" s="921"/>
      <c r="G57" s="334"/>
      <c r="H57" s="19"/>
      <c r="I57" s="2"/>
      <c r="J57" s="2"/>
      <c r="K57" s="2"/>
      <c r="L57" s="19"/>
      <c r="M57" s="19"/>
      <c r="N57" s="19"/>
      <c r="O57" s="19"/>
      <c r="P57" s="19"/>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C57" s="77"/>
    </row>
    <row r="58" spans="2:57" x14ac:dyDescent="0.25">
      <c r="B58" s="937"/>
      <c r="C58" s="370"/>
      <c r="D58" t="s">
        <v>81</v>
      </c>
      <c r="E58" s="902">
        <v>30000</v>
      </c>
      <c r="F58" s="921"/>
      <c r="G58" s="334"/>
      <c r="H58" s="19"/>
      <c r="I58" s="2"/>
      <c r="J58" s="2"/>
      <c r="K58" s="2"/>
      <c r="L58" s="19"/>
      <c r="M58" s="19"/>
      <c r="N58" s="19"/>
      <c r="O58" s="19"/>
      <c r="P58" s="19"/>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V58" s="2"/>
      <c r="AW58" s="2"/>
      <c r="AX58" s="2"/>
      <c r="AY58" s="2"/>
      <c r="AZ58" s="2"/>
      <c r="BC58" s="77"/>
    </row>
    <row r="59" spans="2:57" ht="30" x14ac:dyDescent="0.25">
      <c r="B59" s="937"/>
      <c r="C59" s="370"/>
      <c r="D59" s="85" t="s">
        <v>786</v>
      </c>
      <c r="E59" s="902">
        <v>50000</v>
      </c>
      <c r="F59" s="921"/>
      <c r="G59" s="334"/>
      <c r="H59" s="19"/>
      <c r="I59" s="2"/>
      <c r="J59" s="2"/>
      <c r="K59" s="2"/>
      <c r="L59" s="19"/>
      <c r="M59" s="19"/>
      <c r="N59" s="19"/>
      <c r="O59" s="19"/>
      <c r="P59" s="19"/>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C59" s="77"/>
    </row>
    <row r="60" spans="2:57" x14ac:dyDescent="0.25">
      <c r="B60" s="937"/>
      <c r="C60" s="370"/>
      <c r="D60" t="s">
        <v>787</v>
      </c>
      <c r="E60" s="902">
        <v>75000</v>
      </c>
      <c r="F60" s="921"/>
      <c r="G60" s="334"/>
      <c r="H60" s="19"/>
      <c r="I60" s="19"/>
      <c r="J60" s="19"/>
      <c r="K60" s="2"/>
      <c r="L60" s="19"/>
      <c r="M60" s="19"/>
      <c r="N60" s="19"/>
      <c r="O60" s="19"/>
      <c r="P60" s="19"/>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C60" s="5"/>
    </row>
    <row r="61" spans="2:57" ht="45" x14ac:dyDescent="0.25">
      <c r="B61" s="937"/>
      <c r="C61" s="370" t="s">
        <v>837</v>
      </c>
      <c r="D61" s="85" t="s">
        <v>838</v>
      </c>
      <c r="E61" s="913">
        <v>50000</v>
      </c>
      <c r="F61" s="921"/>
      <c r="G61" s="334"/>
      <c r="H61" s="19"/>
      <c r="I61" s="19"/>
      <c r="J61" s="19"/>
      <c r="K61" s="2"/>
      <c r="L61" s="19"/>
      <c r="M61" s="19"/>
      <c r="N61" s="19"/>
      <c r="O61" s="19"/>
      <c r="P61" s="19"/>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C61" s="5"/>
    </row>
    <row r="62" spans="2:57" x14ac:dyDescent="0.25">
      <c r="B62" s="936" t="s">
        <v>88</v>
      </c>
      <c r="C62" s="371"/>
      <c r="D62" s="3" t="s">
        <v>839</v>
      </c>
      <c r="E62" s="906">
        <v>49553</v>
      </c>
      <c r="F62" s="923"/>
      <c r="G62" s="337"/>
      <c r="H62" s="25"/>
      <c r="I62" s="25"/>
      <c r="J62" s="25"/>
      <c r="K62" s="2"/>
      <c r="L62" s="19"/>
      <c r="M62" s="19"/>
      <c r="N62" s="19"/>
      <c r="O62" s="19"/>
      <c r="P62" s="19"/>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5"/>
    </row>
    <row r="63" spans="2:57" x14ac:dyDescent="0.25">
      <c r="B63" s="938" t="s">
        <v>93</v>
      </c>
      <c r="C63" s="6"/>
      <c r="D63" s="6" t="s">
        <v>94</v>
      </c>
      <c r="E63" s="902">
        <v>500000</v>
      </c>
      <c r="F63" s="330"/>
      <c r="G63" s="330"/>
      <c r="H63" s="20"/>
      <c r="I63" s="20"/>
      <c r="J63" s="20"/>
      <c r="K63" s="2"/>
      <c r="M63" s="19"/>
      <c r="N63" s="19"/>
      <c r="O63" s="19"/>
      <c r="P63" s="19"/>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5"/>
    </row>
    <row r="64" spans="2:57" x14ac:dyDescent="0.25">
      <c r="B64" s="934" t="s">
        <v>95</v>
      </c>
      <c r="C64" s="15"/>
      <c r="D64" s="15"/>
      <c r="E64" s="903">
        <v>0</v>
      </c>
      <c r="F64" s="922"/>
      <c r="G64" s="336"/>
      <c r="H64" s="21"/>
      <c r="I64" s="19"/>
      <c r="J64" s="21"/>
      <c r="K64" s="2"/>
      <c r="L64" s="19"/>
      <c r="M64" s="19"/>
      <c r="N64" s="19"/>
      <c r="O64" s="19"/>
      <c r="P64" s="19"/>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5"/>
    </row>
    <row r="65" spans="2:62" x14ac:dyDescent="0.25">
      <c r="B65" s="934" t="s">
        <v>96</v>
      </c>
      <c r="C65" s="15"/>
      <c r="D65" s="15"/>
      <c r="E65" s="903">
        <v>30000</v>
      </c>
      <c r="F65" s="922"/>
      <c r="G65" s="336"/>
      <c r="H65" s="21"/>
      <c r="I65" s="21"/>
      <c r="J65" s="21"/>
      <c r="K65" s="2"/>
      <c r="L65" s="76"/>
      <c r="M65" s="76"/>
      <c r="N65" s="19"/>
      <c r="O65" s="19"/>
      <c r="P65" s="19"/>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C65" s="5"/>
    </row>
    <row r="66" spans="2:62" x14ac:dyDescent="0.25">
      <c r="B66" s="512" t="s">
        <v>791</v>
      </c>
      <c r="E66" s="902">
        <v>0</v>
      </c>
      <c r="F66" s="921"/>
      <c r="G66" s="334"/>
      <c r="H66" s="19"/>
      <c r="I66" s="19"/>
      <c r="J66" s="19"/>
      <c r="K66" s="2"/>
      <c r="L66" s="76"/>
      <c r="M66" s="76"/>
      <c r="N66" s="19"/>
      <c r="O66" s="19"/>
      <c r="P66" s="19"/>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C66" s="5"/>
    </row>
    <row r="67" spans="2:62" ht="15.75" thickBot="1" x14ac:dyDescent="0.3">
      <c r="B67" s="939" t="s">
        <v>97</v>
      </c>
      <c r="C67" s="169"/>
      <c r="D67" s="169"/>
      <c r="E67" s="914">
        <v>30000</v>
      </c>
      <c r="F67" s="929"/>
      <c r="G67" s="343"/>
      <c r="H67" s="167"/>
      <c r="I67" s="167"/>
      <c r="J67" s="167"/>
      <c r="K67" s="74"/>
      <c r="L67" s="73"/>
      <c r="M67" s="73"/>
      <c r="N67" s="73"/>
      <c r="O67" s="73"/>
      <c r="P67" s="73"/>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2"/>
      <c r="BB67" s="72"/>
      <c r="BC67" s="5"/>
      <c r="BD67" s="72"/>
      <c r="BE67" s="72"/>
      <c r="BF67" s="72"/>
      <c r="BG67" s="72"/>
      <c r="BH67" s="72"/>
      <c r="BI67" s="72"/>
      <c r="BJ67" s="72"/>
    </row>
    <row r="68" spans="2:62" ht="15.75" thickBot="1" x14ac:dyDescent="0.3">
      <c r="B68" s="544" t="s">
        <v>98</v>
      </c>
      <c r="C68" s="12"/>
      <c r="D68" s="12"/>
      <c r="E68" s="915">
        <f>SUM(E6:E67)</f>
        <v>7591194.4099999992</v>
      </c>
      <c r="F68" s="930"/>
      <c r="G68" s="382"/>
      <c r="H68" s="22"/>
      <c r="I68" s="22"/>
      <c r="J68" s="2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C68" s="5"/>
    </row>
    <row r="69" spans="2:62" ht="15.75" thickBot="1" x14ac:dyDescent="0.3">
      <c r="B69" s="940" t="s">
        <v>99</v>
      </c>
      <c r="C69" s="10">
        <v>500</v>
      </c>
      <c r="D69" s="38">
        <v>500</v>
      </c>
      <c r="E69" s="916"/>
      <c r="F69" s="931"/>
      <c r="G69" s="345"/>
      <c r="H69" s="36"/>
      <c r="I69" s="36"/>
      <c r="J69" s="36"/>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C69" s="5"/>
    </row>
    <row r="70" spans="2:62" ht="15.75" thickBot="1" x14ac:dyDescent="0.3">
      <c r="B70" s="941" t="s">
        <v>100</v>
      </c>
      <c r="C70" s="942"/>
      <c r="D70" s="506"/>
      <c r="E70" s="917">
        <f>E68/D69</f>
        <v>15182.388819999998</v>
      </c>
      <c r="F70" s="931"/>
      <c r="G70" s="345">
        <f>G68/D69</f>
        <v>0</v>
      </c>
      <c r="H70" s="23">
        <f>H68/D69</f>
        <v>0</v>
      </c>
      <c r="I70" s="23"/>
      <c r="J70" s="23"/>
      <c r="K70" s="69"/>
      <c r="L70" s="69"/>
      <c r="M70" s="69"/>
      <c r="N70" s="69"/>
      <c r="O70" s="69"/>
      <c r="P70" s="69"/>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7"/>
    </row>
    <row r="71" spans="2:62" x14ac:dyDescent="0.25">
      <c r="E71" s="330"/>
      <c r="F71" s="330"/>
      <c r="G71" s="330"/>
      <c r="AD71" s="34" t="s">
        <v>101</v>
      </c>
      <c r="AE71" s="2">
        <f>SUM(Q68:AE68)</f>
        <v>0</v>
      </c>
    </row>
    <row r="72" spans="2:62" x14ac:dyDescent="0.25">
      <c r="D72" t="s">
        <v>840</v>
      </c>
      <c r="E72" s="330"/>
      <c r="F72" s="330"/>
      <c r="G72" s="330"/>
      <c r="H72">
        <v>3904899</v>
      </c>
    </row>
    <row r="73" spans="2:62" x14ac:dyDescent="0.25">
      <c r="D73" t="s">
        <v>103</v>
      </c>
      <c r="E73" s="330"/>
      <c r="F73" s="330"/>
      <c r="G73" s="330"/>
      <c r="H73" s="2">
        <f>H72-H68</f>
        <v>3904899</v>
      </c>
      <c r="I73" s="2"/>
      <c r="J73" s="2"/>
    </row>
    <row r="74" spans="2:62" x14ac:dyDescent="0.25">
      <c r="E74" s="330"/>
      <c r="F74" s="330"/>
      <c r="G74" s="330"/>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5"/>
      <c r="BA74" s="383"/>
      <c r="BB74" s="383"/>
      <c r="BC74" s="383"/>
    </row>
    <row r="75" spans="2:62" x14ac:dyDescent="0.25">
      <c r="E75" s="330">
        <f>SUM(E6:E67)</f>
        <v>7591194.4099999992</v>
      </c>
      <c r="F75" s="330"/>
      <c r="G75" s="330"/>
    </row>
    <row r="76" spans="2:62" x14ac:dyDescent="0.25">
      <c r="E76" s="330">
        <f>E68-E63</f>
        <v>7091194.4099999992</v>
      </c>
      <c r="F76" s="330"/>
      <c r="G76" s="330"/>
    </row>
    <row r="77" spans="2:62" x14ac:dyDescent="0.25">
      <c r="D77" s="1" t="s">
        <v>104</v>
      </c>
      <c r="E77" s="330"/>
      <c r="F77" s="330"/>
      <c r="G77" s="330"/>
    </row>
    <row r="78" spans="2:62" x14ac:dyDescent="0.25">
      <c r="E78" s="330"/>
      <c r="F78" s="330"/>
      <c r="G78" s="330"/>
      <c r="H78" s="20"/>
      <c r="I78" s="2"/>
      <c r="J78" s="2"/>
      <c r="Q78" s="2">
        <v>26221.74</v>
      </c>
    </row>
    <row r="79" spans="2:62" x14ac:dyDescent="0.25">
      <c r="E79" s="330"/>
      <c r="F79" s="330"/>
      <c r="G79" s="330"/>
    </row>
    <row r="80" spans="2:62" x14ac:dyDescent="0.25">
      <c r="E80" s="330">
        <f>E76-E75</f>
        <v>-500000</v>
      </c>
      <c r="F80" s="330"/>
      <c r="G80" s="330"/>
    </row>
    <row r="84" spans="4:6" x14ac:dyDescent="0.25">
      <c r="E84" s="427">
        <f>SUM(E6:E67)</f>
        <v>7591194.4099999992</v>
      </c>
      <c r="F84" s="427"/>
    </row>
    <row r="87" spans="4:6" x14ac:dyDescent="0.25">
      <c r="D87" t="s">
        <v>841</v>
      </c>
      <c r="E87" s="330">
        <f>+E68-E8</f>
        <v>5791194.4099999992</v>
      </c>
    </row>
    <row r="89" spans="4:6" x14ac:dyDescent="0.25">
      <c r="E89">
        <f>+E87/C69</f>
        <v>11582.388819999998</v>
      </c>
    </row>
  </sheetData>
  <mergeCells count="1">
    <mergeCell ref="B13:B18"/>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DFF-861D-4792-8910-3F71F513CB9E}">
  <dimension ref="A1:AH50"/>
  <sheetViews>
    <sheetView topLeftCell="B1" workbookViewId="0">
      <selection activeCell="E48" sqref="E48"/>
    </sheetView>
  </sheetViews>
  <sheetFormatPr defaultColWidth="8.7109375" defaultRowHeight="15" x14ac:dyDescent="0.25"/>
  <cols>
    <col min="1" max="1" width="4.42578125" customWidth="1"/>
    <col min="2" max="2" width="44" customWidth="1"/>
    <col min="3" max="3" width="42.5703125" customWidth="1"/>
    <col min="4" max="4" width="38.28515625" customWidth="1"/>
    <col min="5" max="7" width="16.42578125" customWidth="1"/>
    <col min="9" max="10" width="10.5703125" bestFit="1" customWidth="1"/>
    <col min="11" max="12" width="9.5703125" bestFit="1" customWidth="1"/>
    <col min="13" max="16" width="12.28515625" bestFit="1" customWidth="1"/>
    <col min="17" max="17" width="10.5703125" bestFit="1" customWidth="1"/>
    <col min="18" max="22" width="9.42578125" bestFit="1" customWidth="1"/>
  </cols>
  <sheetData>
    <row r="1" spans="2:34" ht="15.75" thickBot="1" x14ac:dyDescent="0.3"/>
    <row r="2" spans="2:34" ht="15.75" thickBot="1" x14ac:dyDescent="0.3">
      <c r="B2" s="381" t="s">
        <v>842</v>
      </c>
      <c r="I2" s="118"/>
      <c r="J2" s="118"/>
      <c r="K2" s="118"/>
      <c r="L2" s="118"/>
      <c r="M2" s="118"/>
      <c r="N2" s="409"/>
      <c r="O2" s="118"/>
      <c r="P2" s="118"/>
      <c r="Q2" s="118"/>
      <c r="R2" s="699"/>
      <c r="S2" s="118"/>
      <c r="T2" s="118"/>
      <c r="U2" s="118"/>
      <c r="V2" s="118"/>
      <c r="AC2" s="118"/>
      <c r="AD2" s="118"/>
      <c r="AE2" s="118"/>
      <c r="AF2" s="118"/>
      <c r="AG2" s="175"/>
      <c r="AH2" s="8"/>
    </row>
    <row r="3" spans="2:34" ht="30.75" thickBot="1" x14ac:dyDescent="0.3">
      <c r="B3" s="39" t="s">
        <v>16</v>
      </c>
      <c r="C3" s="40" t="s">
        <v>17</v>
      </c>
      <c r="D3" s="41" t="s">
        <v>111</v>
      </c>
      <c r="E3" s="120" t="s">
        <v>184</v>
      </c>
      <c r="F3" s="121" t="s">
        <v>185</v>
      </c>
      <c r="G3" s="41" t="s">
        <v>186</v>
      </c>
      <c r="I3" s="700">
        <v>45170</v>
      </c>
      <c r="J3" s="700">
        <v>45200</v>
      </c>
      <c r="K3" s="700">
        <v>45231</v>
      </c>
      <c r="L3" s="700">
        <v>45261</v>
      </c>
      <c r="M3" s="700">
        <v>45292</v>
      </c>
      <c r="N3" s="700">
        <v>45323</v>
      </c>
      <c r="O3" s="700">
        <v>45352</v>
      </c>
      <c r="P3" s="700">
        <v>45383</v>
      </c>
      <c r="Q3" s="700">
        <v>45413</v>
      </c>
      <c r="R3" s="700">
        <v>45444</v>
      </c>
      <c r="S3" s="700">
        <v>45474</v>
      </c>
      <c r="T3" s="700">
        <v>45505</v>
      </c>
      <c r="U3" s="700">
        <v>45536</v>
      </c>
      <c r="V3" s="700">
        <v>45566</v>
      </c>
      <c r="AC3" s="700">
        <v>45658</v>
      </c>
      <c r="AD3" s="700">
        <v>45689</v>
      </c>
      <c r="AE3" s="700">
        <v>45717</v>
      </c>
      <c r="AF3" s="700">
        <v>45748</v>
      </c>
      <c r="AG3" s="700">
        <v>45778</v>
      </c>
      <c r="AH3" s="701"/>
    </row>
    <row r="4" spans="2:34" x14ac:dyDescent="0.25">
      <c r="B4" s="8" t="s">
        <v>29</v>
      </c>
      <c r="C4" t="s">
        <v>297</v>
      </c>
      <c r="D4" s="19"/>
      <c r="E4" s="19"/>
      <c r="F4" s="19">
        <f>SUM(H4:AG4)</f>
        <v>28193.620000000003</v>
      </c>
      <c r="G4" s="19"/>
      <c r="H4">
        <v>67650</v>
      </c>
      <c r="I4" s="174"/>
      <c r="J4" s="174">
        <v>-39456.379999999997</v>
      </c>
      <c r="K4" s="174"/>
      <c r="L4" s="174"/>
      <c r="M4" s="174"/>
      <c r="N4" s="174"/>
      <c r="O4" s="174"/>
      <c r="P4" s="174"/>
      <c r="Q4" s="174"/>
      <c r="R4" s="174"/>
      <c r="S4" s="174"/>
      <c r="T4" s="174"/>
      <c r="U4" s="174"/>
      <c r="V4" s="174"/>
      <c r="AC4" s="118"/>
      <c r="AD4" s="118"/>
      <c r="AE4" s="118"/>
      <c r="AF4" s="118"/>
      <c r="AG4" s="175"/>
    </row>
    <row r="5" spans="2:34" x14ac:dyDescent="0.25">
      <c r="B5" s="8"/>
      <c r="C5" t="s">
        <v>111</v>
      </c>
      <c r="D5" s="19"/>
      <c r="E5" s="19"/>
      <c r="F5" s="19">
        <f>SUM(J5:AG5)</f>
        <v>0</v>
      </c>
      <c r="G5" s="19"/>
      <c r="I5" s="2"/>
      <c r="J5" s="2"/>
      <c r="K5" s="2"/>
      <c r="L5" s="2"/>
      <c r="M5" s="2"/>
      <c r="N5" s="2"/>
      <c r="O5" s="2"/>
      <c r="P5" s="2"/>
      <c r="Q5" s="2"/>
      <c r="R5" s="2"/>
      <c r="S5" s="2"/>
      <c r="T5" s="2"/>
      <c r="U5" s="2"/>
      <c r="V5" s="2"/>
      <c r="AG5" s="131"/>
    </row>
    <row r="6" spans="2:34" x14ac:dyDescent="0.25">
      <c r="B6" s="13"/>
      <c r="C6" s="6" t="s">
        <v>32</v>
      </c>
      <c r="D6" s="20"/>
      <c r="E6" s="20"/>
      <c r="F6" s="20">
        <f>SUM(J6:AG6)</f>
        <v>0</v>
      </c>
      <c r="G6" s="20"/>
      <c r="I6" s="2"/>
      <c r="J6" s="2"/>
      <c r="K6" s="2"/>
      <c r="L6" s="2"/>
      <c r="M6" s="2"/>
      <c r="N6" s="2"/>
      <c r="O6" s="2"/>
      <c r="P6" s="2"/>
      <c r="Q6" s="2"/>
      <c r="R6" s="2"/>
      <c r="S6" s="2"/>
      <c r="T6" s="2"/>
      <c r="U6" s="2"/>
      <c r="V6" s="2"/>
      <c r="AG6" s="131"/>
    </row>
    <row r="8" spans="2:34" x14ac:dyDescent="0.25">
      <c r="B8" s="24" t="s">
        <v>35</v>
      </c>
      <c r="C8" s="265" t="s">
        <v>843</v>
      </c>
      <c r="D8" s="25"/>
      <c r="E8" s="25"/>
      <c r="F8" s="25">
        <f>SUM(J8:AG8)</f>
        <v>0</v>
      </c>
      <c r="G8" s="25"/>
      <c r="I8" s="2"/>
      <c r="J8" s="2"/>
      <c r="K8" s="2"/>
      <c r="L8" s="2"/>
      <c r="M8" s="2"/>
      <c r="N8" s="2"/>
      <c r="O8" s="2"/>
      <c r="P8" s="2"/>
      <c r="Q8" s="2"/>
      <c r="R8" s="2"/>
      <c r="S8" s="2"/>
      <c r="T8" s="2"/>
      <c r="U8" s="2"/>
      <c r="V8" s="2"/>
      <c r="AG8" s="131"/>
    </row>
    <row r="9" spans="2:34" x14ac:dyDescent="0.25">
      <c r="B9" s="13"/>
      <c r="C9" s="264" t="s">
        <v>92</v>
      </c>
      <c r="D9" s="20"/>
      <c r="E9" s="20"/>
      <c r="F9" s="20">
        <f>SUM(J9:AG9)</f>
        <v>0</v>
      </c>
      <c r="G9" s="20"/>
      <c r="I9" s="2"/>
      <c r="J9" s="2"/>
      <c r="K9" s="2"/>
      <c r="L9" s="2"/>
      <c r="M9" s="2"/>
      <c r="N9" s="2"/>
      <c r="O9" s="2"/>
      <c r="P9" s="2"/>
      <c r="Q9" s="2"/>
      <c r="R9" s="2"/>
      <c r="S9" s="2"/>
      <c r="T9" s="2"/>
      <c r="U9" s="2"/>
      <c r="V9" s="2"/>
      <c r="AG9" s="131"/>
    </row>
    <row r="11" spans="2:34" x14ac:dyDescent="0.25">
      <c r="B11" s="14" t="s">
        <v>205</v>
      </c>
      <c r="C11" s="15"/>
      <c r="D11" s="21"/>
      <c r="E11" s="21"/>
      <c r="F11" s="21">
        <f>SUM(J11:AG11)</f>
        <v>0</v>
      </c>
      <c r="G11" s="21"/>
      <c r="I11" s="2"/>
      <c r="J11" s="2"/>
      <c r="K11" s="2"/>
      <c r="L11" s="2"/>
      <c r="M11" s="2"/>
      <c r="N11" s="2"/>
      <c r="O11" s="2"/>
      <c r="P11" s="2"/>
      <c r="Q11" s="2"/>
      <c r="R11" s="2"/>
      <c r="S11" s="2"/>
      <c r="T11" s="2"/>
      <c r="U11" s="2"/>
      <c r="V11" s="2"/>
      <c r="AG11" s="131"/>
    </row>
    <row r="13" spans="2:34" x14ac:dyDescent="0.25">
      <c r="B13" s="14" t="s">
        <v>40</v>
      </c>
      <c r="C13" s="15"/>
      <c r="D13" s="21"/>
      <c r="E13" s="21"/>
      <c r="F13" s="21">
        <f>SUM(J13:AG13)</f>
        <v>0</v>
      </c>
      <c r="G13" s="21"/>
      <c r="I13" s="2"/>
      <c r="J13" s="2"/>
      <c r="K13" s="2"/>
      <c r="M13" s="2"/>
      <c r="N13" s="2"/>
      <c r="O13" s="2"/>
      <c r="P13" s="2"/>
      <c r="Q13" s="2"/>
      <c r="R13" s="2"/>
      <c r="S13" s="2"/>
      <c r="T13" s="2"/>
      <c r="U13" s="2"/>
      <c r="V13" s="2"/>
      <c r="AC13" s="2"/>
      <c r="AD13" s="2"/>
      <c r="AG13" s="131"/>
    </row>
    <row r="14" spans="2:34" x14ac:dyDescent="0.25">
      <c r="D14" s="2"/>
      <c r="E14" s="2"/>
      <c r="F14" s="2"/>
      <c r="G14" s="2"/>
      <c r="I14" s="2"/>
      <c r="J14" s="2"/>
      <c r="K14" s="2"/>
      <c r="M14" s="2"/>
      <c r="N14" s="2"/>
      <c r="O14" s="2"/>
      <c r="P14" s="2"/>
      <c r="Q14" s="2"/>
      <c r="R14" s="2"/>
      <c r="S14" s="2"/>
      <c r="T14" s="2"/>
      <c r="U14" s="2"/>
      <c r="V14" s="2"/>
      <c r="AC14" s="2"/>
      <c r="AD14" s="2"/>
    </row>
    <row r="15" spans="2:34" x14ac:dyDescent="0.25">
      <c r="B15" s="257" t="s">
        <v>844</v>
      </c>
      <c r="C15" s="3" t="s">
        <v>845</v>
      </c>
      <c r="D15" s="25"/>
      <c r="E15" s="25">
        <v>0</v>
      </c>
      <c r="F15" s="25">
        <f>SUM(J15:AG15)</f>
        <v>0</v>
      </c>
      <c r="G15" s="25">
        <v>0</v>
      </c>
      <c r="I15" s="2"/>
      <c r="J15" s="2"/>
      <c r="K15" s="2"/>
      <c r="M15" s="2"/>
      <c r="N15" s="2"/>
      <c r="O15" s="2"/>
      <c r="P15" s="2"/>
      <c r="Q15" s="2"/>
      <c r="R15" s="2"/>
      <c r="S15" s="2"/>
      <c r="T15" s="2"/>
      <c r="U15" s="2"/>
      <c r="V15" s="2"/>
      <c r="AG15" s="131"/>
    </row>
    <row r="16" spans="2:34" x14ac:dyDescent="0.25">
      <c r="B16" s="16"/>
      <c r="C16" t="s">
        <v>846</v>
      </c>
      <c r="D16" s="19" t="s">
        <v>847</v>
      </c>
      <c r="E16" s="19">
        <v>5000</v>
      </c>
      <c r="F16" s="19">
        <f>SUM(J16:AG16)</f>
        <v>0</v>
      </c>
      <c r="G16" s="19">
        <v>5000</v>
      </c>
      <c r="I16" s="2"/>
      <c r="J16" s="2"/>
      <c r="K16" s="2"/>
      <c r="M16" s="2"/>
      <c r="N16" s="2"/>
      <c r="O16" s="2"/>
      <c r="P16" s="2"/>
      <c r="Q16" s="2"/>
      <c r="R16" s="2"/>
      <c r="S16" s="2"/>
      <c r="T16" s="2"/>
      <c r="U16" s="2"/>
      <c r="V16" s="2"/>
      <c r="AG16" s="131"/>
    </row>
    <row r="17" spans="2:33" ht="15.75" thickBot="1" x14ac:dyDescent="0.3">
      <c r="B17" s="702"/>
      <c r="C17" s="10" t="s">
        <v>848</v>
      </c>
      <c r="D17" s="36" t="s">
        <v>849</v>
      </c>
      <c r="E17" s="36">
        <v>2600</v>
      </c>
      <c r="F17" s="36">
        <f>SUM(J17:AG17)</f>
        <v>0</v>
      </c>
      <c r="G17" s="36">
        <v>2600</v>
      </c>
      <c r="I17" s="2"/>
      <c r="J17" s="2"/>
      <c r="K17" s="2"/>
      <c r="M17" s="2"/>
      <c r="N17" s="2"/>
      <c r="O17" s="2"/>
      <c r="P17" s="2"/>
      <c r="Q17" s="2"/>
      <c r="R17" s="2"/>
      <c r="S17" s="2"/>
      <c r="T17" s="2"/>
      <c r="U17" s="2"/>
      <c r="V17" s="2"/>
      <c r="AG17" s="131"/>
    </row>
    <row r="18" spans="2:33" x14ac:dyDescent="0.25">
      <c r="B18" s="370"/>
      <c r="D18" s="2"/>
      <c r="E18" s="2"/>
      <c r="F18" s="2"/>
      <c r="G18" s="2"/>
      <c r="I18" s="2"/>
      <c r="J18" s="2"/>
      <c r="K18" s="2"/>
      <c r="M18" s="2"/>
      <c r="N18" s="2"/>
      <c r="O18" s="2"/>
      <c r="P18" s="2"/>
      <c r="Q18" s="2"/>
      <c r="R18" s="2"/>
      <c r="S18" s="2"/>
      <c r="T18" s="2"/>
      <c r="U18" s="2"/>
      <c r="V18" s="2"/>
    </row>
    <row r="19" spans="2:33" x14ac:dyDescent="0.25">
      <c r="B19" s="257" t="s">
        <v>850</v>
      </c>
      <c r="C19" s="3"/>
      <c r="D19" s="25"/>
      <c r="E19" s="25"/>
      <c r="F19" s="25">
        <f>SUM(J19:AG19)</f>
        <v>0</v>
      </c>
      <c r="G19" s="25"/>
      <c r="I19" s="2"/>
      <c r="J19" s="2"/>
      <c r="K19" s="2"/>
      <c r="M19" s="2"/>
      <c r="N19" s="2"/>
      <c r="O19" s="2"/>
      <c r="P19" s="2"/>
      <c r="Q19" s="2"/>
      <c r="R19" s="2"/>
      <c r="S19" s="2"/>
      <c r="T19" s="2"/>
      <c r="U19" s="2"/>
      <c r="V19" s="2"/>
      <c r="AG19" s="131"/>
    </row>
    <row r="20" spans="2:33" x14ac:dyDescent="0.25">
      <c r="B20" s="16"/>
      <c r="C20" t="s">
        <v>851</v>
      </c>
      <c r="D20" s="19" t="s">
        <v>514</v>
      </c>
      <c r="E20" s="703">
        <v>45000</v>
      </c>
      <c r="F20" s="19">
        <f>E20</f>
        <v>45000</v>
      </c>
      <c r="G20" s="19">
        <f>F20</f>
        <v>45000</v>
      </c>
      <c r="I20" s="426">
        <v>8745</v>
      </c>
      <c r="J20" s="426">
        <v>1525</v>
      </c>
      <c r="K20" s="426">
        <v>575</v>
      </c>
      <c r="L20" s="426">
        <v>500</v>
      </c>
      <c r="M20" s="426">
        <v>5355</v>
      </c>
      <c r="N20" s="426">
        <v>15154.39</v>
      </c>
      <c r="O20" s="426">
        <v>16408.810000000001</v>
      </c>
      <c r="P20" s="426">
        <v>5850</v>
      </c>
      <c r="Q20" s="426">
        <v>3390</v>
      </c>
      <c r="R20" s="2"/>
      <c r="S20" s="2"/>
      <c r="T20" s="2"/>
      <c r="U20" s="2"/>
      <c r="V20" s="2"/>
      <c r="AG20" s="131"/>
    </row>
    <row r="21" spans="2:33" ht="15.75" thickBot="1" x14ac:dyDescent="0.3">
      <c r="B21" s="702"/>
      <c r="C21" s="10" t="s">
        <v>852</v>
      </c>
      <c r="D21" s="36"/>
      <c r="E21" s="36">
        <v>20000</v>
      </c>
      <c r="F21" s="36">
        <f>SUM(J21:AG21)</f>
        <v>0</v>
      </c>
      <c r="G21" s="36"/>
      <c r="I21" s="2"/>
      <c r="J21" s="2"/>
      <c r="K21" s="2"/>
      <c r="M21" s="2"/>
      <c r="N21" s="2"/>
      <c r="O21" s="2"/>
      <c r="P21" s="2"/>
      <c r="Q21" s="2"/>
      <c r="R21" s="2"/>
      <c r="S21" s="2"/>
      <c r="T21" s="2"/>
      <c r="U21" s="2"/>
      <c r="V21" s="2"/>
      <c r="AG21" s="131"/>
    </row>
    <row r="23" spans="2:33" x14ac:dyDescent="0.25">
      <c r="B23" s="24" t="s">
        <v>853</v>
      </c>
      <c r="C23" s="265" t="s">
        <v>854</v>
      </c>
      <c r="D23" s="25"/>
      <c r="E23" s="25">
        <v>195423</v>
      </c>
      <c r="F23" s="25">
        <f>SUM(J23:AG23)</f>
        <v>0</v>
      </c>
      <c r="G23" s="25">
        <v>195423</v>
      </c>
      <c r="I23" s="2"/>
      <c r="J23" s="2"/>
      <c r="K23" s="2"/>
      <c r="M23" s="2"/>
      <c r="N23" s="2"/>
      <c r="O23" s="2"/>
      <c r="P23" s="2"/>
      <c r="Q23" s="2"/>
      <c r="R23" s="2"/>
      <c r="S23" s="2"/>
      <c r="T23" s="2"/>
      <c r="U23" s="2"/>
      <c r="V23" s="2"/>
      <c r="AC23" s="2"/>
      <c r="AD23" s="2"/>
      <c r="AG23" s="131"/>
    </row>
    <row r="24" spans="2:33" x14ac:dyDescent="0.25">
      <c r="B24" s="13"/>
      <c r="C24" s="264" t="s">
        <v>855</v>
      </c>
      <c r="D24" s="20"/>
      <c r="E24" s="20"/>
      <c r="F24" s="20">
        <f>SUM(J24:AG24)</f>
        <v>0</v>
      </c>
      <c r="G24" s="20"/>
      <c r="I24" s="2"/>
      <c r="J24" s="2"/>
      <c r="K24" s="2"/>
      <c r="M24" s="2"/>
      <c r="N24" s="2"/>
      <c r="O24" s="2"/>
      <c r="P24" s="2"/>
      <c r="Q24" s="2"/>
      <c r="R24" s="2"/>
      <c r="S24" s="2"/>
      <c r="T24" s="2"/>
      <c r="U24" s="2"/>
      <c r="V24" s="2"/>
      <c r="AG24" s="131"/>
    </row>
    <row r="26" spans="2:33" x14ac:dyDescent="0.25">
      <c r="B26" s="257" t="s">
        <v>856</v>
      </c>
      <c r="C26" s="3"/>
      <c r="D26" s="25"/>
      <c r="E26" s="25"/>
      <c r="F26" s="25">
        <f t="shared" ref="F26:F37" si="0">SUM(J26:AG26)</f>
        <v>0</v>
      </c>
      <c r="G26" s="25"/>
      <c r="I26" s="2"/>
      <c r="J26" s="2"/>
      <c r="K26" s="2"/>
      <c r="M26" s="2"/>
      <c r="N26" s="2"/>
      <c r="O26" s="2"/>
      <c r="P26" s="2"/>
      <c r="Q26" s="2"/>
      <c r="R26" s="2"/>
      <c r="S26" s="2"/>
      <c r="T26" s="2"/>
      <c r="U26" s="2"/>
      <c r="V26" s="2"/>
      <c r="AG26" s="131"/>
    </row>
    <row r="27" spans="2:33" x14ac:dyDescent="0.25">
      <c r="B27" s="16"/>
      <c r="C27" t="s">
        <v>857</v>
      </c>
      <c r="D27" s="19" t="s">
        <v>858</v>
      </c>
      <c r="E27" s="19">
        <v>34000</v>
      </c>
      <c r="F27" s="19"/>
      <c r="G27" s="19">
        <v>34000</v>
      </c>
      <c r="I27" s="2"/>
      <c r="J27" s="2"/>
      <c r="K27" s="2"/>
      <c r="M27" s="2"/>
      <c r="N27" s="2"/>
      <c r="O27" s="2"/>
      <c r="P27" s="2"/>
      <c r="Q27" s="2"/>
      <c r="R27" s="2"/>
      <c r="S27" s="2"/>
      <c r="T27" s="2"/>
      <c r="U27" s="2"/>
      <c r="V27" s="2"/>
      <c r="AG27" s="131"/>
    </row>
    <row r="28" spans="2:33" x14ac:dyDescent="0.25">
      <c r="B28" s="16"/>
      <c r="C28" t="s">
        <v>354</v>
      </c>
      <c r="D28" s="19" t="s">
        <v>859</v>
      </c>
      <c r="E28" s="19">
        <v>13500</v>
      </c>
      <c r="F28" s="19">
        <f t="shared" si="0"/>
        <v>9180.5</v>
      </c>
      <c r="G28" s="19">
        <v>13500</v>
      </c>
      <c r="I28" s="2"/>
      <c r="J28" s="2"/>
      <c r="K28" s="2"/>
      <c r="M28" s="2">
        <v>9180.5</v>
      </c>
      <c r="N28" s="2"/>
      <c r="O28" s="2"/>
      <c r="P28" s="2"/>
      <c r="Q28" s="2"/>
      <c r="R28" s="2"/>
      <c r="S28" s="2"/>
      <c r="T28" s="2"/>
      <c r="U28" s="2"/>
      <c r="V28" s="2"/>
      <c r="AG28" s="131"/>
    </row>
    <row r="29" spans="2:33" x14ac:dyDescent="0.25">
      <c r="B29" s="16"/>
      <c r="C29" t="s">
        <v>860</v>
      </c>
      <c r="D29" s="19" t="s">
        <v>847</v>
      </c>
      <c r="E29" s="19">
        <v>23000</v>
      </c>
      <c r="F29" s="19">
        <f t="shared" si="0"/>
        <v>0</v>
      </c>
      <c r="G29" s="19">
        <v>23000</v>
      </c>
      <c r="I29" s="2"/>
      <c r="J29" s="2"/>
      <c r="K29" s="2"/>
      <c r="M29" s="2"/>
      <c r="N29" s="2"/>
      <c r="O29" s="2"/>
      <c r="P29" s="2"/>
      <c r="Q29" s="2"/>
      <c r="R29" s="2"/>
      <c r="S29" s="2"/>
      <c r="T29" s="2"/>
      <c r="U29" s="2"/>
      <c r="V29" s="2"/>
      <c r="AG29" s="131"/>
    </row>
    <row r="30" spans="2:33" x14ac:dyDescent="0.25">
      <c r="B30" s="16"/>
      <c r="C30" t="s">
        <v>59</v>
      </c>
      <c r="D30" s="19" t="s">
        <v>861</v>
      </c>
      <c r="E30" s="19">
        <v>5500</v>
      </c>
      <c r="F30" s="19">
        <f t="shared" si="0"/>
        <v>3610</v>
      </c>
      <c r="G30" s="19">
        <v>5500</v>
      </c>
      <c r="I30" s="2"/>
      <c r="J30" s="2"/>
      <c r="K30" s="2"/>
      <c r="M30" s="2">
        <v>3610</v>
      </c>
      <c r="N30" s="2"/>
      <c r="O30" s="2"/>
      <c r="P30" s="2"/>
      <c r="Q30" s="2"/>
      <c r="R30" s="2"/>
      <c r="S30" s="2"/>
      <c r="T30" s="2"/>
      <c r="U30" s="2"/>
      <c r="V30" s="2"/>
      <c r="AG30" s="131"/>
    </row>
    <row r="31" spans="2:33" x14ac:dyDescent="0.25">
      <c r="B31" s="16"/>
      <c r="C31" t="s">
        <v>862</v>
      </c>
      <c r="D31" s="19" t="s">
        <v>813</v>
      </c>
      <c r="E31" s="19">
        <v>3800</v>
      </c>
      <c r="F31" s="19">
        <f t="shared" si="0"/>
        <v>4495.2</v>
      </c>
      <c r="G31" s="19">
        <v>3800</v>
      </c>
      <c r="I31" s="2"/>
      <c r="J31" s="2"/>
      <c r="K31" s="2"/>
      <c r="M31" s="2"/>
      <c r="N31" s="2"/>
      <c r="O31" s="2"/>
      <c r="P31" s="2">
        <v>4495.2</v>
      </c>
      <c r="Q31" s="2"/>
      <c r="R31" s="2"/>
      <c r="S31" s="2"/>
      <c r="T31" s="2"/>
      <c r="U31" s="2"/>
      <c r="V31" s="2"/>
      <c r="AG31" s="131"/>
    </row>
    <row r="32" spans="2:33" x14ac:dyDescent="0.25">
      <c r="B32" s="16"/>
      <c r="C32" t="s">
        <v>48</v>
      </c>
      <c r="D32" s="19" t="s">
        <v>813</v>
      </c>
      <c r="E32" s="19">
        <v>50000</v>
      </c>
      <c r="F32" s="19">
        <f t="shared" si="0"/>
        <v>49310</v>
      </c>
      <c r="G32" s="19">
        <v>50000</v>
      </c>
      <c r="I32" s="2"/>
      <c r="J32" s="2"/>
      <c r="K32" s="2"/>
      <c r="M32" s="2">
        <v>40460</v>
      </c>
      <c r="N32" s="2"/>
      <c r="O32" s="2"/>
      <c r="P32" s="2">
        <v>8850</v>
      </c>
      <c r="Q32" s="2"/>
      <c r="R32" s="2"/>
      <c r="S32" s="2"/>
      <c r="T32" s="2"/>
      <c r="U32" s="2"/>
      <c r="V32" s="2"/>
      <c r="AG32" s="131"/>
    </row>
    <row r="33" spans="1:33" x14ac:dyDescent="0.25">
      <c r="B33" s="16"/>
      <c r="C33" t="s">
        <v>863</v>
      </c>
      <c r="D33" s="19" t="s">
        <v>864</v>
      </c>
      <c r="E33" s="19">
        <v>2800</v>
      </c>
      <c r="F33" s="19">
        <f t="shared" si="0"/>
        <v>2895</v>
      </c>
      <c r="G33" s="19">
        <v>2800</v>
      </c>
      <c r="I33" s="2"/>
      <c r="J33" s="2"/>
      <c r="K33" s="2"/>
      <c r="M33" s="2"/>
      <c r="N33" s="2">
        <v>2895</v>
      </c>
      <c r="O33" s="2"/>
      <c r="P33" s="2"/>
      <c r="Q33" s="2"/>
      <c r="R33" s="2"/>
      <c r="S33" s="2"/>
      <c r="T33" s="2"/>
      <c r="U33" s="2"/>
      <c r="V33" s="2"/>
      <c r="AG33" s="131"/>
    </row>
    <row r="34" spans="1:33" x14ac:dyDescent="0.25">
      <c r="B34" s="16"/>
      <c r="C34" t="s">
        <v>865</v>
      </c>
      <c r="D34" s="19" t="s">
        <v>864</v>
      </c>
      <c r="E34" s="19">
        <v>2000</v>
      </c>
      <c r="F34" s="19"/>
      <c r="G34" s="19"/>
      <c r="I34" s="2"/>
      <c r="J34" s="2"/>
      <c r="K34" s="2"/>
      <c r="M34" s="2"/>
      <c r="N34" s="2"/>
      <c r="O34" s="2"/>
      <c r="P34" s="2"/>
      <c r="Q34" s="2"/>
      <c r="R34" s="2"/>
      <c r="S34" s="2"/>
      <c r="T34" s="2"/>
      <c r="U34" s="2"/>
      <c r="V34" s="2"/>
      <c r="AG34" s="131"/>
    </row>
    <row r="35" spans="1:33" x14ac:dyDescent="0.25">
      <c r="B35" s="16"/>
      <c r="C35" t="s">
        <v>866</v>
      </c>
      <c r="D35" s="19" t="s">
        <v>867</v>
      </c>
      <c r="E35" s="19">
        <v>11000</v>
      </c>
      <c r="F35" s="19">
        <f t="shared" si="0"/>
        <v>14425.75</v>
      </c>
      <c r="G35" s="19">
        <v>11000</v>
      </c>
      <c r="I35" s="2"/>
      <c r="J35" s="2"/>
      <c r="K35" s="2"/>
      <c r="M35" s="2"/>
      <c r="N35" s="2"/>
      <c r="O35" s="2"/>
      <c r="P35" s="2">
        <v>14425.75</v>
      </c>
      <c r="Q35" s="2"/>
      <c r="R35" s="2"/>
      <c r="S35" s="2"/>
      <c r="T35" s="2"/>
      <c r="U35" s="2"/>
      <c r="V35" s="2"/>
      <c r="AG35" s="131"/>
    </row>
    <row r="36" spans="1:33" x14ac:dyDescent="0.25">
      <c r="B36" s="16"/>
      <c r="C36" t="s">
        <v>868</v>
      </c>
      <c r="D36" s="19" t="s">
        <v>869</v>
      </c>
      <c r="E36" s="19">
        <v>7000</v>
      </c>
      <c r="F36" s="19"/>
      <c r="G36" s="19">
        <v>7000</v>
      </c>
      <c r="I36" s="2"/>
      <c r="J36" s="2"/>
      <c r="K36" s="2"/>
      <c r="M36" s="2"/>
      <c r="N36" s="2"/>
      <c r="O36" s="2"/>
      <c r="P36" s="2"/>
      <c r="Q36" s="2"/>
      <c r="R36" s="2"/>
      <c r="S36" s="2"/>
      <c r="T36" s="2"/>
      <c r="U36" s="2"/>
      <c r="V36" s="2"/>
      <c r="AG36" s="131"/>
    </row>
    <row r="37" spans="1:33" x14ac:dyDescent="0.25">
      <c r="B37" s="16"/>
      <c r="C37" t="s">
        <v>870</v>
      </c>
      <c r="D37" s="19" t="s">
        <v>869</v>
      </c>
      <c r="E37" s="19">
        <v>4000</v>
      </c>
      <c r="F37" s="19">
        <f t="shared" si="0"/>
        <v>0</v>
      </c>
      <c r="G37" s="19">
        <v>4000</v>
      </c>
      <c r="I37" s="2"/>
      <c r="J37" s="2"/>
      <c r="K37" s="2"/>
      <c r="M37" s="2"/>
      <c r="N37" s="2"/>
      <c r="O37" s="2"/>
      <c r="P37" s="2"/>
      <c r="Q37" s="2"/>
      <c r="R37" s="2"/>
      <c r="S37" s="2"/>
      <c r="T37" s="2"/>
      <c r="U37" s="2"/>
      <c r="V37" s="2"/>
      <c r="AG37" s="131"/>
    </row>
    <row r="38" spans="1:33" x14ac:dyDescent="0.25">
      <c r="B38" s="16"/>
      <c r="C38" t="s">
        <v>871</v>
      </c>
      <c r="D38" s="19" t="s">
        <v>869</v>
      </c>
      <c r="E38" s="19">
        <v>1500</v>
      </c>
      <c r="F38" s="19"/>
      <c r="G38" s="19">
        <v>1500</v>
      </c>
      <c r="I38" s="2"/>
      <c r="J38" s="2"/>
      <c r="K38" s="2"/>
      <c r="M38" s="2"/>
      <c r="N38" s="2"/>
      <c r="O38" s="2"/>
      <c r="P38" s="2"/>
      <c r="Q38" s="2"/>
      <c r="R38" s="2"/>
      <c r="S38" s="2"/>
      <c r="T38" s="2"/>
      <c r="U38" s="2"/>
      <c r="V38" s="2"/>
      <c r="AG38" s="131"/>
    </row>
    <row r="39" spans="1:33" x14ac:dyDescent="0.25">
      <c r="B39" s="16"/>
      <c r="C39" t="s">
        <v>872</v>
      </c>
      <c r="D39" s="19" t="s">
        <v>873</v>
      </c>
      <c r="E39" s="19">
        <v>4700</v>
      </c>
      <c r="F39" s="19">
        <f t="shared" ref="F39:F44" si="1">SUM(J39:AG39)</f>
        <v>0</v>
      </c>
      <c r="G39" s="19">
        <v>4700</v>
      </c>
      <c r="I39" s="2"/>
      <c r="J39" s="2"/>
      <c r="K39" s="2"/>
      <c r="M39" s="2"/>
      <c r="N39" s="2"/>
      <c r="O39" s="2"/>
      <c r="P39" s="2"/>
      <c r="Q39" s="2"/>
      <c r="R39" s="2"/>
      <c r="S39" s="2"/>
      <c r="T39" s="2"/>
      <c r="U39" s="2"/>
      <c r="V39" s="2"/>
      <c r="AG39" s="131"/>
    </row>
    <row r="40" spans="1:33" x14ac:dyDescent="0.25">
      <c r="B40" s="16"/>
      <c r="C40" t="s">
        <v>60</v>
      </c>
      <c r="D40" s="19" t="s">
        <v>873</v>
      </c>
      <c r="E40" s="19">
        <v>5350</v>
      </c>
      <c r="F40" s="19">
        <f t="shared" si="1"/>
        <v>0</v>
      </c>
      <c r="G40" s="19">
        <v>5350</v>
      </c>
      <c r="I40" s="2"/>
      <c r="J40" s="2"/>
      <c r="K40" s="2"/>
      <c r="M40" s="2"/>
      <c r="N40" s="2"/>
      <c r="O40" s="2"/>
      <c r="P40" s="2"/>
      <c r="Q40" s="2"/>
      <c r="R40" s="2"/>
      <c r="S40" s="2"/>
      <c r="T40" s="2"/>
      <c r="U40" s="2"/>
      <c r="V40" s="2"/>
      <c r="AG40" s="131"/>
    </row>
    <row r="41" spans="1:33" x14ac:dyDescent="0.25">
      <c r="B41" s="16"/>
      <c r="C41" t="s">
        <v>47</v>
      </c>
      <c r="D41" s="19" t="s">
        <v>874</v>
      </c>
      <c r="E41" s="19">
        <v>2150</v>
      </c>
      <c r="F41" s="19">
        <f t="shared" si="1"/>
        <v>0</v>
      </c>
      <c r="G41" s="19">
        <v>2150</v>
      </c>
      <c r="I41" s="2"/>
      <c r="J41" s="2"/>
      <c r="K41" s="2"/>
      <c r="M41" s="2"/>
      <c r="N41" s="2"/>
      <c r="O41" s="2"/>
      <c r="P41" s="2"/>
      <c r="Q41" s="2"/>
      <c r="R41" s="2"/>
      <c r="S41" s="2"/>
      <c r="T41" s="2"/>
      <c r="U41" s="2"/>
      <c r="V41" s="2"/>
      <c r="AG41" s="131"/>
    </row>
    <row r="42" spans="1:33" x14ac:dyDescent="0.25">
      <c r="B42" s="16"/>
      <c r="C42" t="s">
        <v>875</v>
      </c>
      <c r="D42" s="19" t="s">
        <v>874</v>
      </c>
      <c r="E42" s="19">
        <v>5800</v>
      </c>
      <c r="F42" s="19">
        <f t="shared" si="1"/>
        <v>0</v>
      </c>
      <c r="G42" s="19">
        <v>5800</v>
      </c>
      <c r="I42" s="2"/>
      <c r="J42" s="2"/>
      <c r="K42" s="2"/>
      <c r="M42" s="2"/>
      <c r="N42" s="2"/>
      <c r="O42" s="2"/>
      <c r="P42" s="2"/>
      <c r="Q42" s="2"/>
      <c r="R42" s="2"/>
      <c r="S42" s="2"/>
      <c r="T42" s="2"/>
      <c r="U42" s="2"/>
      <c r="V42" s="2"/>
      <c r="AG42" s="131"/>
    </row>
    <row r="43" spans="1:33" x14ac:dyDescent="0.25">
      <c r="B43" s="16"/>
      <c r="C43" t="s">
        <v>876</v>
      </c>
      <c r="D43" s="19" t="s">
        <v>849</v>
      </c>
      <c r="E43" s="19">
        <v>33092</v>
      </c>
      <c r="F43" s="19">
        <f t="shared" si="1"/>
        <v>0</v>
      </c>
      <c r="G43" s="19">
        <v>33092</v>
      </c>
      <c r="I43" s="2"/>
      <c r="J43" s="2"/>
      <c r="K43" s="2"/>
      <c r="M43" s="2"/>
      <c r="N43" s="2"/>
      <c r="O43" s="2"/>
      <c r="P43" s="2"/>
      <c r="Q43" s="2"/>
      <c r="R43" s="2"/>
      <c r="S43" s="2"/>
      <c r="T43" s="2"/>
      <c r="U43" s="2"/>
      <c r="V43" s="2"/>
      <c r="AG43" s="131"/>
    </row>
    <row r="44" spans="1:33" s="10" customFormat="1" ht="15.75" thickBot="1" x14ac:dyDescent="0.3">
      <c r="A44"/>
      <c r="B44" s="702"/>
      <c r="C44" s="132"/>
      <c r="D44" s="36"/>
      <c r="E44" s="36"/>
      <c r="F44" s="36">
        <f t="shared" si="1"/>
        <v>0</v>
      </c>
      <c r="G44" s="36"/>
      <c r="I44" s="162"/>
      <c r="J44" s="162"/>
      <c r="K44" s="162"/>
      <c r="L44" s="162"/>
      <c r="M44" s="162"/>
      <c r="N44" s="162"/>
      <c r="O44" s="162"/>
      <c r="P44" s="162"/>
      <c r="Q44" s="162"/>
      <c r="R44" s="162"/>
      <c r="S44" s="162"/>
      <c r="T44" s="162"/>
      <c r="U44" s="162"/>
      <c r="V44" s="162"/>
      <c r="W44"/>
      <c r="X44"/>
      <c r="Y44"/>
      <c r="Z44"/>
      <c r="AA44"/>
      <c r="AB44"/>
      <c r="AG44" s="132"/>
    </row>
    <row r="45" spans="1:33" ht="15.75" thickBot="1" x14ac:dyDescent="0.3">
      <c r="B45" s="370"/>
      <c r="C45" s="10"/>
      <c r="D45" s="162"/>
      <c r="E45" s="162"/>
      <c r="F45" s="162"/>
      <c r="G45" s="162"/>
      <c r="I45" s="2"/>
      <c r="J45" s="2"/>
      <c r="K45" s="2"/>
      <c r="L45" s="2"/>
      <c r="M45" s="2"/>
      <c r="N45" s="2"/>
      <c r="O45" s="2"/>
      <c r="P45" s="2"/>
      <c r="Q45" s="2"/>
      <c r="R45" s="2"/>
      <c r="S45" s="2"/>
      <c r="T45" s="2"/>
      <c r="U45" s="2"/>
      <c r="V45" s="2"/>
      <c r="AG45" s="131"/>
    </row>
    <row r="46" spans="1:33" x14ac:dyDescent="0.25">
      <c r="B46" s="704" t="s">
        <v>93</v>
      </c>
      <c r="C46" s="15" t="s">
        <v>94</v>
      </c>
      <c r="D46" s="80"/>
      <c r="E46" s="20">
        <v>35677</v>
      </c>
      <c r="F46" s="20">
        <f ca="1">SUMIF($J$3:$AG$3,"&gt;"&amp;TODAY(),$J$46:$AG$46)</f>
        <v>0</v>
      </c>
      <c r="G46" s="20"/>
      <c r="I46" s="136">
        <f>SUM(I13:I44)*0.1</f>
        <v>874.5</v>
      </c>
      <c r="J46" s="136">
        <f>SUM(J13:J44)*0.1</f>
        <v>152.5</v>
      </c>
      <c r="K46" s="136">
        <f>SUM(K13:K44)*0.1</f>
        <v>57.5</v>
      </c>
      <c r="L46" s="136">
        <f t="shared" ref="L46:AG46" si="2">SUM(L13:L44)*0.1</f>
        <v>50</v>
      </c>
      <c r="M46" s="136">
        <f t="shared" si="2"/>
        <v>5860.55</v>
      </c>
      <c r="N46" s="136">
        <f t="shared" si="2"/>
        <v>1804.9390000000001</v>
      </c>
      <c r="O46" s="136">
        <f t="shared" si="2"/>
        <v>1640.8810000000003</v>
      </c>
      <c r="P46" s="136">
        <f t="shared" si="2"/>
        <v>3362.0949999999998</v>
      </c>
      <c r="Q46" s="136">
        <f t="shared" si="2"/>
        <v>339</v>
      </c>
      <c r="R46" s="136">
        <f t="shared" si="2"/>
        <v>0</v>
      </c>
      <c r="S46" s="136">
        <f t="shared" si="2"/>
        <v>0</v>
      </c>
      <c r="T46" s="136">
        <f t="shared" si="2"/>
        <v>0</v>
      </c>
      <c r="U46" s="136">
        <f t="shared" si="2"/>
        <v>0</v>
      </c>
      <c r="V46" s="136">
        <f t="shared" si="2"/>
        <v>0</v>
      </c>
      <c r="AC46" s="136">
        <f t="shared" si="2"/>
        <v>0</v>
      </c>
      <c r="AD46" s="136">
        <f t="shared" si="2"/>
        <v>0</v>
      </c>
      <c r="AE46" s="136">
        <f t="shared" si="2"/>
        <v>0</v>
      </c>
      <c r="AF46" s="136">
        <f t="shared" si="2"/>
        <v>0</v>
      </c>
      <c r="AG46" s="140">
        <f t="shared" si="2"/>
        <v>0</v>
      </c>
    </row>
    <row r="47" spans="1:33" ht="15.75" thickBot="1" x14ac:dyDescent="0.3">
      <c r="B47" s="14" t="s">
        <v>95</v>
      </c>
      <c r="C47" s="15"/>
      <c r="D47" s="21"/>
      <c r="F47" s="21">
        <f>SUM(J47:AG47)</f>
        <v>0</v>
      </c>
      <c r="G47" s="21"/>
      <c r="I47" s="2"/>
      <c r="J47" s="2"/>
      <c r="K47" s="2"/>
      <c r="L47" s="2"/>
      <c r="M47" s="2"/>
      <c r="N47" s="2"/>
      <c r="O47" s="2"/>
      <c r="P47" s="2"/>
      <c r="Q47" s="2"/>
      <c r="R47" s="2"/>
      <c r="S47" s="2"/>
      <c r="T47" s="2"/>
      <c r="AC47" s="2"/>
      <c r="AG47" s="131"/>
    </row>
    <row r="48" spans="1:33" ht="15.75" thickBot="1" x14ac:dyDescent="0.3">
      <c r="B48" s="11" t="s">
        <v>98</v>
      </c>
      <c r="C48" s="12"/>
      <c r="D48" s="22"/>
      <c r="E48" s="22">
        <f>SUM(E4:E46)</f>
        <v>512892</v>
      </c>
      <c r="F48" s="22">
        <f ca="1">SUM(F4:F47)</f>
        <v>157110.07</v>
      </c>
      <c r="G48" s="22">
        <f>SUM(G4:G47)</f>
        <v>455215</v>
      </c>
      <c r="I48" s="155">
        <f>SUM(I4:I47)</f>
        <v>9619.5</v>
      </c>
      <c r="J48" s="155">
        <f>SUM(J4:J47)</f>
        <v>-37778.879999999997</v>
      </c>
      <c r="K48" s="155">
        <f>SUM(K4:K47)</f>
        <v>632.5</v>
      </c>
      <c r="L48" s="155">
        <f t="shared" ref="L48:AG48" si="3">SUM(L4:L47)</f>
        <v>550</v>
      </c>
      <c r="M48" s="155">
        <f t="shared" si="3"/>
        <v>64466.05</v>
      </c>
      <c r="N48" s="155">
        <f t="shared" si="3"/>
        <v>19854.328999999998</v>
      </c>
      <c r="O48" s="155">
        <f t="shared" si="3"/>
        <v>18049.691000000003</v>
      </c>
      <c r="P48" s="155">
        <f t="shared" si="3"/>
        <v>36983.044999999998</v>
      </c>
      <c r="Q48" s="155">
        <f t="shared" si="3"/>
        <v>3729</v>
      </c>
      <c r="R48" s="155">
        <f t="shared" si="3"/>
        <v>0</v>
      </c>
      <c r="S48" s="155">
        <f t="shared" si="3"/>
        <v>0</v>
      </c>
      <c r="T48" s="155">
        <f t="shared" si="3"/>
        <v>0</v>
      </c>
      <c r="U48" s="155">
        <f t="shared" si="3"/>
        <v>0</v>
      </c>
      <c r="V48" s="155">
        <f t="shared" si="3"/>
        <v>0</v>
      </c>
      <c r="AC48" s="155">
        <f t="shared" si="3"/>
        <v>0</v>
      </c>
      <c r="AD48" s="155">
        <f t="shared" si="3"/>
        <v>0</v>
      </c>
      <c r="AE48" s="155">
        <f t="shared" si="3"/>
        <v>0</v>
      </c>
      <c r="AF48" s="155">
        <f t="shared" si="3"/>
        <v>0</v>
      </c>
      <c r="AG48" s="156">
        <f t="shared" si="3"/>
        <v>0</v>
      </c>
    </row>
    <row r="49" spans="2:33" ht="15.75" thickBot="1" x14ac:dyDescent="0.3">
      <c r="B49" s="9" t="s">
        <v>176</v>
      </c>
      <c r="C49" s="183"/>
      <c r="D49" s="36"/>
      <c r="E49" s="36"/>
      <c r="F49" s="36"/>
      <c r="G49" s="36"/>
      <c r="I49" s="2"/>
      <c r="J49" s="2"/>
      <c r="K49" s="2"/>
      <c r="L49" s="2"/>
      <c r="M49" s="2"/>
      <c r="N49" s="2"/>
      <c r="O49" s="2"/>
      <c r="P49" s="2"/>
      <c r="Q49" s="2"/>
      <c r="R49" s="2"/>
      <c r="S49" s="2"/>
      <c r="T49" s="2"/>
      <c r="U49" s="2"/>
      <c r="V49" s="2"/>
      <c r="AG49" s="131"/>
    </row>
    <row r="50" spans="2:33" ht="15.75" thickBot="1" x14ac:dyDescent="0.3">
      <c r="B50" s="35" t="s">
        <v>100</v>
      </c>
      <c r="C50" s="10"/>
      <c r="D50" s="23"/>
      <c r="E50" s="23"/>
      <c r="F50" s="23"/>
      <c r="G50" s="23"/>
      <c r="I50" s="10"/>
      <c r="J50" s="10"/>
      <c r="K50" s="10"/>
      <c r="L50" s="10"/>
      <c r="M50" s="10"/>
      <c r="N50" s="10"/>
      <c r="O50" s="10"/>
      <c r="P50" s="10"/>
      <c r="Q50" s="10"/>
      <c r="R50" s="10"/>
      <c r="S50" s="10"/>
      <c r="T50" s="10"/>
      <c r="U50" s="10"/>
      <c r="V50" s="10"/>
      <c r="AC50" s="10"/>
      <c r="AD50" s="10"/>
      <c r="AE50" s="10"/>
      <c r="AF50" s="10"/>
      <c r="AG50" s="13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39385-0885-4316-A13F-E21A5ED45743}">
  <dimension ref="A1:DH198"/>
  <sheetViews>
    <sheetView workbookViewId="0">
      <pane xSplit="3" ySplit="5" topLeftCell="D74" activePane="bottomRight" state="frozen"/>
      <selection pane="topRight" activeCell="D1" sqref="D1"/>
      <selection pane="bottomLeft" activeCell="A5" sqref="A5"/>
      <selection pane="bottomRight" activeCell="B107" sqref="B107"/>
    </sheetView>
  </sheetViews>
  <sheetFormatPr defaultRowHeight="15" x14ac:dyDescent="0.25"/>
  <cols>
    <col min="1" max="1" width="23.5703125" customWidth="1"/>
    <col min="2" max="2" width="20.140625" customWidth="1"/>
    <col min="3" max="3" width="43.28515625" customWidth="1"/>
    <col min="4" max="4" width="14.7109375" customWidth="1"/>
    <col min="5" max="5" width="15.85546875" customWidth="1"/>
    <col min="6" max="6" width="11.28515625" customWidth="1"/>
    <col min="7" max="7" width="14.28515625" customWidth="1"/>
    <col min="8" max="8" width="15.28515625" customWidth="1"/>
    <col min="9" max="9" width="14.85546875" customWidth="1"/>
    <col min="10" max="10" width="15.28515625" customWidth="1"/>
    <col min="11" max="11" width="16" customWidth="1"/>
    <col min="12" max="12" width="15.5703125" customWidth="1"/>
    <col min="13" max="13" width="12.28515625" customWidth="1"/>
    <col min="14" max="14" width="7.28515625" customWidth="1"/>
    <col min="15" max="16" width="0" hidden="1" customWidth="1"/>
    <col min="17" max="17" width="11.5703125" hidden="1" customWidth="1"/>
    <col min="18" max="26" width="0" hidden="1" customWidth="1"/>
    <col min="27" max="27" width="9" style="797" bestFit="1" customWidth="1"/>
    <col min="28" max="39" width="0" hidden="1" customWidth="1"/>
    <col min="40" max="40" width="10.28515625" style="797" customWidth="1"/>
    <col min="41" max="41" width="12.7109375" style="797" customWidth="1"/>
    <col min="42" max="42" width="14.28515625" style="797" customWidth="1"/>
    <col min="43" max="43" width="15.28515625" style="797" customWidth="1"/>
    <col min="44" max="44" width="16.140625" style="797" customWidth="1"/>
    <col min="45" max="45" width="12.140625" style="797" customWidth="1"/>
    <col min="46" max="46" width="11.28515625" style="797" bestFit="1" customWidth="1"/>
    <col min="47" max="56" width="8.85546875" hidden="1" customWidth="1"/>
    <col min="57" max="57" width="11.42578125" hidden="1" customWidth="1"/>
    <col min="58" max="58" width="8.85546875" hidden="1" customWidth="1"/>
    <col min="59" max="59" width="14.7109375" style="797" customWidth="1"/>
    <col min="60" max="60" width="15.5703125" customWidth="1"/>
    <col min="63" max="63" width="12.28515625" customWidth="1"/>
    <col min="64" max="64" width="13.140625" customWidth="1"/>
    <col min="65" max="65" width="11.7109375" customWidth="1"/>
    <col min="66" max="66" width="12.7109375" customWidth="1"/>
    <col min="67" max="67" width="11.85546875" customWidth="1"/>
    <col min="68" max="68" width="11.42578125" customWidth="1"/>
    <col min="69" max="69" width="12.5703125" customWidth="1"/>
    <col min="70" max="70" width="11.28515625" customWidth="1"/>
    <col min="71" max="71" width="12.140625" customWidth="1"/>
    <col min="72" max="72" width="14.7109375" style="797" customWidth="1"/>
    <col min="73" max="73" width="10" customWidth="1"/>
    <col min="76" max="76" width="11.28515625" customWidth="1"/>
    <col min="85" max="85" width="14.28515625" style="797" customWidth="1"/>
    <col min="89" max="89" width="12.5703125" customWidth="1"/>
    <col min="95" max="95" width="11.28515625" customWidth="1"/>
    <col min="97" max="97" width="10.85546875" customWidth="1"/>
    <col min="98" max="98" width="12.28515625" style="797" customWidth="1"/>
    <col min="102" max="102" width="12.5703125" customWidth="1"/>
    <col min="111" max="111" width="12" style="797" customWidth="1"/>
  </cols>
  <sheetData>
    <row r="1" spans="1:112" x14ac:dyDescent="0.25">
      <c r="B1" s="796">
        <f>+H166</f>
        <v>7965266.5500000007</v>
      </c>
      <c r="C1" t="s">
        <v>877</v>
      </c>
      <c r="CI1" t="s">
        <v>878</v>
      </c>
      <c r="CN1" t="s">
        <v>879</v>
      </c>
    </row>
    <row r="2" spans="1:112" x14ac:dyDescent="0.25">
      <c r="A2" s="381" t="s">
        <v>880</v>
      </c>
      <c r="B2" s="796">
        <f>+L166</f>
        <v>7965802</v>
      </c>
      <c r="C2" t="s">
        <v>881</v>
      </c>
      <c r="H2" s="330"/>
      <c r="I2" s="330"/>
      <c r="J2" s="330"/>
      <c r="K2" s="330"/>
      <c r="L2" s="330"/>
      <c r="M2" s="330"/>
      <c r="N2" s="330"/>
      <c r="O2" s="330"/>
      <c r="P2" s="330"/>
      <c r="Q2" s="330"/>
      <c r="R2" s="330"/>
      <c r="S2" s="330"/>
      <c r="Y2" s="138"/>
    </row>
    <row r="3" spans="1:112" x14ac:dyDescent="0.25">
      <c r="B3" s="426">
        <f>+H179</f>
        <v>2070540</v>
      </c>
      <c r="C3" t="s">
        <v>882</v>
      </c>
      <c r="H3" s="330"/>
      <c r="I3" s="330"/>
      <c r="J3" s="330"/>
      <c r="O3" s="958">
        <v>2021</v>
      </c>
      <c r="P3" s="958"/>
      <c r="Q3" s="958"/>
      <c r="R3" s="958"/>
      <c r="S3" s="958"/>
      <c r="T3" s="958"/>
      <c r="U3" s="958"/>
      <c r="V3" s="958"/>
      <c r="W3" s="958"/>
      <c r="X3" s="958"/>
      <c r="Y3" s="958"/>
      <c r="Z3" s="958"/>
      <c r="AA3" s="798"/>
      <c r="AB3" s="958">
        <v>2022</v>
      </c>
      <c r="AC3" s="958"/>
      <c r="AD3" s="958"/>
      <c r="AE3" s="958"/>
      <c r="AF3" s="958"/>
      <c r="AG3" s="958"/>
      <c r="AH3" s="958"/>
      <c r="AI3" s="958"/>
      <c r="AJ3" s="958"/>
      <c r="AK3" s="958"/>
      <c r="AL3" s="958"/>
      <c r="AM3" s="958"/>
      <c r="AN3" s="798"/>
      <c r="AO3" s="798"/>
      <c r="AP3" s="798"/>
      <c r="AQ3" s="798"/>
      <c r="AR3" s="798"/>
      <c r="AS3" s="798"/>
      <c r="AT3" s="798"/>
      <c r="AU3" s="958">
        <v>2023</v>
      </c>
      <c r="AV3" s="958"/>
      <c r="AW3" s="958"/>
      <c r="AX3" s="958"/>
      <c r="AY3" s="958"/>
      <c r="AZ3" s="958"/>
      <c r="BA3" s="958"/>
      <c r="BB3" s="958"/>
      <c r="BC3" s="958"/>
      <c r="BD3" s="958"/>
      <c r="BE3" s="958"/>
      <c r="BF3" s="958"/>
      <c r="BG3" s="798"/>
      <c r="BH3" s="958">
        <v>2024</v>
      </c>
      <c r="BI3" s="958"/>
      <c r="BJ3" s="958"/>
      <c r="BK3" s="958"/>
      <c r="BL3" s="958"/>
      <c r="BM3" s="958"/>
      <c r="BN3" s="958"/>
      <c r="BO3" s="958"/>
      <c r="BP3" s="958"/>
      <c r="BQ3" s="958"/>
      <c r="BR3" s="958"/>
      <c r="BS3" s="958"/>
      <c r="BT3" s="798"/>
      <c r="BU3" s="958">
        <v>2025</v>
      </c>
      <c r="BV3" s="958"/>
      <c r="BW3" s="958"/>
      <c r="BX3" s="958"/>
      <c r="BY3" s="958"/>
      <c r="BZ3" s="958"/>
      <c r="CA3" s="958"/>
      <c r="CB3" s="958"/>
      <c r="CC3" s="958"/>
      <c r="CD3" s="958"/>
      <c r="CE3" s="958"/>
      <c r="CF3" s="958"/>
      <c r="CG3" s="798"/>
      <c r="CH3" s="958">
        <v>2026</v>
      </c>
      <c r="CI3" s="958"/>
      <c r="CJ3" s="958"/>
      <c r="CK3" s="958"/>
      <c r="CL3" s="958"/>
      <c r="CM3" s="958"/>
      <c r="CN3" s="958"/>
      <c r="CO3" s="958"/>
      <c r="CP3" s="958"/>
      <c r="CQ3" s="958"/>
      <c r="CR3" s="958"/>
      <c r="CS3" s="958"/>
      <c r="CT3" s="798"/>
      <c r="CU3" s="958">
        <v>2027</v>
      </c>
      <c r="CV3" s="958"/>
      <c r="CW3" s="958"/>
      <c r="CX3" s="958"/>
      <c r="CY3" s="958"/>
      <c r="CZ3" s="958"/>
      <c r="DA3" s="958"/>
      <c r="DB3" s="958"/>
      <c r="DC3" s="958"/>
      <c r="DD3" s="958"/>
      <c r="DE3" s="958"/>
      <c r="DF3" s="958"/>
      <c r="DG3" s="798"/>
    </row>
    <row r="4" spans="1:112" s="864" customFormat="1" ht="15.75" thickBot="1" x14ac:dyDescent="0.3">
      <c r="A4" s="861"/>
      <c r="B4" s="862"/>
      <c r="C4" s="863"/>
      <c r="D4" s="862"/>
      <c r="H4" s="865"/>
      <c r="I4" s="865"/>
      <c r="J4" s="865"/>
      <c r="K4" s="865"/>
      <c r="L4" s="865"/>
      <c r="M4" s="865"/>
      <c r="N4" s="865"/>
      <c r="O4" s="866"/>
      <c r="P4" s="866"/>
      <c r="Q4" s="866"/>
      <c r="R4" s="866"/>
      <c r="S4" s="866"/>
      <c r="T4" s="866"/>
      <c r="U4" s="866"/>
      <c r="V4" s="866"/>
      <c r="W4" s="866"/>
      <c r="X4" s="866"/>
      <c r="Y4" s="866"/>
      <c r="Z4" s="866"/>
      <c r="AA4" s="867"/>
      <c r="AB4" s="867"/>
      <c r="AC4" s="867"/>
      <c r="AD4" s="867"/>
      <c r="AE4" s="867"/>
      <c r="AF4" s="867"/>
      <c r="AG4" s="867"/>
      <c r="AH4" s="867"/>
      <c r="AI4" s="867"/>
      <c r="AJ4" s="867"/>
      <c r="AK4" s="867"/>
      <c r="AL4" s="867"/>
      <c r="AM4" s="867"/>
      <c r="AN4" s="867"/>
      <c r="AO4" s="867"/>
      <c r="AP4" s="867"/>
      <c r="AQ4" s="867"/>
      <c r="AR4" s="867"/>
      <c r="AS4" s="867"/>
      <c r="AT4" s="867"/>
      <c r="AU4" s="866"/>
      <c r="AV4" s="866"/>
      <c r="AW4" s="866"/>
      <c r="AX4" s="866"/>
      <c r="AY4" s="866"/>
      <c r="AZ4" s="866"/>
      <c r="BA4" s="866"/>
      <c r="BB4" s="866"/>
      <c r="BC4" s="866"/>
      <c r="BD4" s="866"/>
      <c r="BE4" s="866"/>
      <c r="BF4" s="866"/>
      <c r="BG4" s="865"/>
      <c r="BH4" s="867">
        <f>+BH166</f>
        <v>0</v>
      </c>
      <c r="BI4" s="867">
        <f t="shared" ref="BI4:BT4" si="0">+BI166</f>
        <v>0</v>
      </c>
      <c r="BJ4" s="867">
        <f t="shared" si="0"/>
        <v>0</v>
      </c>
      <c r="BK4" s="867">
        <f t="shared" si="0"/>
        <v>24900</v>
      </c>
      <c r="BL4" s="867">
        <f t="shared" si="0"/>
        <v>194422</v>
      </c>
      <c r="BM4" s="867">
        <f t="shared" si="0"/>
        <v>66545</v>
      </c>
      <c r="BN4" s="867">
        <f t="shared" si="0"/>
        <v>44687</v>
      </c>
      <c r="BO4" s="867">
        <f t="shared" si="0"/>
        <v>116406.37999999999</v>
      </c>
      <c r="BP4" s="867">
        <f t="shared" si="0"/>
        <v>329250.59999999998</v>
      </c>
      <c r="BQ4" s="867">
        <f t="shared" si="0"/>
        <v>202326</v>
      </c>
      <c r="BR4" s="867">
        <f t="shared" si="0"/>
        <v>346037</v>
      </c>
      <c r="BS4" s="867">
        <f t="shared" si="0"/>
        <v>315275</v>
      </c>
      <c r="BT4" s="867">
        <f t="shared" si="0"/>
        <v>1639848.98</v>
      </c>
      <c r="BU4" s="867"/>
      <c r="BV4" s="867"/>
      <c r="BW4" s="867"/>
      <c r="BX4" s="867"/>
      <c r="BY4" s="867"/>
      <c r="BZ4" s="867"/>
      <c r="CA4" s="867"/>
      <c r="CB4" s="867"/>
      <c r="CC4" s="867"/>
      <c r="CD4" s="867"/>
      <c r="CE4" s="867"/>
      <c r="CF4" s="867"/>
      <c r="CG4" s="867"/>
      <c r="CH4" s="867"/>
      <c r="CI4" s="867"/>
      <c r="CJ4" s="867"/>
      <c r="CK4" s="867"/>
      <c r="CL4" s="867"/>
      <c r="CM4" s="867"/>
      <c r="CN4" s="867"/>
      <c r="CO4" s="867"/>
      <c r="CP4" s="867"/>
      <c r="CQ4" s="867"/>
      <c r="CR4" s="867"/>
      <c r="CS4" s="867"/>
      <c r="CT4" s="867"/>
      <c r="CU4" s="867"/>
      <c r="CV4" s="867"/>
      <c r="CW4" s="867"/>
      <c r="CX4" s="867"/>
      <c r="CY4" s="867"/>
      <c r="CZ4" s="867"/>
      <c r="DA4" s="867"/>
      <c r="DB4" s="867"/>
      <c r="DC4" s="867"/>
      <c r="DD4" s="867"/>
      <c r="DE4" s="867"/>
      <c r="DF4" s="867"/>
      <c r="DG4" s="867"/>
      <c r="DH4" s="867"/>
    </row>
    <row r="5" spans="1:112" ht="45.75" thickBot="1" x14ac:dyDescent="0.3">
      <c r="A5" s="392" t="s">
        <v>16</v>
      </c>
      <c r="B5" s="409" t="s">
        <v>883</v>
      </c>
      <c r="C5" s="409" t="s">
        <v>884</v>
      </c>
      <c r="D5" s="409" t="s">
        <v>885</v>
      </c>
      <c r="E5" s="409" t="s">
        <v>886</v>
      </c>
      <c r="F5" s="409" t="s">
        <v>887</v>
      </c>
      <c r="G5" s="409" t="s">
        <v>888</v>
      </c>
      <c r="H5" s="331" t="s">
        <v>889</v>
      </c>
      <c r="I5" s="331" t="s">
        <v>890</v>
      </c>
      <c r="J5" s="331" t="s">
        <v>891</v>
      </c>
      <c r="K5" s="93" t="s">
        <v>892</v>
      </c>
      <c r="L5" s="391" t="s">
        <v>893</v>
      </c>
      <c r="M5" s="392" t="s">
        <v>894</v>
      </c>
      <c r="N5" s="393" t="s">
        <v>23</v>
      </c>
      <c r="O5" s="799">
        <v>44197</v>
      </c>
      <c r="P5" s="799">
        <v>44228</v>
      </c>
      <c r="Q5" s="799">
        <v>44256</v>
      </c>
      <c r="R5" s="799">
        <v>44287</v>
      </c>
      <c r="S5" s="799">
        <v>44317</v>
      </c>
      <c r="T5" s="799">
        <v>44348</v>
      </c>
      <c r="U5" s="799">
        <v>44378</v>
      </c>
      <c r="V5" s="799">
        <v>44409</v>
      </c>
      <c r="W5" s="799">
        <v>44440</v>
      </c>
      <c r="X5" s="799">
        <v>44470</v>
      </c>
      <c r="Y5" s="799">
        <v>44501</v>
      </c>
      <c r="Z5" s="799">
        <v>44531</v>
      </c>
      <c r="AA5" s="800" t="s">
        <v>895</v>
      </c>
      <c r="AB5" s="799">
        <v>44562</v>
      </c>
      <c r="AC5" s="799">
        <v>44593</v>
      </c>
      <c r="AD5" s="799">
        <v>44621</v>
      </c>
      <c r="AE5" s="799">
        <v>44652</v>
      </c>
      <c r="AF5" s="799">
        <v>44682</v>
      </c>
      <c r="AG5" s="799">
        <v>44713</v>
      </c>
      <c r="AH5" s="799">
        <v>44743</v>
      </c>
      <c r="AI5" s="799">
        <v>44774</v>
      </c>
      <c r="AJ5" s="799">
        <v>44805</v>
      </c>
      <c r="AK5" s="799">
        <v>44835</v>
      </c>
      <c r="AL5" s="799">
        <v>44866</v>
      </c>
      <c r="AM5" s="799">
        <v>44896</v>
      </c>
      <c r="AN5" s="800" t="s">
        <v>896</v>
      </c>
      <c r="AO5" s="800" t="s">
        <v>897</v>
      </c>
      <c r="AP5" s="800" t="s">
        <v>898</v>
      </c>
      <c r="AQ5" s="800" t="s">
        <v>899</v>
      </c>
      <c r="AR5" s="800" t="s">
        <v>900</v>
      </c>
      <c r="AS5" s="800" t="s">
        <v>901</v>
      </c>
      <c r="AT5" s="800" t="s">
        <v>902</v>
      </c>
      <c r="AU5" s="799">
        <v>44927</v>
      </c>
      <c r="AV5" s="799">
        <v>44958</v>
      </c>
      <c r="AW5" s="799">
        <v>44986</v>
      </c>
      <c r="AX5" s="799">
        <v>45017</v>
      </c>
      <c r="AY5" s="799">
        <v>45047</v>
      </c>
      <c r="AZ5" s="799">
        <v>45078</v>
      </c>
      <c r="BA5" s="799">
        <v>45108</v>
      </c>
      <c r="BB5" s="799">
        <v>45139</v>
      </c>
      <c r="BC5" s="799">
        <v>45170</v>
      </c>
      <c r="BD5" s="799">
        <v>45200</v>
      </c>
      <c r="BE5" s="799">
        <v>45231</v>
      </c>
      <c r="BF5" s="799">
        <v>45261</v>
      </c>
      <c r="BG5" s="800" t="s">
        <v>897</v>
      </c>
      <c r="BH5" s="799">
        <v>45292</v>
      </c>
      <c r="BI5" s="799">
        <v>45323</v>
      </c>
      <c r="BJ5" s="799">
        <v>45352</v>
      </c>
      <c r="BK5" s="799">
        <v>45383</v>
      </c>
      <c r="BL5" s="71">
        <v>45413</v>
      </c>
      <c r="BM5" s="71">
        <v>45444</v>
      </c>
      <c r="BN5" s="71">
        <v>45474</v>
      </c>
      <c r="BO5" s="71">
        <v>45505</v>
      </c>
      <c r="BP5" s="71">
        <v>45536</v>
      </c>
      <c r="BQ5" s="71">
        <v>45566</v>
      </c>
      <c r="BR5" s="71">
        <v>45597</v>
      </c>
      <c r="BS5" s="71">
        <v>45627</v>
      </c>
      <c r="BT5" s="800" t="s">
        <v>903</v>
      </c>
      <c r="BU5" s="71">
        <v>45658</v>
      </c>
      <c r="BV5" s="71">
        <v>45689</v>
      </c>
      <c r="BW5" s="71">
        <v>45717</v>
      </c>
      <c r="BX5" s="71">
        <v>45748</v>
      </c>
      <c r="BY5" s="71">
        <v>45778</v>
      </c>
      <c r="BZ5" s="71">
        <v>45809</v>
      </c>
      <c r="CA5" s="71">
        <v>45839</v>
      </c>
      <c r="CB5" s="71">
        <v>45870</v>
      </c>
      <c r="CC5" s="71">
        <v>45901</v>
      </c>
      <c r="CD5" s="71">
        <v>45931</v>
      </c>
      <c r="CE5" s="71">
        <v>45962</v>
      </c>
      <c r="CF5" s="71">
        <v>45992</v>
      </c>
      <c r="CG5" s="800" t="s">
        <v>904</v>
      </c>
      <c r="CH5" s="71">
        <v>46023</v>
      </c>
      <c r="CI5" s="71">
        <v>46054</v>
      </c>
      <c r="CJ5" s="71">
        <v>46082</v>
      </c>
      <c r="CK5" s="71">
        <v>46113</v>
      </c>
      <c r="CL5" s="71">
        <v>46143</v>
      </c>
      <c r="CM5" s="71">
        <v>46174</v>
      </c>
      <c r="CN5" s="71">
        <v>46204</v>
      </c>
      <c r="CO5" s="71">
        <v>46235</v>
      </c>
      <c r="CP5" s="71">
        <v>46266</v>
      </c>
      <c r="CQ5" s="71">
        <v>46296</v>
      </c>
      <c r="CR5" s="71">
        <v>46327</v>
      </c>
      <c r="CS5" s="71">
        <v>46357</v>
      </c>
      <c r="CT5" s="800" t="s">
        <v>905</v>
      </c>
      <c r="CU5" s="71">
        <v>46388</v>
      </c>
      <c r="CV5" s="71">
        <v>46419</v>
      </c>
      <c r="CW5" s="71">
        <v>46447</v>
      </c>
      <c r="CX5" s="71">
        <v>46478</v>
      </c>
      <c r="CY5" s="71">
        <v>46508</v>
      </c>
      <c r="CZ5" s="71">
        <v>46539</v>
      </c>
      <c r="DA5" s="71">
        <v>46569</v>
      </c>
      <c r="DB5" s="71">
        <v>46600</v>
      </c>
      <c r="DC5" s="71">
        <v>46631</v>
      </c>
      <c r="DD5" s="71">
        <v>46661</v>
      </c>
      <c r="DE5" s="71">
        <v>46692</v>
      </c>
      <c r="DF5" s="71">
        <v>46722</v>
      </c>
      <c r="DG5" s="800" t="s">
        <v>906</v>
      </c>
      <c r="DH5" s="71">
        <v>46753</v>
      </c>
    </row>
    <row r="6" spans="1:112" x14ac:dyDescent="0.25">
      <c r="A6" s="959" t="s">
        <v>907</v>
      </c>
      <c r="B6" s="801"/>
      <c r="C6" s="54" t="s">
        <v>908</v>
      </c>
      <c r="D6" s="54"/>
      <c r="E6" s="54"/>
      <c r="F6" s="54"/>
      <c r="G6" s="54"/>
      <c r="H6" s="802" t="s">
        <v>909</v>
      </c>
      <c r="I6" s="803">
        <f t="shared" ref="I6:I20" si="1">+AA6+AN6+AO6</f>
        <v>0</v>
      </c>
      <c r="J6" s="803">
        <f>SUM(BH6:BM6)</f>
        <v>0</v>
      </c>
      <c r="K6" s="804">
        <v>0</v>
      </c>
      <c r="L6" s="805">
        <f t="shared" ref="L6:L20" si="2">+AA6+AN6+AO6+BT6+CG6+CT6+DG6+DH6</f>
        <v>0</v>
      </c>
      <c r="M6" s="804">
        <v>0</v>
      </c>
      <c r="N6" s="394"/>
      <c r="O6" s="2"/>
      <c r="P6" s="2"/>
      <c r="Q6" s="2"/>
      <c r="R6" s="2"/>
      <c r="T6" s="2"/>
      <c r="U6" s="2"/>
      <c r="V6" s="2"/>
      <c r="W6" s="2"/>
      <c r="X6" s="2"/>
      <c r="Y6" s="2"/>
      <c r="Z6" s="2"/>
      <c r="AA6" s="806">
        <f t="shared" ref="AA6:AA20" si="3">SUM(O6:Z6)</f>
        <v>0</v>
      </c>
      <c r="AB6" s="2"/>
      <c r="AC6" s="2"/>
      <c r="AD6" s="2"/>
      <c r="AE6" s="2"/>
      <c r="AF6" s="2"/>
      <c r="AG6" s="2"/>
      <c r="AH6" s="2"/>
      <c r="AI6" s="2"/>
      <c r="AJ6" s="2"/>
      <c r="AK6" s="2"/>
      <c r="AL6" s="2"/>
      <c r="AM6" s="2"/>
      <c r="AN6" s="806">
        <f t="shared" ref="AN6:AN20" si="4">SUM(AB6:AM6)</f>
        <v>0</v>
      </c>
      <c r="AO6" s="806">
        <f t="shared" ref="AO6:AO20" si="5">SUM(AU6:BF6)</f>
        <v>0</v>
      </c>
      <c r="AP6" s="806">
        <f t="shared" ref="AP6:AP20" si="6">+BT6</f>
        <v>0</v>
      </c>
      <c r="AQ6" s="806">
        <f t="shared" ref="AQ6:AQ20" si="7">+CG6</f>
        <v>0</v>
      </c>
      <c r="AR6" s="806">
        <f t="shared" ref="AR6:AR20" si="8">+CT6</f>
        <v>0</v>
      </c>
      <c r="AS6" s="806">
        <f t="shared" ref="AS6:AT20" si="9">+DG6</f>
        <v>0</v>
      </c>
      <c r="AT6" s="806">
        <f t="shared" si="9"/>
        <v>0</v>
      </c>
      <c r="AU6" s="2"/>
      <c r="AV6" s="2"/>
      <c r="AW6" s="2"/>
      <c r="AX6" s="2"/>
      <c r="AY6" s="2"/>
      <c r="AZ6" s="2"/>
      <c r="BA6" s="2"/>
      <c r="BB6" s="2"/>
      <c r="BC6" s="2"/>
      <c r="BD6" s="2"/>
      <c r="BE6" s="2"/>
      <c r="BF6" s="2"/>
      <c r="BG6" s="806">
        <f>SUM(AU6:BF6)</f>
        <v>0</v>
      </c>
      <c r="BH6" s="807"/>
      <c r="BI6" s="807"/>
      <c r="BJ6" s="807"/>
      <c r="BK6" s="807"/>
      <c r="BL6" s="807"/>
      <c r="BM6" s="807"/>
      <c r="BN6" s="807"/>
      <c r="BO6" s="807"/>
      <c r="BP6" s="807"/>
      <c r="BQ6" s="807"/>
      <c r="BR6" s="807"/>
      <c r="BS6" s="807"/>
      <c r="BT6" s="806">
        <f>SUM(BH6:BS6)</f>
        <v>0</v>
      </c>
      <c r="CG6" s="806">
        <f>SUM(BU6:CF6)</f>
        <v>0</v>
      </c>
      <c r="CT6" s="806">
        <f>SUM(CH6:CS6)</f>
        <v>0</v>
      </c>
      <c r="DG6" s="806">
        <f>SUM(CU6:DF6)</f>
        <v>0</v>
      </c>
    </row>
    <row r="7" spans="1:112" x14ac:dyDescent="0.25">
      <c r="A7" s="959"/>
      <c r="B7" s="801"/>
      <c r="C7" s="54" t="s">
        <v>910</v>
      </c>
      <c r="D7" s="54" t="s">
        <v>911</v>
      </c>
      <c r="E7" s="54"/>
      <c r="F7" s="54"/>
      <c r="G7" s="808">
        <v>15000</v>
      </c>
      <c r="H7" s="802">
        <v>15000</v>
      </c>
      <c r="I7" s="803">
        <f t="shared" si="1"/>
        <v>15000</v>
      </c>
      <c r="J7" s="803">
        <f t="shared" ref="J7:J17" si="10">SUM(BH7:BM7)</f>
        <v>0</v>
      </c>
      <c r="K7" s="809">
        <f t="shared" ref="K7:K20" si="11">+H7-I7</f>
        <v>0</v>
      </c>
      <c r="L7" s="810">
        <f t="shared" si="2"/>
        <v>15000</v>
      </c>
      <c r="M7" s="394">
        <f>+IF(G7&gt;0,G7-L7,H7-L7)</f>
        <v>0</v>
      </c>
      <c r="N7" s="394"/>
      <c r="O7" s="2"/>
      <c r="P7" s="2"/>
      <c r="Q7" s="2"/>
      <c r="R7" s="2"/>
      <c r="T7" s="2"/>
      <c r="U7" s="2"/>
      <c r="V7" s="2"/>
      <c r="W7" s="2"/>
      <c r="X7" s="2"/>
      <c r="Y7" s="2"/>
      <c r="Z7" s="2"/>
      <c r="AA7" s="806">
        <f t="shared" si="3"/>
        <v>0</v>
      </c>
      <c r="AB7" s="2"/>
      <c r="AC7" s="2"/>
      <c r="AD7" s="2"/>
      <c r="AE7" s="2"/>
      <c r="AF7" s="2"/>
      <c r="AG7" s="2"/>
      <c r="AH7" s="2"/>
      <c r="AI7" s="2"/>
      <c r="AJ7" s="2"/>
      <c r="AK7" s="2"/>
      <c r="AL7" s="2"/>
      <c r="AM7" s="2"/>
      <c r="AN7" s="806">
        <f t="shared" si="4"/>
        <v>0</v>
      </c>
      <c r="AO7" s="806">
        <f t="shared" si="5"/>
        <v>15000</v>
      </c>
      <c r="AP7" s="806">
        <f t="shared" si="6"/>
        <v>0</v>
      </c>
      <c r="AQ7" s="806">
        <f t="shared" si="7"/>
        <v>0</v>
      </c>
      <c r="AR7" s="806">
        <f t="shared" si="8"/>
        <v>0</v>
      </c>
      <c r="AS7" s="806">
        <f t="shared" si="9"/>
        <v>0</v>
      </c>
      <c r="AT7" s="806">
        <f t="shared" si="9"/>
        <v>0</v>
      </c>
      <c r="AU7" s="2"/>
      <c r="AV7" s="2"/>
      <c r="AW7" s="2"/>
      <c r="AX7" s="2"/>
      <c r="AY7" s="2"/>
      <c r="AZ7" s="2"/>
      <c r="BA7" s="2"/>
      <c r="BB7" s="2"/>
      <c r="BC7" s="2"/>
      <c r="BD7" s="2"/>
      <c r="BE7" s="2">
        <v>15000</v>
      </c>
      <c r="BF7" s="2"/>
      <c r="BG7" s="806">
        <f t="shared" ref="BG7:BG20" si="12">SUM(AU7:BF7)</f>
        <v>15000</v>
      </c>
      <c r="BH7" s="807"/>
      <c r="BI7" s="807"/>
      <c r="BJ7" s="807"/>
      <c r="BK7" s="807"/>
      <c r="BL7" s="807"/>
      <c r="BM7" s="807"/>
      <c r="BN7" s="807"/>
      <c r="BO7" s="807"/>
      <c r="BP7" s="807"/>
      <c r="BQ7" s="807"/>
      <c r="BR7" s="807"/>
      <c r="BS7" s="807"/>
      <c r="BT7" s="806">
        <f t="shared" ref="BT7:BT20" si="13">SUM(BH7:BS7)</f>
        <v>0</v>
      </c>
      <c r="CG7" s="806">
        <f t="shared" ref="CG7:CG20" si="14">SUM(BU7:CF7)</f>
        <v>0</v>
      </c>
      <c r="CT7" s="806">
        <f t="shared" ref="CT7:CT20" si="15">SUM(CH7:CS7)</f>
        <v>0</v>
      </c>
      <c r="DG7" s="806">
        <f t="shared" ref="DG7:DG71" si="16">SUM(CU7:DF7)</f>
        <v>0</v>
      </c>
    </row>
    <row r="8" spans="1:112" x14ac:dyDescent="0.25">
      <c r="A8" s="959"/>
      <c r="B8" s="801" t="s">
        <v>561</v>
      </c>
      <c r="C8" s="54" t="s">
        <v>912</v>
      </c>
      <c r="D8" s="54" t="s">
        <v>913</v>
      </c>
      <c r="E8" s="54"/>
      <c r="F8" s="54"/>
      <c r="G8" s="808">
        <v>18000</v>
      </c>
      <c r="H8" s="802">
        <v>18000</v>
      </c>
      <c r="I8" s="803">
        <f t="shared" si="1"/>
        <v>18000</v>
      </c>
      <c r="J8" s="803">
        <f t="shared" si="10"/>
        <v>0</v>
      </c>
      <c r="K8" s="809">
        <f t="shared" si="11"/>
        <v>0</v>
      </c>
      <c r="L8" s="810">
        <f t="shared" si="2"/>
        <v>18000</v>
      </c>
      <c r="M8" s="394">
        <f>+IF(G8&gt;0,G8-L8,H8-L8)</f>
        <v>0</v>
      </c>
      <c r="N8" s="394"/>
      <c r="O8" s="2"/>
      <c r="P8" s="2"/>
      <c r="Q8" s="2"/>
      <c r="R8" s="2"/>
      <c r="T8" s="2"/>
      <c r="U8" s="2"/>
      <c r="V8" s="2"/>
      <c r="W8" s="2"/>
      <c r="X8" s="2"/>
      <c r="Y8" s="2"/>
      <c r="Z8" s="2"/>
      <c r="AA8" s="806">
        <f t="shared" si="3"/>
        <v>0</v>
      </c>
      <c r="AB8" s="2"/>
      <c r="AC8" s="2"/>
      <c r="AD8" s="2"/>
      <c r="AE8" s="2"/>
      <c r="AF8" s="2"/>
      <c r="AG8" s="2"/>
      <c r="AH8" s="2"/>
      <c r="AI8" s="2"/>
      <c r="AJ8" s="2"/>
      <c r="AK8" s="2"/>
      <c r="AL8" s="2"/>
      <c r="AM8" s="2"/>
      <c r="AN8" s="806">
        <f t="shared" si="4"/>
        <v>0</v>
      </c>
      <c r="AO8" s="806">
        <f t="shared" si="5"/>
        <v>18000</v>
      </c>
      <c r="AP8" s="806">
        <f t="shared" si="6"/>
        <v>0</v>
      </c>
      <c r="AQ8" s="806">
        <f t="shared" si="7"/>
        <v>0</v>
      </c>
      <c r="AR8" s="806">
        <f t="shared" si="8"/>
        <v>0</v>
      </c>
      <c r="AS8" s="806">
        <f t="shared" si="9"/>
        <v>0</v>
      </c>
      <c r="AT8" s="806">
        <f t="shared" si="9"/>
        <v>0</v>
      </c>
      <c r="AU8" s="2"/>
      <c r="AV8" s="2"/>
      <c r="AW8" s="2"/>
      <c r="AX8" s="2"/>
      <c r="AY8" s="2"/>
      <c r="AZ8" s="2"/>
      <c r="BA8" s="2"/>
      <c r="BB8" s="2"/>
      <c r="BC8" s="2"/>
      <c r="BD8" s="2"/>
      <c r="BE8" s="2">
        <v>18000</v>
      </c>
      <c r="BF8" s="2"/>
      <c r="BG8" s="806">
        <f t="shared" si="12"/>
        <v>18000</v>
      </c>
      <c r="BH8" s="807"/>
      <c r="BI8" s="807"/>
      <c r="BJ8" s="807"/>
      <c r="BK8" s="807"/>
      <c r="BL8" s="807"/>
      <c r="BM8" s="807"/>
      <c r="BN8" s="807"/>
      <c r="BO8" s="807"/>
      <c r="BP8" s="807"/>
      <c r="BQ8" s="807"/>
      <c r="BR8" s="807"/>
      <c r="BS8" s="807"/>
      <c r="BT8" s="806">
        <f t="shared" si="13"/>
        <v>0</v>
      </c>
      <c r="CG8" s="806">
        <f t="shared" si="14"/>
        <v>0</v>
      </c>
      <c r="CT8" s="806">
        <f t="shared" si="15"/>
        <v>0</v>
      </c>
      <c r="DG8" s="806">
        <f t="shared" si="16"/>
        <v>0</v>
      </c>
    </row>
    <row r="9" spans="1:112" x14ac:dyDescent="0.25">
      <c r="A9" s="959"/>
      <c r="B9" s="801"/>
      <c r="C9" s="54" t="s">
        <v>914</v>
      </c>
      <c r="D9" s="54"/>
      <c r="E9" s="54"/>
      <c r="F9" s="54"/>
      <c r="G9" s="54"/>
      <c r="H9" s="802" t="s">
        <v>909</v>
      </c>
      <c r="I9" s="803">
        <f t="shared" si="1"/>
        <v>0</v>
      </c>
      <c r="J9" s="803">
        <f t="shared" si="10"/>
        <v>0</v>
      </c>
      <c r="K9" s="804">
        <v>0</v>
      </c>
      <c r="L9" s="805">
        <f t="shared" si="2"/>
        <v>0</v>
      </c>
      <c r="M9" s="804">
        <v>0</v>
      </c>
      <c r="N9" s="394"/>
      <c r="O9" s="2"/>
      <c r="P9" s="2"/>
      <c r="Q9" s="2"/>
      <c r="R9" s="2"/>
      <c r="T9" s="2"/>
      <c r="U9" s="2"/>
      <c r="V9" s="2"/>
      <c r="W9" s="2"/>
      <c r="X9" s="2"/>
      <c r="Y9" s="2"/>
      <c r="Z9" s="2"/>
      <c r="AA9" s="806">
        <f t="shared" si="3"/>
        <v>0</v>
      </c>
      <c r="AB9" s="2"/>
      <c r="AC9" s="2"/>
      <c r="AD9" s="2"/>
      <c r="AE9" s="2"/>
      <c r="AF9" s="2"/>
      <c r="AG9" s="2"/>
      <c r="AH9" s="2"/>
      <c r="AI9" s="2"/>
      <c r="AJ9" s="2"/>
      <c r="AK9" s="2"/>
      <c r="AL9" s="2"/>
      <c r="AM9" s="2"/>
      <c r="AN9" s="806">
        <f t="shared" si="4"/>
        <v>0</v>
      </c>
      <c r="AO9" s="806">
        <f t="shared" si="5"/>
        <v>0</v>
      </c>
      <c r="AP9" s="806">
        <f t="shared" si="6"/>
        <v>0</v>
      </c>
      <c r="AQ9" s="806">
        <f t="shared" si="7"/>
        <v>0</v>
      </c>
      <c r="AR9" s="806">
        <f t="shared" si="8"/>
        <v>0</v>
      </c>
      <c r="AS9" s="806">
        <f t="shared" si="9"/>
        <v>0</v>
      </c>
      <c r="AT9" s="806">
        <f t="shared" si="9"/>
        <v>0</v>
      </c>
      <c r="AU9" s="2"/>
      <c r="AV9" s="2"/>
      <c r="AW9" s="2"/>
      <c r="AX9" s="2"/>
      <c r="AY9" s="2"/>
      <c r="AZ9" s="2"/>
      <c r="BA9" s="2"/>
      <c r="BB9" s="2"/>
      <c r="BC9" s="2"/>
      <c r="BD9" s="2"/>
      <c r="BE9" s="2"/>
      <c r="BF9" s="2"/>
      <c r="BG9" s="806">
        <f t="shared" si="12"/>
        <v>0</v>
      </c>
      <c r="BH9" s="807"/>
      <c r="BI9" s="807"/>
      <c r="BJ9" s="807"/>
      <c r="BK9" s="807"/>
      <c r="BL9" s="807"/>
      <c r="BM9" s="807"/>
      <c r="BN9" s="807"/>
      <c r="BO9" s="807"/>
      <c r="BP9" s="807"/>
      <c r="BQ9" s="807"/>
      <c r="BR9" s="807"/>
      <c r="BS9" s="807"/>
      <c r="BT9" s="806">
        <f t="shared" si="13"/>
        <v>0</v>
      </c>
      <c r="CG9" s="806">
        <f t="shared" si="14"/>
        <v>0</v>
      </c>
      <c r="CT9" s="806">
        <f t="shared" si="15"/>
        <v>0</v>
      </c>
      <c r="DG9" s="806">
        <f t="shared" si="16"/>
        <v>0</v>
      </c>
    </row>
    <row r="10" spans="1:112" x14ac:dyDescent="0.25">
      <c r="A10" s="959"/>
      <c r="B10" s="801"/>
      <c r="C10" s="54" t="s">
        <v>915</v>
      </c>
      <c r="D10" s="54"/>
      <c r="E10" s="54"/>
      <c r="F10" s="54"/>
      <c r="G10" s="54"/>
      <c r="H10" s="802" t="s">
        <v>916</v>
      </c>
      <c r="I10" s="803">
        <f t="shared" si="1"/>
        <v>0</v>
      </c>
      <c r="J10" s="803">
        <f t="shared" si="10"/>
        <v>0</v>
      </c>
      <c r="K10" s="804">
        <v>0</v>
      </c>
      <c r="L10" s="805">
        <f t="shared" si="2"/>
        <v>0</v>
      </c>
      <c r="M10" s="804">
        <v>0</v>
      </c>
      <c r="N10" s="394"/>
      <c r="O10" s="2"/>
      <c r="P10" s="2"/>
      <c r="Q10" s="2"/>
      <c r="R10" s="2"/>
      <c r="T10" s="2"/>
      <c r="U10" s="2"/>
      <c r="V10" s="2"/>
      <c r="W10" s="2"/>
      <c r="X10" s="2"/>
      <c r="Y10" s="2"/>
      <c r="Z10" s="2"/>
      <c r="AA10" s="806">
        <f t="shared" si="3"/>
        <v>0</v>
      </c>
      <c r="AB10" s="2"/>
      <c r="AC10" s="2"/>
      <c r="AD10" s="2"/>
      <c r="AE10" s="2"/>
      <c r="AF10" s="2"/>
      <c r="AG10" s="2"/>
      <c r="AH10" s="2"/>
      <c r="AI10" s="2"/>
      <c r="AJ10" s="2"/>
      <c r="AK10" s="2"/>
      <c r="AL10" s="2"/>
      <c r="AM10" s="2"/>
      <c r="AN10" s="806">
        <f t="shared" si="4"/>
        <v>0</v>
      </c>
      <c r="AO10" s="806">
        <f t="shared" si="5"/>
        <v>0</v>
      </c>
      <c r="AP10" s="806">
        <f t="shared" si="6"/>
        <v>0</v>
      </c>
      <c r="AQ10" s="806">
        <f t="shared" si="7"/>
        <v>0</v>
      </c>
      <c r="AR10" s="806">
        <f t="shared" si="8"/>
        <v>0</v>
      </c>
      <c r="AS10" s="806">
        <f t="shared" si="9"/>
        <v>0</v>
      </c>
      <c r="AT10" s="806">
        <f t="shared" si="9"/>
        <v>0</v>
      </c>
      <c r="AU10" s="2"/>
      <c r="AV10" s="2"/>
      <c r="AW10" s="2"/>
      <c r="AX10" s="2"/>
      <c r="AY10" s="2"/>
      <c r="AZ10" s="2"/>
      <c r="BA10" s="2"/>
      <c r="BB10" s="2"/>
      <c r="BC10" s="2"/>
      <c r="BD10" s="2"/>
      <c r="BE10" s="2"/>
      <c r="BF10" s="2"/>
      <c r="BG10" s="806">
        <f t="shared" si="12"/>
        <v>0</v>
      </c>
      <c r="BH10" s="807"/>
      <c r="BI10" s="807"/>
      <c r="BJ10" s="807"/>
      <c r="BK10" s="807"/>
      <c r="BL10" s="807"/>
      <c r="BM10" s="807"/>
      <c r="BN10" s="807"/>
      <c r="BO10" s="807"/>
      <c r="BP10" s="807"/>
      <c r="BQ10" s="807"/>
      <c r="BR10" s="807"/>
      <c r="BS10" s="807"/>
      <c r="BT10" s="806">
        <f t="shared" si="13"/>
        <v>0</v>
      </c>
      <c r="CG10" s="806">
        <f t="shared" si="14"/>
        <v>0</v>
      </c>
      <c r="CT10" s="806">
        <f t="shared" si="15"/>
        <v>0</v>
      </c>
      <c r="DG10" s="806">
        <f t="shared" si="16"/>
        <v>0</v>
      </c>
    </row>
    <row r="11" spans="1:112" x14ac:dyDescent="0.25">
      <c r="A11" s="959"/>
      <c r="B11" s="801" t="s">
        <v>561</v>
      </c>
      <c r="C11" s="54" t="s">
        <v>917</v>
      </c>
      <c r="D11" s="54"/>
      <c r="E11" s="54"/>
      <c r="F11" s="811">
        <v>676</v>
      </c>
      <c r="G11" s="808">
        <v>27000</v>
      </c>
      <c r="H11" s="802">
        <v>27000</v>
      </c>
      <c r="I11" s="803">
        <f t="shared" si="1"/>
        <v>0</v>
      </c>
      <c r="J11" s="803">
        <f t="shared" si="10"/>
        <v>27000</v>
      </c>
      <c r="K11" s="809">
        <f t="shared" si="11"/>
        <v>27000</v>
      </c>
      <c r="L11" s="810">
        <f t="shared" si="2"/>
        <v>27000</v>
      </c>
      <c r="M11" s="394">
        <f>+IF(G11&gt;0,G11-L11,H11-L11)</f>
        <v>0</v>
      </c>
      <c r="N11" s="394"/>
      <c r="O11" s="2"/>
      <c r="P11" s="2"/>
      <c r="Q11" s="2"/>
      <c r="R11" s="2"/>
      <c r="T11" s="2"/>
      <c r="U11" s="2"/>
      <c r="V11" s="2"/>
      <c r="W11" s="2"/>
      <c r="X11" s="2"/>
      <c r="Y11" s="2"/>
      <c r="Z11" s="2"/>
      <c r="AA11" s="806">
        <f t="shared" si="3"/>
        <v>0</v>
      </c>
      <c r="AB11" s="2"/>
      <c r="AC11" s="2"/>
      <c r="AD11" s="2"/>
      <c r="AE11" s="2"/>
      <c r="AF11" s="2"/>
      <c r="AG11" s="2"/>
      <c r="AH11" s="2"/>
      <c r="AI11" s="2"/>
      <c r="AJ11" s="2"/>
      <c r="AK11" s="2"/>
      <c r="AL11" s="2"/>
      <c r="AM11" s="2"/>
      <c r="AN11" s="806">
        <f t="shared" si="4"/>
        <v>0</v>
      </c>
      <c r="AO11" s="806">
        <f t="shared" si="5"/>
        <v>0</v>
      </c>
      <c r="AP11" s="806">
        <f t="shared" si="6"/>
        <v>27000</v>
      </c>
      <c r="AQ11" s="806">
        <f t="shared" si="7"/>
        <v>0</v>
      </c>
      <c r="AR11" s="806">
        <f t="shared" si="8"/>
        <v>0</v>
      </c>
      <c r="AS11" s="806">
        <f t="shared" si="9"/>
        <v>0</v>
      </c>
      <c r="AT11" s="806">
        <f t="shared" si="9"/>
        <v>0</v>
      </c>
      <c r="AU11" s="2"/>
      <c r="AV11" s="2"/>
      <c r="AW11" s="2"/>
      <c r="AX11" s="2"/>
      <c r="AY11" s="2"/>
      <c r="AZ11" s="2"/>
      <c r="BA11" s="2"/>
      <c r="BB11" s="2"/>
      <c r="BC11" s="2"/>
      <c r="BD11" s="2"/>
      <c r="BE11" s="2"/>
      <c r="BF11" s="2"/>
      <c r="BG11" s="806">
        <f t="shared" si="12"/>
        <v>0</v>
      </c>
      <c r="BH11" s="807"/>
      <c r="BI11" s="807"/>
      <c r="BJ11" s="807"/>
      <c r="BK11" s="807"/>
      <c r="BL11" s="807">
        <v>27000</v>
      </c>
      <c r="BM11" s="807"/>
      <c r="BN11" s="807"/>
      <c r="BO11" s="807"/>
      <c r="BP11" s="807"/>
      <c r="BQ11" s="807"/>
      <c r="BR11" s="807"/>
      <c r="BS11" s="807"/>
      <c r="BT11" s="806">
        <f t="shared" si="13"/>
        <v>27000</v>
      </c>
      <c r="CG11" s="806">
        <f t="shared" si="14"/>
        <v>0</v>
      </c>
      <c r="CT11" s="806">
        <f t="shared" si="15"/>
        <v>0</v>
      </c>
      <c r="DG11" s="806">
        <f t="shared" si="16"/>
        <v>0</v>
      </c>
    </row>
    <row r="12" spans="1:112" x14ac:dyDescent="0.25">
      <c r="A12" s="959"/>
      <c r="B12" s="801" t="s">
        <v>561</v>
      </c>
      <c r="C12" s="54" t="s">
        <v>918</v>
      </c>
      <c r="D12" s="54" t="s">
        <v>204</v>
      </c>
      <c r="E12" s="54"/>
      <c r="F12" s="54"/>
      <c r="G12" s="54"/>
      <c r="H12" s="802" t="s">
        <v>909</v>
      </c>
      <c r="I12" s="803">
        <f t="shared" si="1"/>
        <v>0</v>
      </c>
      <c r="J12" s="803">
        <f t="shared" si="10"/>
        <v>0</v>
      </c>
      <c r="K12" s="804">
        <v>0</v>
      </c>
      <c r="L12" s="805">
        <f t="shared" si="2"/>
        <v>0</v>
      </c>
      <c r="M12" s="804">
        <v>0</v>
      </c>
      <c r="N12" s="394"/>
      <c r="O12" s="2"/>
      <c r="P12" s="2"/>
      <c r="Q12" s="2"/>
      <c r="R12" s="2"/>
      <c r="T12" s="2"/>
      <c r="U12" s="2"/>
      <c r="V12" s="2"/>
      <c r="W12" s="2"/>
      <c r="X12" s="2"/>
      <c r="Y12" s="2"/>
      <c r="Z12" s="2"/>
      <c r="AA12" s="806">
        <f t="shared" si="3"/>
        <v>0</v>
      </c>
      <c r="AB12" s="2"/>
      <c r="AC12" s="2"/>
      <c r="AD12" s="2"/>
      <c r="AE12" s="2"/>
      <c r="AF12" s="2"/>
      <c r="AG12" s="2"/>
      <c r="AH12" s="2"/>
      <c r="AI12" s="2"/>
      <c r="AJ12" s="2"/>
      <c r="AK12" s="2"/>
      <c r="AL12" s="2"/>
      <c r="AM12" s="2"/>
      <c r="AN12" s="806">
        <f t="shared" si="4"/>
        <v>0</v>
      </c>
      <c r="AO12" s="806">
        <f t="shared" si="5"/>
        <v>0</v>
      </c>
      <c r="AP12" s="806">
        <f t="shared" si="6"/>
        <v>0</v>
      </c>
      <c r="AQ12" s="806">
        <f t="shared" si="7"/>
        <v>0</v>
      </c>
      <c r="AR12" s="806">
        <f t="shared" si="8"/>
        <v>0</v>
      </c>
      <c r="AS12" s="806">
        <f t="shared" si="9"/>
        <v>0</v>
      </c>
      <c r="AT12" s="806">
        <f t="shared" si="9"/>
        <v>0</v>
      </c>
      <c r="AU12" s="2"/>
      <c r="AV12" s="2"/>
      <c r="AW12" s="2"/>
      <c r="AX12" s="2"/>
      <c r="AY12" s="2"/>
      <c r="AZ12" s="2"/>
      <c r="BA12" s="2"/>
      <c r="BB12" s="2"/>
      <c r="BC12" s="2"/>
      <c r="BD12" s="2"/>
      <c r="BE12" s="2"/>
      <c r="BF12" s="2"/>
      <c r="BG12" s="806">
        <f t="shared" si="12"/>
        <v>0</v>
      </c>
      <c r="BH12" s="807"/>
      <c r="BI12" s="807"/>
      <c r="BJ12" s="807"/>
      <c r="BK12" s="807"/>
      <c r="BL12" s="807"/>
      <c r="BM12" s="807"/>
      <c r="BN12" s="807"/>
      <c r="BO12" s="807"/>
      <c r="BP12" s="807"/>
      <c r="BQ12" s="807"/>
      <c r="BR12" s="807"/>
      <c r="BS12" s="807"/>
      <c r="BT12" s="806">
        <f t="shared" si="13"/>
        <v>0</v>
      </c>
      <c r="CG12" s="806">
        <f t="shared" si="14"/>
        <v>0</v>
      </c>
      <c r="CT12" s="806">
        <f t="shared" si="15"/>
        <v>0</v>
      </c>
      <c r="DG12" s="806">
        <f t="shared" si="16"/>
        <v>0</v>
      </c>
    </row>
    <row r="13" spans="1:112" x14ac:dyDescent="0.25">
      <c r="A13" s="959"/>
      <c r="B13" s="801" t="s">
        <v>561</v>
      </c>
      <c r="C13" s="54" t="s">
        <v>919</v>
      </c>
      <c r="D13" s="54"/>
      <c r="E13" s="54"/>
      <c r="F13" s="54"/>
      <c r="G13" s="808">
        <v>522</v>
      </c>
      <c r="H13" s="802">
        <v>522</v>
      </c>
      <c r="I13" s="803">
        <f t="shared" si="1"/>
        <v>0</v>
      </c>
      <c r="J13" s="803">
        <f t="shared" si="10"/>
        <v>522</v>
      </c>
      <c r="K13" s="809">
        <f t="shared" si="11"/>
        <v>522</v>
      </c>
      <c r="L13" s="810">
        <f t="shared" si="2"/>
        <v>522</v>
      </c>
      <c r="M13" s="394">
        <f t="shared" ref="M13:M20" si="17">+IF(G13&gt;0,G13-L13,H13-L13)</f>
        <v>0</v>
      </c>
      <c r="N13" s="394"/>
      <c r="O13" s="2"/>
      <c r="P13" s="2"/>
      <c r="Q13" s="2"/>
      <c r="R13" s="2"/>
      <c r="T13" s="2"/>
      <c r="U13" s="2"/>
      <c r="V13" s="2"/>
      <c r="W13" s="2"/>
      <c r="X13" s="2"/>
      <c r="Y13" s="2"/>
      <c r="Z13" s="2"/>
      <c r="AA13" s="806">
        <f t="shared" si="3"/>
        <v>0</v>
      </c>
      <c r="AB13" s="2"/>
      <c r="AC13" s="2"/>
      <c r="AD13" s="2"/>
      <c r="AE13" s="2"/>
      <c r="AF13" s="2"/>
      <c r="AG13" s="2"/>
      <c r="AH13" s="2"/>
      <c r="AI13" s="2"/>
      <c r="AJ13" s="2"/>
      <c r="AK13" s="2"/>
      <c r="AL13" s="2"/>
      <c r="AM13" s="2"/>
      <c r="AN13" s="806">
        <f t="shared" si="4"/>
        <v>0</v>
      </c>
      <c r="AO13" s="806">
        <f t="shared" si="5"/>
        <v>0</v>
      </c>
      <c r="AP13" s="806">
        <f t="shared" si="6"/>
        <v>522</v>
      </c>
      <c r="AQ13" s="806">
        <f t="shared" si="7"/>
        <v>0</v>
      </c>
      <c r="AR13" s="806">
        <f t="shared" si="8"/>
        <v>0</v>
      </c>
      <c r="AS13" s="806">
        <f t="shared" si="9"/>
        <v>0</v>
      </c>
      <c r="AT13" s="806">
        <f t="shared" si="9"/>
        <v>0</v>
      </c>
      <c r="AU13" s="2"/>
      <c r="AV13" s="2"/>
      <c r="AW13" s="2"/>
      <c r="AX13" s="2"/>
      <c r="AY13" s="2"/>
      <c r="AZ13" s="2"/>
      <c r="BA13" s="2"/>
      <c r="BB13" s="2"/>
      <c r="BC13" s="2"/>
      <c r="BD13" s="2"/>
      <c r="BE13" s="2"/>
      <c r="BF13" s="2"/>
      <c r="BG13" s="806">
        <f t="shared" si="12"/>
        <v>0</v>
      </c>
      <c r="BH13" s="807"/>
      <c r="BI13" s="807"/>
      <c r="BJ13" s="807"/>
      <c r="BK13" s="807"/>
      <c r="BL13" s="807">
        <v>522</v>
      </c>
      <c r="BM13" s="807"/>
      <c r="BN13" s="807"/>
      <c r="BO13" s="807"/>
      <c r="BP13" s="807"/>
      <c r="BQ13" s="807"/>
      <c r="BR13" s="807"/>
      <c r="BS13" s="807"/>
      <c r="BT13" s="806">
        <f t="shared" si="13"/>
        <v>522</v>
      </c>
      <c r="CG13" s="806">
        <f t="shared" si="14"/>
        <v>0</v>
      </c>
      <c r="CT13" s="806">
        <f t="shared" si="15"/>
        <v>0</v>
      </c>
      <c r="DG13" s="806">
        <f t="shared" si="16"/>
        <v>0</v>
      </c>
    </row>
    <row r="14" spans="1:112" x14ac:dyDescent="0.25">
      <c r="A14" s="959"/>
      <c r="B14" s="54" t="s">
        <v>561</v>
      </c>
      <c r="C14" s="54" t="s">
        <v>920</v>
      </c>
      <c r="D14" s="54" t="s">
        <v>204</v>
      </c>
      <c r="E14" s="54"/>
      <c r="F14" s="54"/>
      <c r="G14" s="54"/>
      <c r="H14" s="802">
        <v>20000</v>
      </c>
      <c r="I14" s="803">
        <f t="shared" si="1"/>
        <v>0</v>
      </c>
      <c r="J14" s="803">
        <f t="shared" si="10"/>
        <v>0</v>
      </c>
      <c r="K14" s="809">
        <f t="shared" si="11"/>
        <v>20000</v>
      </c>
      <c r="L14" s="810">
        <f t="shared" si="2"/>
        <v>20000</v>
      </c>
      <c r="M14" s="394">
        <f t="shared" si="17"/>
        <v>0</v>
      </c>
      <c r="N14" s="394"/>
      <c r="O14" s="2"/>
      <c r="P14" s="2"/>
      <c r="Q14" s="2"/>
      <c r="R14" s="2"/>
      <c r="T14" s="2"/>
      <c r="U14" s="2"/>
      <c r="V14" s="2"/>
      <c r="W14" s="2"/>
      <c r="X14" s="2"/>
      <c r="Y14" s="2"/>
      <c r="Z14" s="2"/>
      <c r="AA14" s="806">
        <f t="shared" si="3"/>
        <v>0</v>
      </c>
      <c r="AB14" s="2"/>
      <c r="AC14" s="2"/>
      <c r="AD14" s="2"/>
      <c r="AE14" s="2"/>
      <c r="AF14" s="2"/>
      <c r="AG14" s="2"/>
      <c r="AH14" s="2"/>
      <c r="AI14" s="2"/>
      <c r="AJ14" s="2"/>
      <c r="AK14" s="2"/>
      <c r="AL14" s="2"/>
      <c r="AM14" s="2"/>
      <c r="AN14" s="806">
        <f t="shared" si="4"/>
        <v>0</v>
      </c>
      <c r="AO14" s="806">
        <f t="shared" si="5"/>
        <v>0</v>
      </c>
      <c r="AP14" s="806">
        <f t="shared" si="6"/>
        <v>20000</v>
      </c>
      <c r="AQ14" s="806">
        <f t="shared" si="7"/>
        <v>0</v>
      </c>
      <c r="AR14" s="806">
        <f t="shared" si="8"/>
        <v>0</v>
      </c>
      <c r="AS14" s="806">
        <f t="shared" si="9"/>
        <v>0</v>
      </c>
      <c r="AT14" s="806">
        <f t="shared" si="9"/>
        <v>0</v>
      </c>
      <c r="AU14" s="2"/>
      <c r="AV14" s="2"/>
      <c r="AW14" s="2"/>
      <c r="AX14" s="2"/>
      <c r="AY14" s="2"/>
      <c r="AZ14" s="2"/>
      <c r="BA14" s="2"/>
      <c r="BB14" s="2"/>
      <c r="BC14" s="2"/>
      <c r="BD14" s="2"/>
      <c r="BE14" s="2"/>
      <c r="BF14" s="2"/>
      <c r="BG14" s="806">
        <f t="shared" si="12"/>
        <v>0</v>
      </c>
      <c r="BH14" s="807"/>
      <c r="BI14" s="807"/>
      <c r="BJ14" s="807"/>
      <c r="BK14" s="807"/>
      <c r="BL14" s="807"/>
      <c r="BM14" s="807"/>
      <c r="BN14" s="807"/>
      <c r="BO14" s="807"/>
      <c r="BP14" s="807">
        <v>20000</v>
      </c>
      <c r="BQ14" s="807"/>
      <c r="BR14" s="807"/>
      <c r="BS14" s="807"/>
      <c r="BT14" s="806">
        <f t="shared" si="13"/>
        <v>20000</v>
      </c>
      <c r="CG14" s="806">
        <f t="shared" si="14"/>
        <v>0</v>
      </c>
      <c r="CT14" s="806">
        <f t="shared" si="15"/>
        <v>0</v>
      </c>
      <c r="DG14" s="806">
        <f t="shared" si="16"/>
        <v>0</v>
      </c>
    </row>
    <row r="15" spans="1:112" x14ac:dyDescent="0.25">
      <c r="A15" s="959"/>
      <c r="B15" s="54" t="s">
        <v>921</v>
      </c>
      <c r="C15" s="54" t="s">
        <v>922</v>
      </c>
      <c r="D15" s="54"/>
      <c r="E15" s="54"/>
      <c r="F15" s="54"/>
      <c r="G15" s="54"/>
      <c r="H15" s="802">
        <f>328594+2</f>
        <v>328596</v>
      </c>
      <c r="I15" s="803">
        <f t="shared" si="1"/>
        <v>0</v>
      </c>
      <c r="J15" s="803">
        <f t="shared" si="10"/>
        <v>0</v>
      </c>
      <c r="K15" s="809">
        <f t="shared" si="11"/>
        <v>328596</v>
      </c>
      <c r="L15" s="810">
        <f t="shared" si="2"/>
        <v>328596</v>
      </c>
      <c r="M15" s="394">
        <f t="shared" si="17"/>
        <v>0</v>
      </c>
      <c r="N15" s="394"/>
      <c r="O15" s="2"/>
      <c r="P15" s="2"/>
      <c r="Q15" s="2"/>
      <c r="R15" s="2"/>
      <c r="T15" s="2"/>
      <c r="U15" s="2"/>
      <c r="V15" s="2"/>
      <c r="W15" s="2"/>
      <c r="X15" s="2"/>
      <c r="Y15" s="2"/>
      <c r="Z15" s="2"/>
      <c r="AA15" s="806">
        <f t="shared" si="3"/>
        <v>0</v>
      </c>
      <c r="AB15" s="2"/>
      <c r="AC15" s="2"/>
      <c r="AD15" s="2"/>
      <c r="AE15" s="2"/>
      <c r="AF15" s="2"/>
      <c r="AG15" s="2"/>
      <c r="AH15" s="2"/>
      <c r="AI15" s="2"/>
      <c r="AJ15" s="2"/>
      <c r="AK15" s="2"/>
      <c r="AL15" s="2"/>
      <c r="AM15" s="2"/>
      <c r="AN15" s="806">
        <f t="shared" si="4"/>
        <v>0</v>
      </c>
      <c r="AO15" s="806">
        <f t="shared" si="5"/>
        <v>0</v>
      </c>
      <c r="AP15" s="806">
        <f t="shared" si="6"/>
        <v>0</v>
      </c>
      <c r="AQ15" s="806">
        <f t="shared" si="7"/>
        <v>0</v>
      </c>
      <c r="AR15" s="806">
        <f t="shared" si="8"/>
        <v>133967</v>
      </c>
      <c r="AS15" s="806">
        <f t="shared" si="9"/>
        <v>158806</v>
      </c>
      <c r="AT15" s="806">
        <f t="shared" si="9"/>
        <v>35823</v>
      </c>
      <c r="AU15" s="2"/>
      <c r="AV15" s="2"/>
      <c r="AW15" s="2"/>
      <c r="AX15" s="2"/>
      <c r="AY15" s="2"/>
      <c r="AZ15" s="2"/>
      <c r="BA15" s="2"/>
      <c r="BB15" s="2"/>
      <c r="BC15" s="2"/>
      <c r="BD15" s="2"/>
      <c r="BE15" s="2"/>
      <c r="BF15" s="2"/>
      <c r="BG15" s="806">
        <f t="shared" si="12"/>
        <v>0</v>
      </c>
      <c r="BH15" s="807"/>
      <c r="BI15" s="807"/>
      <c r="BJ15" s="807"/>
      <c r="BK15" s="807"/>
      <c r="BL15" s="807"/>
      <c r="BM15" s="807"/>
      <c r="BN15" s="807"/>
      <c r="BO15" s="807"/>
      <c r="BP15" s="807"/>
      <c r="BQ15" s="807"/>
      <c r="BR15" s="807"/>
      <c r="BS15" s="807"/>
      <c r="BT15" s="806">
        <f t="shared" si="13"/>
        <v>0</v>
      </c>
      <c r="CG15" s="806">
        <f t="shared" si="14"/>
        <v>0</v>
      </c>
      <c r="CQ15" s="807">
        <f>81742+9905</f>
        <v>91647</v>
      </c>
      <c r="CR15" s="807"/>
      <c r="CS15" s="807">
        <v>42320</v>
      </c>
      <c r="CT15" s="806">
        <f t="shared" si="15"/>
        <v>133967</v>
      </c>
      <c r="CX15" s="807">
        <v>46988</v>
      </c>
      <c r="DE15">
        <v>111818</v>
      </c>
      <c r="DG15" s="806">
        <f t="shared" si="16"/>
        <v>158806</v>
      </c>
      <c r="DH15">
        <f>16421+19401+1</f>
        <v>35823</v>
      </c>
    </row>
    <row r="16" spans="1:112" x14ac:dyDescent="0.25">
      <c r="A16" s="959"/>
      <c r="B16" s="54" t="s">
        <v>921</v>
      </c>
      <c r="C16" s="54" t="s">
        <v>923</v>
      </c>
      <c r="D16" s="54"/>
      <c r="E16" s="54"/>
      <c r="F16" s="54"/>
      <c r="G16" s="54"/>
      <c r="H16" s="802"/>
      <c r="I16" s="803">
        <f t="shared" si="1"/>
        <v>0</v>
      </c>
      <c r="J16" s="803">
        <f t="shared" si="10"/>
        <v>0</v>
      </c>
      <c r="K16" s="809">
        <f t="shared" si="11"/>
        <v>0</v>
      </c>
      <c r="L16" s="810">
        <f t="shared" si="2"/>
        <v>0</v>
      </c>
      <c r="M16" s="394">
        <f t="shared" si="17"/>
        <v>0</v>
      </c>
      <c r="N16" s="394"/>
      <c r="O16" s="2"/>
      <c r="P16" s="2"/>
      <c r="Q16" s="2"/>
      <c r="R16" s="2"/>
      <c r="T16" s="2"/>
      <c r="U16" s="2"/>
      <c r="V16" s="2"/>
      <c r="W16" s="2"/>
      <c r="X16" s="2"/>
      <c r="Y16" s="2"/>
      <c r="Z16" s="2"/>
      <c r="AA16" s="806">
        <f t="shared" si="3"/>
        <v>0</v>
      </c>
      <c r="AB16" s="2"/>
      <c r="AC16" s="2"/>
      <c r="AD16" s="2"/>
      <c r="AE16" s="2"/>
      <c r="AF16" s="2"/>
      <c r="AG16" s="2"/>
      <c r="AH16" s="2"/>
      <c r="AI16" s="2"/>
      <c r="AJ16" s="2"/>
      <c r="AK16" s="2"/>
      <c r="AL16" s="2"/>
      <c r="AM16" s="2"/>
      <c r="AN16" s="806">
        <f t="shared" si="4"/>
        <v>0</v>
      </c>
      <c r="AO16" s="806">
        <f t="shared" si="5"/>
        <v>0</v>
      </c>
      <c r="AP16" s="806">
        <f t="shared" si="6"/>
        <v>0</v>
      </c>
      <c r="AQ16" s="806">
        <f t="shared" si="7"/>
        <v>0</v>
      </c>
      <c r="AR16" s="806">
        <f t="shared" si="8"/>
        <v>0</v>
      </c>
      <c r="AS16" s="806">
        <f t="shared" si="9"/>
        <v>0</v>
      </c>
      <c r="AT16" s="806">
        <f t="shared" si="9"/>
        <v>0</v>
      </c>
      <c r="AU16" s="2"/>
      <c r="AV16" s="2"/>
      <c r="AW16" s="2"/>
      <c r="AX16" s="2"/>
      <c r="AY16" s="2"/>
      <c r="AZ16" s="2"/>
      <c r="BA16" s="2"/>
      <c r="BB16" s="2"/>
      <c r="BC16" s="2"/>
      <c r="BD16" s="2"/>
      <c r="BE16" s="2"/>
      <c r="BF16" s="2"/>
      <c r="BG16" s="806">
        <f t="shared" si="12"/>
        <v>0</v>
      </c>
      <c r="BH16" s="807"/>
      <c r="BI16" s="807"/>
      <c r="BJ16" s="807"/>
      <c r="BK16" s="807"/>
      <c r="BL16" s="807"/>
      <c r="BM16" s="807"/>
      <c r="BN16" s="807"/>
      <c r="BO16" s="807"/>
      <c r="BP16" s="807"/>
      <c r="BQ16" s="807"/>
      <c r="BR16" s="807"/>
      <c r="BS16" s="807"/>
      <c r="BT16" s="806">
        <f t="shared" si="13"/>
        <v>0</v>
      </c>
      <c r="BU16" s="807"/>
      <c r="BV16" s="807"/>
      <c r="BW16" s="807"/>
      <c r="BX16" s="807"/>
      <c r="BY16" s="807"/>
      <c r="BZ16" s="807"/>
      <c r="CA16" s="807"/>
      <c r="CB16" s="807"/>
      <c r="CC16" s="807"/>
      <c r="CD16" s="807"/>
      <c r="CE16" s="807"/>
      <c r="CF16" s="807"/>
      <c r="CG16" s="806">
        <f t="shared" si="14"/>
        <v>0</v>
      </c>
      <c r="CT16" s="806">
        <f t="shared" si="15"/>
        <v>0</v>
      </c>
      <c r="DG16" s="806">
        <f t="shared" si="16"/>
        <v>0</v>
      </c>
    </row>
    <row r="17" spans="1:112" x14ac:dyDescent="0.25">
      <c r="A17" s="959"/>
      <c r="B17" s="54"/>
      <c r="C17" s="54" t="s">
        <v>924</v>
      </c>
      <c r="D17" s="54"/>
      <c r="E17" s="54"/>
      <c r="F17" s="54"/>
      <c r="G17" s="54"/>
      <c r="H17" s="802">
        <v>15000</v>
      </c>
      <c r="I17" s="803">
        <f t="shared" si="1"/>
        <v>0</v>
      </c>
      <c r="J17" s="803">
        <f t="shared" si="10"/>
        <v>0</v>
      </c>
      <c r="K17" s="809">
        <f t="shared" si="11"/>
        <v>15000</v>
      </c>
      <c r="L17" s="810">
        <f t="shared" si="2"/>
        <v>15000</v>
      </c>
      <c r="M17" s="394">
        <f t="shared" si="17"/>
        <v>0</v>
      </c>
      <c r="N17" s="394"/>
      <c r="O17" s="2"/>
      <c r="P17" s="2"/>
      <c r="Q17" s="2"/>
      <c r="R17" s="2"/>
      <c r="T17" s="2"/>
      <c r="U17" s="2"/>
      <c r="V17" s="2"/>
      <c r="W17" s="2"/>
      <c r="X17" s="2"/>
      <c r="Y17" s="2"/>
      <c r="Z17" s="2"/>
      <c r="AA17" s="806">
        <f t="shared" si="3"/>
        <v>0</v>
      </c>
      <c r="AB17" s="2"/>
      <c r="AC17" s="2"/>
      <c r="AD17" s="2"/>
      <c r="AE17" s="2"/>
      <c r="AF17" s="2"/>
      <c r="AG17" s="2"/>
      <c r="AH17" s="2"/>
      <c r="AI17" s="2"/>
      <c r="AJ17" s="2"/>
      <c r="AK17" s="2"/>
      <c r="AL17" s="2"/>
      <c r="AM17" s="2"/>
      <c r="AN17" s="806">
        <f t="shared" si="4"/>
        <v>0</v>
      </c>
      <c r="AO17" s="806">
        <f t="shared" si="5"/>
        <v>0</v>
      </c>
      <c r="AP17" s="806">
        <f t="shared" si="6"/>
        <v>5000</v>
      </c>
      <c r="AQ17" s="806">
        <f t="shared" si="7"/>
        <v>10000</v>
      </c>
      <c r="AR17" s="806">
        <f t="shared" si="8"/>
        <v>0</v>
      </c>
      <c r="AS17" s="806">
        <f t="shared" si="9"/>
        <v>0</v>
      </c>
      <c r="AT17" s="806">
        <f t="shared" si="9"/>
        <v>0</v>
      </c>
      <c r="AU17" s="2"/>
      <c r="AV17" s="2"/>
      <c r="AW17" s="2"/>
      <c r="AX17" s="2"/>
      <c r="AY17" s="2"/>
      <c r="AZ17" s="2"/>
      <c r="BA17" s="2"/>
      <c r="BB17" s="2"/>
      <c r="BC17" s="2"/>
      <c r="BD17" s="2"/>
      <c r="BE17" s="2"/>
      <c r="BF17" s="2"/>
      <c r="BG17" s="806">
        <f t="shared" si="12"/>
        <v>0</v>
      </c>
      <c r="BH17" s="807"/>
      <c r="BI17" s="807"/>
      <c r="BJ17" s="807"/>
      <c r="BK17" s="807"/>
      <c r="BL17" s="807"/>
      <c r="BM17" s="807"/>
      <c r="BN17" s="807"/>
      <c r="BO17" s="807"/>
      <c r="BP17" s="807"/>
      <c r="BQ17" s="807"/>
      <c r="BR17" s="807"/>
      <c r="BS17" s="807">
        <v>5000</v>
      </c>
      <c r="BT17" s="806">
        <f t="shared" si="13"/>
        <v>5000</v>
      </c>
      <c r="BU17" s="807">
        <v>10000</v>
      </c>
      <c r="BV17" s="807"/>
      <c r="BW17" s="807"/>
      <c r="BX17" s="807"/>
      <c r="BY17" s="807"/>
      <c r="BZ17" s="807"/>
      <c r="CA17" s="807"/>
      <c r="CB17" s="807"/>
      <c r="CC17" s="807"/>
      <c r="CD17" s="807"/>
      <c r="CE17" s="807"/>
      <c r="CF17" s="807"/>
      <c r="CG17" s="806">
        <f t="shared" si="14"/>
        <v>10000</v>
      </c>
      <c r="CT17" s="806">
        <f t="shared" si="15"/>
        <v>0</v>
      </c>
      <c r="DG17" s="806">
        <f t="shared" si="16"/>
        <v>0</v>
      </c>
    </row>
    <row r="18" spans="1:112" x14ac:dyDescent="0.25">
      <c r="A18" s="959"/>
      <c r="B18" s="54"/>
      <c r="C18" s="54" t="s">
        <v>36</v>
      </c>
      <c r="D18" s="54"/>
      <c r="E18" s="54"/>
      <c r="F18" s="54"/>
      <c r="G18" s="54"/>
      <c r="H18" s="802"/>
      <c r="I18" s="803">
        <f t="shared" si="1"/>
        <v>0</v>
      </c>
      <c r="J18" s="803">
        <f t="shared" ref="J18:J20" si="18">SUM(BH18:BM18)</f>
        <v>0</v>
      </c>
      <c r="K18" s="809">
        <f t="shared" si="11"/>
        <v>0</v>
      </c>
      <c r="L18" s="810">
        <f t="shared" si="2"/>
        <v>0</v>
      </c>
      <c r="M18" s="394">
        <f t="shared" si="17"/>
        <v>0</v>
      </c>
      <c r="N18" s="394"/>
      <c r="O18" s="2"/>
      <c r="P18" s="2"/>
      <c r="Q18" s="2"/>
      <c r="R18" s="2"/>
      <c r="T18" s="2"/>
      <c r="U18" s="2"/>
      <c r="V18" s="2"/>
      <c r="W18" s="2"/>
      <c r="X18" s="2"/>
      <c r="Y18" s="2"/>
      <c r="Z18" s="2"/>
      <c r="AA18" s="806">
        <f t="shared" si="3"/>
        <v>0</v>
      </c>
      <c r="AB18" s="2"/>
      <c r="AC18" s="2"/>
      <c r="AD18" s="2"/>
      <c r="AE18" s="2"/>
      <c r="AF18" s="2"/>
      <c r="AG18" s="2"/>
      <c r="AH18" s="2"/>
      <c r="AI18" s="2"/>
      <c r="AJ18" s="2"/>
      <c r="AK18" s="2"/>
      <c r="AL18" s="2"/>
      <c r="AM18" s="2"/>
      <c r="AN18" s="806">
        <f t="shared" si="4"/>
        <v>0</v>
      </c>
      <c r="AO18" s="806">
        <f t="shared" si="5"/>
        <v>0</v>
      </c>
      <c r="AP18" s="806">
        <f t="shared" si="6"/>
        <v>0</v>
      </c>
      <c r="AQ18" s="806">
        <f t="shared" si="7"/>
        <v>0</v>
      </c>
      <c r="AR18" s="806">
        <f t="shared" si="8"/>
        <v>0</v>
      </c>
      <c r="AS18" s="806">
        <f t="shared" si="9"/>
        <v>0</v>
      </c>
      <c r="AT18" s="806">
        <f t="shared" si="9"/>
        <v>0</v>
      </c>
      <c r="AU18" s="2"/>
      <c r="AV18" s="2"/>
      <c r="AW18" s="2"/>
      <c r="AX18" s="2"/>
      <c r="AY18" s="2"/>
      <c r="AZ18" s="2"/>
      <c r="BA18" s="2"/>
      <c r="BB18" s="2"/>
      <c r="BC18" s="2"/>
      <c r="BD18" s="2"/>
      <c r="BE18" s="2"/>
      <c r="BF18" s="2"/>
      <c r="BG18" s="806">
        <f t="shared" si="12"/>
        <v>0</v>
      </c>
      <c r="BH18" s="807"/>
      <c r="BI18" s="807"/>
      <c r="BJ18" s="807"/>
      <c r="BK18" s="807"/>
      <c r="BL18" s="807"/>
      <c r="BM18" s="807"/>
      <c r="BN18" s="807"/>
      <c r="BO18" s="807"/>
      <c r="BP18" s="807"/>
      <c r="BQ18" s="807"/>
      <c r="BR18" s="807"/>
      <c r="BS18" s="807"/>
      <c r="BT18" s="806">
        <f t="shared" si="13"/>
        <v>0</v>
      </c>
      <c r="BU18" s="807"/>
      <c r="BV18" s="807"/>
      <c r="BW18" s="807"/>
      <c r="BX18" s="807"/>
      <c r="BY18" s="807"/>
      <c r="BZ18" s="807"/>
      <c r="CA18" s="807"/>
      <c r="CB18" s="807"/>
      <c r="CC18" s="807"/>
      <c r="CD18" s="807"/>
      <c r="CE18" s="807"/>
      <c r="CF18" s="807"/>
      <c r="CG18" s="806">
        <f t="shared" si="14"/>
        <v>0</v>
      </c>
      <c r="CT18" s="806">
        <f t="shared" si="15"/>
        <v>0</v>
      </c>
      <c r="DG18" s="806">
        <f t="shared" si="16"/>
        <v>0</v>
      </c>
    </row>
    <row r="19" spans="1:112" x14ac:dyDescent="0.25">
      <c r="A19" s="959"/>
      <c r="B19" s="54"/>
      <c r="C19" s="54" t="s">
        <v>925</v>
      </c>
      <c r="D19" s="54"/>
      <c r="E19" s="54"/>
      <c r="F19" s="54"/>
      <c r="G19" s="54"/>
      <c r="H19" s="802">
        <v>80000</v>
      </c>
      <c r="I19" s="803">
        <f t="shared" si="1"/>
        <v>0</v>
      </c>
      <c r="J19" s="803">
        <f t="shared" si="18"/>
        <v>0</v>
      </c>
      <c r="K19" s="809">
        <f t="shared" si="11"/>
        <v>80000</v>
      </c>
      <c r="L19" s="810">
        <f t="shared" si="2"/>
        <v>80000</v>
      </c>
      <c r="M19" s="394">
        <f t="shared" si="17"/>
        <v>0</v>
      </c>
      <c r="N19" s="394"/>
      <c r="O19" s="2"/>
      <c r="P19" s="2"/>
      <c r="Q19" s="2"/>
      <c r="R19" s="2"/>
      <c r="T19" s="2"/>
      <c r="U19" s="2"/>
      <c r="V19" s="2"/>
      <c r="W19" s="2"/>
      <c r="X19" s="2"/>
      <c r="Y19" s="2"/>
      <c r="Z19" s="2"/>
      <c r="AA19" s="806">
        <f t="shared" ref="AA19" si="19">SUM(O19:Z19)</f>
        <v>0</v>
      </c>
      <c r="AB19" s="2"/>
      <c r="AC19" s="2"/>
      <c r="AD19" s="2"/>
      <c r="AE19" s="2"/>
      <c r="AF19" s="2"/>
      <c r="AG19" s="2"/>
      <c r="AH19" s="2"/>
      <c r="AI19" s="2"/>
      <c r="AJ19" s="2"/>
      <c r="AK19" s="2"/>
      <c r="AL19" s="2"/>
      <c r="AM19" s="2"/>
      <c r="AN19" s="806">
        <f t="shared" si="4"/>
        <v>0</v>
      </c>
      <c r="AO19" s="806">
        <f t="shared" si="5"/>
        <v>0</v>
      </c>
      <c r="AP19" s="806">
        <f t="shared" si="6"/>
        <v>6000</v>
      </c>
      <c r="AQ19" s="806">
        <f t="shared" si="7"/>
        <v>47000</v>
      </c>
      <c r="AR19" s="806">
        <f t="shared" si="8"/>
        <v>22000</v>
      </c>
      <c r="AS19" s="806">
        <f t="shared" si="9"/>
        <v>5000</v>
      </c>
      <c r="AT19" s="806">
        <f t="shared" si="9"/>
        <v>0</v>
      </c>
      <c r="AU19" s="2"/>
      <c r="AV19" s="2"/>
      <c r="AW19" s="2"/>
      <c r="AX19" s="2"/>
      <c r="AY19" s="2"/>
      <c r="AZ19" s="2"/>
      <c r="BA19" s="2"/>
      <c r="BB19" s="2"/>
      <c r="BC19" s="2"/>
      <c r="BD19" s="2"/>
      <c r="BE19" s="2"/>
      <c r="BF19" s="2"/>
      <c r="BG19" s="806">
        <f t="shared" si="12"/>
        <v>0</v>
      </c>
      <c r="BH19" s="807"/>
      <c r="BI19" s="807"/>
      <c r="BJ19" s="807"/>
      <c r="BK19" s="807"/>
      <c r="BL19" s="807"/>
      <c r="BM19" s="807"/>
      <c r="BN19" s="807"/>
      <c r="BO19" s="807"/>
      <c r="BP19" s="807">
        <v>3000</v>
      </c>
      <c r="BQ19" s="807"/>
      <c r="BR19" s="807">
        <v>3000</v>
      </c>
      <c r="BS19" s="807"/>
      <c r="BT19" s="806">
        <f t="shared" si="13"/>
        <v>6000</v>
      </c>
      <c r="BU19" s="807">
        <v>7000</v>
      </c>
      <c r="BV19" s="807"/>
      <c r="BW19" s="807"/>
      <c r="BX19" s="807">
        <v>40000</v>
      </c>
      <c r="BY19" s="807"/>
      <c r="BZ19" s="807"/>
      <c r="CA19" s="807"/>
      <c r="CB19" s="807"/>
      <c r="CC19" s="807"/>
      <c r="CD19" s="807"/>
      <c r="CE19" s="807"/>
      <c r="CF19" s="807"/>
      <c r="CG19" s="806">
        <f t="shared" si="14"/>
        <v>47000</v>
      </c>
      <c r="CK19" s="807">
        <v>22000</v>
      </c>
      <c r="CT19" s="806">
        <f t="shared" si="15"/>
        <v>22000</v>
      </c>
      <c r="CX19" s="807">
        <v>5000</v>
      </c>
      <c r="DG19" s="806">
        <f t="shared" si="16"/>
        <v>5000</v>
      </c>
    </row>
    <row r="20" spans="1:112" x14ac:dyDescent="0.25">
      <c r="A20" s="959"/>
      <c r="B20" s="54"/>
      <c r="C20" s="54"/>
      <c r="D20" s="54"/>
      <c r="E20" s="54"/>
      <c r="F20" s="54"/>
      <c r="G20" s="54"/>
      <c r="H20" s="812"/>
      <c r="I20" s="803">
        <f t="shared" si="1"/>
        <v>0</v>
      </c>
      <c r="J20" s="803">
        <f t="shared" si="18"/>
        <v>0</v>
      </c>
      <c r="K20" s="809">
        <f t="shared" si="11"/>
        <v>0</v>
      </c>
      <c r="L20" s="810">
        <f t="shared" si="2"/>
        <v>0</v>
      </c>
      <c r="M20" s="394">
        <f t="shared" si="17"/>
        <v>0</v>
      </c>
      <c r="N20" s="394"/>
      <c r="O20" s="2"/>
      <c r="P20" s="2"/>
      <c r="Q20" s="2"/>
      <c r="R20" s="2"/>
      <c r="S20" s="2"/>
      <c r="T20" s="2"/>
      <c r="U20" s="2"/>
      <c r="V20" s="2"/>
      <c r="W20" s="2"/>
      <c r="X20" s="2"/>
      <c r="Y20" s="2"/>
      <c r="Z20" s="2"/>
      <c r="AA20" s="806">
        <f t="shared" si="3"/>
        <v>0</v>
      </c>
      <c r="AB20" s="2"/>
      <c r="AC20" s="2"/>
      <c r="AD20" s="2"/>
      <c r="AE20" s="2"/>
      <c r="AF20" s="2"/>
      <c r="AG20" s="2"/>
      <c r="AH20" s="2"/>
      <c r="AI20" s="2"/>
      <c r="AJ20" s="2"/>
      <c r="AK20" s="2"/>
      <c r="AL20" s="2"/>
      <c r="AM20" s="2"/>
      <c r="AN20" s="806">
        <f t="shared" si="4"/>
        <v>0</v>
      </c>
      <c r="AO20" s="806">
        <f t="shared" si="5"/>
        <v>0</v>
      </c>
      <c r="AP20" s="806">
        <f t="shared" si="6"/>
        <v>0</v>
      </c>
      <c r="AQ20" s="806">
        <f t="shared" si="7"/>
        <v>0</v>
      </c>
      <c r="AR20" s="806">
        <f t="shared" si="8"/>
        <v>0</v>
      </c>
      <c r="AS20" s="806">
        <f t="shared" si="9"/>
        <v>0</v>
      </c>
      <c r="AT20" s="806">
        <f t="shared" si="9"/>
        <v>0</v>
      </c>
      <c r="AU20" s="2"/>
      <c r="AV20" s="2"/>
      <c r="AW20" s="2"/>
      <c r="AX20" s="2"/>
      <c r="AY20" s="2"/>
      <c r="AZ20" s="2"/>
      <c r="BA20" s="2"/>
      <c r="BC20" s="2"/>
      <c r="BD20" s="2"/>
      <c r="BE20" s="2"/>
      <c r="BF20" s="2"/>
      <c r="BG20" s="806">
        <f t="shared" si="12"/>
        <v>0</v>
      </c>
      <c r="BH20" s="807"/>
      <c r="BI20" s="807"/>
      <c r="BJ20" s="807"/>
      <c r="BK20" s="807"/>
      <c r="BL20" s="807"/>
      <c r="BM20" s="807"/>
      <c r="BN20" s="807"/>
      <c r="BO20" s="807"/>
      <c r="BP20" s="807"/>
      <c r="BQ20" s="807"/>
      <c r="BR20" s="807"/>
      <c r="BS20" s="807"/>
      <c r="BT20" s="806">
        <f t="shared" si="13"/>
        <v>0</v>
      </c>
      <c r="BU20" s="807"/>
      <c r="BV20" s="807"/>
      <c r="BW20" s="807"/>
      <c r="BX20" s="807"/>
      <c r="BY20" s="807"/>
      <c r="BZ20" s="807"/>
      <c r="CA20" s="807"/>
      <c r="CB20" s="807"/>
      <c r="CC20" s="807"/>
      <c r="CD20" s="807"/>
      <c r="CE20" s="807"/>
      <c r="CF20" s="807"/>
      <c r="CG20" s="806">
        <f t="shared" si="14"/>
        <v>0</v>
      </c>
      <c r="CT20" s="806">
        <f t="shared" si="15"/>
        <v>0</v>
      </c>
      <c r="DG20" s="806">
        <f t="shared" si="16"/>
        <v>0</v>
      </c>
    </row>
    <row r="21" spans="1:112" s="797" customFormat="1" ht="15.75" thickBot="1" x14ac:dyDescent="0.3">
      <c r="A21" s="797" t="s">
        <v>926</v>
      </c>
      <c r="H21" s="813">
        <f t="shared" ref="H21:M21" si="20">SUM(H6:H20)</f>
        <v>504118</v>
      </c>
      <c r="I21" s="813">
        <f t="shared" si="20"/>
        <v>33000</v>
      </c>
      <c r="J21" s="813">
        <f t="shared" si="20"/>
        <v>27522</v>
      </c>
      <c r="K21" s="813">
        <f t="shared" si="20"/>
        <v>471118</v>
      </c>
      <c r="L21" s="813">
        <f t="shared" si="20"/>
        <v>504118</v>
      </c>
      <c r="M21" s="813">
        <f t="shared" si="20"/>
        <v>0</v>
      </c>
      <c r="AA21" s="814">
        <f t="shared" ref="AA21" si="21">SUM(AA6:AA20)</f>
        <v>0</v>
      </c>
      <c r="AB21" s="815"/>
      <c r="AC21" s="815"/>
      <c r="AD21" s="815"/>
      <c r="AE21" s="815"/>
      <c r="AF21" s="815"/>
      <c r="AG21" s="815"/>
      <c r="AH21" s="815"/>
      <c r="AI21" s="815"/>
      <c r="AJ21" s="815"/>
      <c r="AK21" s="815"/>
      <c r="AL21" s="815"/>
      <c r="AM21" s="815"/>
      <c r="AN21" s="814">
        <f t="shared" ref="AN21" si="22">SUM(AN6:AN20)</f>
        <v>0</v>
      </c>
      <c r="AO21" s="816">
        <f>SUM(AU21:BF21)</f>
        <v>33000</v>
      </c>
      <c r="AP21" s="814">
        <f>SUM(AP6:AP20)</f>
        <v>58522</v>
      </c>
      <c r="AQ21" s="814">
        <f>SUM(AQ6:AQ20)</f>
        <v>57000</v>
      </c>
      <c r="AR21" s="814">
        <f>SUM(AR6:AR20)</f>
        <v>155967</v>
      </c>
      <c r="AS21" s="814">
        <f>SUM(AS6:AS20)</f>
        <v>163806</v>
      </c>
      <c r="AT21" s="814">
        <f>SUM(AT6:AT20)</f>
        <v>35823</v>
      </c>
      <c r="AU21" s="813">
        <f t="shared" ref="AU21:DF21" si="23">SUM(AU6:AU20)</f>
        <v>0</v>
      </c>
      <c r="AV21" s="813">
        <f t="shared" si="23"/>
        <v>0</v>
      </c>
      <c r="AW21" s="813">
        <f t="shared" si="23"/>
        <v>0</v>
      </c>
      <c r="AX21" s="813">
        <f t="shared" si="23"/>
        <v>0</v>
      </c>
      <c r="AY21" s="813">
        <f t="shared" si="23"/>
        <v>0</v>
      </c>
      <c r="AZ21" s="813">
        <f t="shared" si="23"/>
        <v>0</v>
      </c>
      <c r="BA21" s="813">
        <f t="shared" si="23"/>
        <v>0</v>
      </c>
      <c r="BB21" s="813">
        <f t="shared" si="23"/>
        <v>0</v>
      </c>
      <c r="BC21" s="813">
        <f t="shared" si="23"/>
        <v>0</v>
      </c>
      <c r="BD21" s="813">
        <f t="shared" si="23"/>
        <v>0</v>
      </c>
      <c r="BE21" s="813">
        <f t="shared" si="23"/>
        <v>33000</v>
      </c>
      <c r="BF21" s="813">
        <f t="shared" si="23"/>
        <v>0</v>
      </c>
      <c r="BG21" s="813">
        <f t="shared" si="23"/>
        <v>33000</v>
      </c>
      <c r="BH21" s="813">
        <f t="shared" si="23"/>
        <v>0</v>
      </c>
      <c r="BI21" s="813">
        <f t="shared" si="23"/>
        <v>0</v>
      </c>
      <c r="BJ21" s="813">
        <f t="shared" si="23"/>
        <v>0</v>
      </c>
      <c r="BK21" s="813">
        <f t="shared" si="23"/>
        <v>0</v>
      </c>
      <c r="BL21" s="813">
        <f t="shared" si="23"/>
        <v>27522</v>
      </c>
      <c r="BM21" s="813">
        <f t="shared" si="23"/>
        <v>0</v>
      </c>
      <c r="BN21" s="813">
        <f t="shared" si="23"/>
        <v>0</v>
      </c>
      <c r="BO21" s="813">
        <f t="shared" si="23"/>
        <v>0</v>
      </c>
      <c r="BP21" s="813">
        <f t="shared" si="23"/>
        <v>23000</v>
      </c>
      <c r="BQ21" s="813">
        <f t="shared" si="23"/>
        <v>0</v>
      </c>
      <c r="BR21" s="813">
        <f t="shared" si="23"/>
        <v>3000</v>
      </c>
      <c r="BS21" s="813">
        <f t="shared" si="23"/>
        <v>5000</v>
      </c>
      <c r="BT21" s="813">
        <f t="shared" si="23"/>
        <v>58522</v>
      </c>
      <c r="BU21" s="813">
        <f t="shared" si="23"/>
        <v>17000</v>
      </c>
      <c r="BV21" s="813">
        <f t="shared" si="23"/>
        <v>0</v>
      </c>
      <c r="BW21" s="813">
        <f t="shared" si="23"/>
        <v>0</v>
      </c>
      <c r="BX21" s="813">
        <f t="shared" si="23"/>
        <v>40000</v>
      </c>
      <c r="BY21" s="813">
        <f t="shared" si="23"/>
        <v>0</v>
      </c>
      <c r="BZ21" s="813">
        <f t="shared" si="23"/>
        <v>0</v>
      </c>
      <c r="CA21" s="813">
        <f t="shared" si="23"/>
        <v>0</v>
      </c>
      <c r="CB21" s="813">
        <f t="shared" si="23"/>
        <v>0</v>
      </c>
      <c r="CC21" s="813">
        <f t="shared" si="23"/>
        <v>0</v>
      </c>
      <c r="CD21" s="813">
        <f t="shared" si="23"/>
        <v>0</v>
      </c>
      <c r="CE21" s="813">
        <f t="shared" si="23"/>
        <v>0</v>
      </c>
      <c r="CF21" s="813">
        <f t="shared" si="23"/>
        <v>0</v>
      </c>
      <c r="CG21" s="813">
        <f t="shared" si="23"/>
        <v>57000</v>
      </c>
      <c r="CH21" s="813">
        <f t="shared" si="23"/>
        <v>0</v>
      </c>
      <c r="CI21" s="813">
        <f t="shared" si="23"/>
        <v>0</v>
      </c>
      <c r="CJ21" s="813">
        <f t="shared" si="23"/>
        <v>0</v>
      </c>
      <c r="CK21" s="813">
        <f t="shared" si="23"/>
        <v>22000</v>
      </c>
      <c r="CL21" s="813">
        <f t="shared" si="23"/>
        <v>0</v>
      </c>
      <c r="CM21" s="813">
        <f t="shared" si="23"/>
        <v>0</v>
      </c>
      <c r="CN21" s="813">
        <f t="shared" si="23"/>
        <v>0</v>
      </c>
      <c r="CO21" s="813">
        <f t="shared" si="23"/>
        <v>0</v>
      </c>
      <c r="CP21" s="813">
        <f t="shared" si="23"/>
        <v>0</v>
      </c>
      <c r="CQ21" s="813">
        <f t="shared" si="23"/>
        <v>91647</v>
      </c>
      <c r="CR21" s="813">
        <f t="shared" si="23"/>
        <v>0</v>
      </c>
      <c r="CS21" s="813">
        <f t="shared" si="23"/>
        <v>42320</v>
      </c>
      <c r="CT21" s="813">
        <f t="shared" si="23"/>
        <v>155967</v>
      </c>
      <c r="CU21" s="813">
        <f t="shared" si="23"/>
        <v>0</v>
      </c>
      <c r="CV21" s="813">
        <f t="shared" si="23"/>
        <v>0</v>
      </c>
      <c r="CW21" s="813">
        <f t="shared" si="23"/>
        <v>0</v>
      </c>
      <c r="CX21" s="813">
        <f t="shared" si="23"/>
        <v>51988</v>
      </c>
      <c r="CY21" s="813">
        <f t="shared" si="23"/>
        <v>0</v>
      </c>
      <c r="CZ21" s="813">
        <f t="shared" si="23"/>
        <v>0</v>
      </c>
      <c r="DA21" s="813">
        <f t="shared" si="23"/>
        <v>0</v>
      </c>
      <c r="DB21" s="813">
        <f t="shared" si="23"/>
        <v>0</v>
      </c>
      <c r="DC21" s="813">
        <f t="shared" si="23"/>
        <v>0</v>
      </c>
      <c r="DD21" s="813">
        <f t="shared" si="23"/>
        <v>0</v>
      </c>
      <c r="DE21" s="813">
        <f t="shared" si="23"/>
        <v>111818</v>
      </c>
      <c r="DF21" s="813">
        <f t="shared" si="23"/>
        <v>0</v>
      </c>
      <c r="DG21" s="813">
        <f t="shared" ref="DG21:DH21" si="24">SUM(DG6:DG20)</f>
        <v>163806</v>
      </c>
      <c r="DH21" s="813">
        <f t="shared" si="24"/>
        <v>35823</v>
      </c>
    </row>
    <row r="22" spans="1:112" ht="45" x14ac:dyDescent="0.25">
      <c r="A22" s="960" t="s">
        <v>927</v>
      </c>
      <c r="B22" s="397"/>
      <c r="C22" s="817" t="s">
        <v>928</v>
      </c>
      <c r="D22" s="818" t="s">
        <v>929</v>
      </c>
      <c r="E22" s="819"/>
      <c r="F22" s="811">
        <v>568</v>
      </c>
      <c r="G22" s="820">
        <v>84900</v>
      </c>
      <c r="H22" s="796">
        <v>84900</v>
      </c>
      <c r="I22" s="803">
        <f t="shared" ref="I22:I74" si="25">+AA22+AN22+AO22</f>
        <v>0</v>
      </c>
      <c r="J22" s="803">
        <f>SUM(BH22:BO22)</f>
        <v>54900</v>
      </c>
      <c r="K22" s="809">
        <f t="shared" ref="K22:K74" si="26">+H22-I22</f>
        <v>84900</v>
      </c>
      <c r="L22" s="810">
        <f>+AA22+AN22+AO22+BT22+CG22+CT22+DG22+DH22</f>
        <v>84900</v>
      </c>
      <c r="M22" s="394">
        <f>+IF(G22&gt;0,G22-L22,H22-L22)</f>
        <v>0</v>
      </c>
      <c r="N22" s="394"/>
      <c r="O22" s="2"/>
      <c r="P22" s="2"/>
      <c r="Q22" s="2"/>
      <c r="R22" s="2"/>
      <c r="S22" s="2"/>
      <c r="T22" s="2"/>
      <c r="U22" s="2"/>
      <c r="V22" s="2"/>
      <c r="W22" s="2"/>
      <c r="X22" s="2"/>
      <c r="Y22" s="2"/>
      <c r="Z22" s="2"/>
      <c r="AA22" s="806">
        <f t="shared" ref="AA22:AA26" si="27">SUM(O22:Z22)</f>
        <v>0</v>
      </c>
      <c r="AB22" s="2"/>
      <c r="AC22" s="2"/>
      <c r="AD22" s="2"/>
      <c r="AE22" s="2"/>
      <c r="AF22" s="2"/>
      <c r="AG22" s="2"/>
      <c r="AH22" s="2"/>
      <c r="AI22" s="2"/>
      <c r="AJ22" s="2"/>
      <c r="AK22" s="2"/>
      <c r="AL22" s="2"/>
      <c r="AM22" s="2"/>
      <c r="AN22" s="806">
        <f t="shared" ref="AN22:AN26" si="28">SUM(AB22:AM22)</f>
        <v>0</v>
      </c>
      <c r="AO22" s="806">
        <f t="shared" ref="AO22:AO26" si="29">SUM(AU22:BF22)</f>
        <v>0</v>
      </c>
      <c r="AP22" s="806">
        <f t="shared" ref="AP22:AP26" si="30">+BT22</f>
        <v>84900</v>
      </c>
      <c r="AQ22" s="806">
        <f t="shared" ref="AQ22:AQ26" si="31">+CG22</f>
        <v>0</v>
      </c>
      <c r="AR22" s="806">
        <f t="shared" ref="AR22:AR26" si="32">+CT22</f>
        <v>0</v>
      </c>
      <c r="AS22" s="806">
        <f t="shared" ref="AS22:AT26" si="33">+DG22</f>
        <v>0</v>
      </c>
      <c r="AT22" s="806">
        <f t="shared" si="33"/>
        <v>0</v>
      </c>
      <c r="AU22" s="2"/>
      <c r="AV22" s="2"/>
      <c r="AW22" s="2"/>
      <c r="AX22" s="2"/>
      <c r="AY22" s="2"/>
      <c r="AZ22" s="2"/>
      <c r="BA22" s="2"/>
      <c r="BC22" s="2"/>
      <c r="BD22" s="2"/>
      <c r="BE22" s="2"/>
      <c r="BF22" s="2"/>
      <c r="BG22" s="806">
        <f t="shared" ref="BG22:BG85" si="34">SUM(AU22:BF22)</f>
        <v>0</v>
      </c>
      <c r="BH22" s="807"/>
      <c r="BI22" s="807"/>
      <c r="BJ22" s="807"/>
      <c r="BK22" s="820">
        <v>9900</v>
      </c>
      <c r="BL22" s="820">
        <v>25000</v>
      </c>
      <c r="BN22" s="820">
        <f>25000-25000</f>
        <v>0</v>
      </c>
      <c r="BO22" s="820">
        <v>20000</v>
      </c>
      <c r="BP22" s="807">
        <v>20000</v>
      </c>
      <c r="BQ22" s="807">
        <v>10000</v>
      </c>
      <c r="BR22" s="807"/>
      <c r="BS22" s="807"/>
      <c r="BT22" s="806">
        <f t="shared" ref="BT22:BT85" si="35">SUM(BH22:BS22)</f>
        <v>84900</v>
      </c>
      <c r="CG22" s="806">
        <f t="shared" ref="CG22:CG85" si="36">SUM(BU22:CF22)</f>
        <v>0</v>
      </c>
      <c r="CT22" s="806">
        <f t="shared" ref="CT22:CT85" si="37">SUM(CH22:CS22)</f>
        <v>0</v>
      </c>
      <c r="DG22" s="806">
        <f t="shared" si="16"/>
        <v>0</v>
      </c>
    </row>
    <row r="23" spans="1:112" ht="30" x14ac:dyDescent="0.25">
      <c r="A23" s="961"/>
      <c r="C23" s="822" t="s">
        <v>930</v>
      </c>
      <c r="D23" s="823" t="s">
        <v>929</v>
      </c>
      <c r="E23" s="824" t="s">
        <v>931</v>
      </c>
      <c r="F23" s="811">
        <v>573</v>
      </c>
      <c r="G23" s="820">
        <v>63650</v>
      </c>
      <c r="H23" s="796">
        <v>63650</v>
      </c>
      <c r="I23" s="803">
        <f t="shared" si="25"/>
        <v>0</v>
      </c>
      <c r="J23" s="803">
        <f t="shared" ref="J23:J74" si="38">SUM(BH23:BM23)</f>
        <v>0</v>
      </c>
      <c r="K23" s="809">
        <f t="shared" si="26"/>
        <v>63650</v>
      </c>
      <c r="L23" s="810">
        <f>+AA23+AN23+AO23+BT23+CG23+CT23+DG23+DH23</f>
        <v>63650</v>
      </c>
      <c r="M23" s="394">
        <f>+IF(G23&gt;0,G23-L23,H23-L23)</f>
        <v>0</v>
      </c>
      <c r="N23" s="394"/>
      <c r="O23" s="2"/>
      <c r="P23" s="2"/>
      <c r="Q23" s="2"/>
      <c r="R23" s="2"/>
      <c r="S23" s="2"/>
      <c r="T23" s="2"/>
      <c r="U23" s="2"/>
      <c r="V23" s="2"/>
      <c r="W23" s="2"/>
      <c r="X23" s="2"/>
      <c r="Y23" s="2"/>
      <c r="Z23" s="2"/>
      <c r="AA23" s="806">
        <f t="shared" si="27"/>
        <v>0</v>
      </c>
      <c r="AB23" s="2"/>
      <c r="AC23" s="2"/>
      <c r="AD23" s="2"/>
      <c r="AE23" s="2"/>
      <c r="AF23" s="2"/>
      <c r="AG23" s="2"/>
      <c r="AH23" s="2"/>
      <c r="AI23" s="2"/>
      <c r="AJ23" s="2"/>
      <c r="AK23" s="2"/>
      <c r="AL23" s="2"/>
      <c r="AM23" s="2"/>
      <c r="AN23" s="806">
        <f t="shared" si="28"/>
        <v>0</v>
      </c>
      <c r="AO23" s="806">
        <f t="shared" si="29"/>
        <v>0</v>
      </c>
      <c r="AP23" s="806">
        <f t="shared" si="30"/>
        <v>21000</v>
      </c>
      <c r="AQ23" s="806">
        <f t="shared" si="31"/>
        <v>42650</v>
      </c>
      <c r="AR23" s="806">
        <f t="shared" si="32"/>
        <v>0</v>
      </c>
      <c r="AS23" s="806">
        <f t="shared" si="33"/>
        <v>0</v>
      </c>
      <c r="AT23" s="806">
        <f t="shared" si="33"/>
        <v>0</v>
      </c>
      <c r="AU23" s="2"/>
      <c r="AV23" s="2"/>
      <c r="AW23" s="2"/>
      <c r="AX23" s="2"/>
      <c r="AY23" s="2"/>
      <c r="AZ23" s="2"/>
      <c r="BA23" s="2"/>
      <c r="BC23" s="2"/>
      <c r="BD23" s="2"/>
      <c r="BE23" s="2"/>
      <c r="BF23" s="2"/>
      <c r="BG23" s="806">
        <f t="shared" si="34"/>
        <v>0</v>
      </c>
      <c r="BH23" s="807"/>
      <c r="BI23" s="807"/>
      <c r="BJ23" s="807"/>
      <c r="BK23" s="807"/>
      <c r="BL23" s="807"/>
      <c r="BM23" s="807"/>
      <c r="BN23" s="807"/>
      <c r="BO23" s="807"/>
      <c r="BP23" s="807"/>
      <c r="BQ23" s="807">
        <v>2000</v>
      </c>
      <c r="BR23" s="807">
        <v>12000</v>
      </c>
      <c r="BS23" s="807">
        <v>7000</v>
      </c>
      <c r="BT23" s="806">
        <f t="shared" si="35"/>
        <v>21000</v>
      </c>
      <c r="BU23" s="2">
        <v>7000</v>
      </c>
      <c r="BV23" s="2">
        <v>7000</v>
      </c>
      <c r="BW23" s="2">
        <v>7000</v>
      </c>
      <c r="BX23" s="2">
        <v>7000</v>
      </c>
      <c r="BY23" s="2">
        <v>7000</v>
      </c>
      <c r="BZ23" s="2">
        <v>7650</v>
      </c>
      <c r="CG23" s="806">
        <f t="shared" si="36"/>
        <v>42650</v>
      </c>
      <c r="CT23" s="806">
        <f t="shared" si="37"/>
        <v>0</v>
      </c>
      <c r="DG23" s="806">
        <f t="shared" si="16"/>
        <v>0</v>
      </c>
    </row>
    <row r="24" spans="1:112" ht="30" x14ac:dyDescent="0.25">
      <c r="A24" s="961"/>
      <c r="B24" s="390"/>
      <c r="C24" s="822" t="s">
        <v>932</v>
      </c>
      <c r="D24" s="818" t="s">
        <v>929</v>
      </c>
      <c r="E24" s="824" t="s">
        <v>931</v>
      </c>
      <c r="F24" s="811">
        <f>+F23+1</f>
        <v>574</v>
      </c>
      <c r="G24" s="820">
        <v>146440</v>
      </c>
      <c r="H24" s="796">
        <v>146440</v>
      </c>
      <c r="I24" s="803">
        <f t="shared" si="25"/>
        <v>0</v>
      </c>
      <c r="J24" s="803">
        <f t="shared" si="38"/>
        <v>0</v>
      </c>
      <c r="K24" s="809">
        <f t="shared" si="26"/>
        <v>146440</v>
      </c>
      <c r="L24" s="810">
        <f>+AA24+AN24+AO24+BT24+CG24+CT24+DG24+DH24</f>
        <v>146440</v>
      </c>
      <c r="M24" s="394">
        <f>+IF(G24&gt;0,G24-L24,H24-L24)</f>
        <v>0</v>
      </c>
      <c r="N24" s="394"/>
      <c r="O24" s="2"/>
      <c r="P24" s="2"/>
      <c r="Q24" s="2"/>
      <c r="R24" s="2"/>
      <c r="S24" s="2"/>
      <c r="T24" s="2"/>
      <c r="U24" s="2"/>
      <c r="V24" s="2"/>
      <c r="W24" s="2"/>
      <c r="X24" s="2"/>
      <c r="Y24" s="2"/>
      <c r="Z24" s="2"/>
      <c r="AA24" s="806">
        <f t="shared" si="27"/>
        <v>0</v>
      </c>
      <c r="AB24" s="2"/>
      <c r="AC24" s="2"/>
      <c r="AD24" s="2"/>
      <c r="AE24" s="2"/>
      <c r="AF24" s="2"/>
      <c r="AG24" s="2"/>
      <c r="AH24" s="2"/>
      <c r="AI24" s="2"/>
      <c r="AJ24" s="2"/>
      <c r="AK24" s="2"/>
      <c r="AL24" s="2"/>
      <c r="AM24" s="2"/>
      <c r="AN24" s="806">
        <f t="shared" si="28"/>
        <v>0</v>
      </c>
      <c r="AO24" s="806">
        <f t="shared" si="29"/>
        <v>0</v>
      </c>
      <c r="AP24" s="806">
        <f t="shared" si="30"/>
        <v>0</v>
      </c>
      <c r="AQ24" s="806">
        <f t="shared" si="31"/>
        <v>146440</v>
      </c>
      <c r="AR24" s="806">
        <f t="shared" si="32"/>
        <v>0</v>
      </c>
      <c r="AS24" s="806">
        <f t="shared" si="33"/>
        <v>0</v>
      </c>
      <c r="AT24" s="806">
        <f t="shared" si="33"/>
        <v>0</v>
      </c>
      <c r="AU24" s="2"/>
      <c r="AV24" s="2"/>
      <c r="AW24" s="2"/>
      <c r="AX24" s="2"/>
      <c r="AY24" s="2"/>
      <c r="AZ24" s="2"/>
      <c r="BA24" s="2"/>
      <c r="BC24" s="2"/>
      <c r="BD24" s="2"/>
      <c r="BE24" s="2"/>
      <c r="BF24" s="2"/>
      <c r="BG24" s="806">
        <f t="shared" si="34"/>
        <v>0</v>
      </c>
      <c r="BH24" s="807"/>
      <c r="BI24" s="807"/>
      <c r="BJ24" s="807"/>
      <c r="BK24" s="807"/>
      <c r="BL24" s="807"/>
      <c r="BM24" s="807"/>
      <c r="BN24" s="807"/>
      <c r="BO24" s="807"/>
      <c r="BP24" s="807"/>
      <c r="BQ24" s="807"/>
      <c r="BR24" s="807"/>
      <c r="BS24" s="807"/>
      <c r="BT24" s="806">
        <f t="shared" si="35"/>
        <v>0</v>
      </c>
      <c r="BX24">
        <v>10000</v>
      </c>
      <c r="BY24">
        <v>10000</v>
      </c>
      <c r="BZ24">
        <v>10000</v>
      </c>
      <c r="CA24">
        <v>19500</v>
      </c>
      <c r="CB24">
        <v>19500</v>
      </c>
      <c r="CC24">
        <v>19500</v>
      </c>
      <c r="CD24">
        <v>19500</v>
      </c>
      <c r="CE24">
        <v>19500</v>
      </c>
      <c r="CF24">
        <v>18940</v>
      </c>
      <c r="CG24" s="806">
        <f t="shared" si="36"/>
        <v>146440</v>
      </c>
      <c r="CT24" s="806">
        <f t="shared" si="37"/>
        <v>0</v>
      </c>
      <c r="DG24" s="806">
        <f t="shared" si="16"/>
        <v>0</v>
      </c>
    </row>
    <row r="25" spans="1:112" ht="45" x14ac:dyDescent="0.25">
      <c r="A25" s="370" t="s">
        <v>933</v>
      </c>
      <c r="B25" s="397"/>
      <c r="C25" s="822" t="s">
        <v>928</v>
      </c>
      <c r="D25" s="825" t="s">
        <v>929</v>
      </c>
      <c r="E25" s="824" t="s">
        <v>931</v>
      </c>
      <c r="F25" s="811">
        <f>+F24+1</f>
        <v>575</v>
      </c>
      <c r="G25" s="820">
        <v>274750</v>
      </c>
      <c r="H25" s="796"/>
      <c r="I25" s="803">
        <f t="shared" si="25"/>
        <v>0</v>
      </c>
      <c r="J25" s="803">
        <f t="shared" si="38"/>
        <v>101600</v>
      </c>
      <c r="K25" s="809">
        <f>+G25-I25</f>
        <v>274750</v>
      </c>
      <c r="L25" s="810">
        <f>+AA25+AN25+AO25+BT25+CG25+CT25+DG25+DH25</f>
        <v>274750</v>
      </c>
      <c r="M25" s="394">
        <f>+IF(G25&gt;0,G25-L25,H25-L25)</f>
        <v>0</v>
      </c>
      <c r="N25" s="394"/>
      <c r="O25" s="2"/>
      <c r="P25" s="2"/>
      <c r="Q25" s="2"/>
      <c r="R25" s="2"/>
      <c r="S25" s="2"/>
      <c r="T25" s="2"/>
      <c r="U25" s="2"/>
      <c r="V25" s="2"/>
      <c r="W25" s="2"/>
      <c r="X25" s="2"/>
      <c r="Y25" s="2"/>
      <c r="Z25" s="2"/>
      <c r="AA25" s="806">
        <f t="shared" si="27"/>
        <v>0</v>
      </c>
      <c r="AB25" s="2"/>
      <c r="AC25" s="2"/>
      <c r="AD25" s="2"/>
      <c r="AE25" s="2"/>
      <c r="AF25" s="2"/>
      <c r="AG25" s="2"/>
      <c r="AH25" s="2"/>
      <c r="AI25" s="2"/>
      <c r="AJ25" s="2"/>
      <c r="AK25" s="2"/>
      <c r="AL25" s="2"/>
      <c r="AM25" s="2"/>
      <c r="AN25" s="806">
        <f t="shared" si="28"/>
        <v>0</v>
      </c>
      <c r="AO25" s="806">
        <f t="shared" si="29"/>
        <v>0</v>
      </c>
      <c r="AP25" s="806">
        <f t="shared" si="30"/>
        <v>274750</v>
      </c>
      <c r="AQ25" s="806">
        <f t="shared" si="31"/>
        <v>0</v>
      </c>
      <c r="AR25" s="806">
        <f t="shared" si="32"/>
        <v>0</v>
      </c>
      <c r="AS25" s="806">
        <f t="shared" si="33"/>
        <v>0</v>
      </c>
      <c r="AT25" s="806">
        <f t="shared" si="33"/>
        <v>0</v>
      </c>
      <c r="AU25" s="2"/>
      <c r="AV25" s="2"/>
      <c r="AW25" s="2"/>
      <c r="AX25" s="2"/>
      <c r="AY25" s="2"/>
      <c r="AZ25" s="2"/>
      <c r="BA25" s="2"/>
      <c r="BC25" s="2"/>
      <c r="BD25" s="2"/>
      <c r="BE25" s="2"/>
      <c r="BF25" s="2"/>
      <c r="BG25" s="806">
        <f t="shared" si="34"/>
        <v>0</v>
      </c>
      <c r="BH25" s="807"/>
      <c r="BI25" s="807"/>
      <c r="BJ25" s="807"/>
      <c r="BK25" s="820">
        <v>15000</v>
      </c>
      <c r="BL25" s="820">
        <v>86600</v>
      </c>
      <c r="BM25" s="807"/>
      <c r="BN25" s="820">
        <f>86500-86500</f>
        <v>0</v>
      </c>
      <c r="BO25" s="820">
        <v>55000</v>
      </c>
      <c r="BP25" s="807">
        <v>55000</v>
      </c>
      <c r="BQ25" s="807">
        <v>63000</v>
      </c>
      <c r="BR25" s="807">
        <v>150</v>
      </c>
      <c r="BS25" s="807"/>
      <c r="BT25" s="806">
        <f t="shared" si="35"/>
        <v>274750</v>
      </c>
      <c r="CG25" s="806">
        <f t="shared" si="36"/>
        <v>0</v>
      </c>
      <c r="CT25" s="806">
        <f t="shared" si="37"/>
        <v>0</v>
      </c>
      <c r="DG25" s="806">
        <f t="shared" si="16"/>
        <v>0</v>
      </c>
    </row>
    <row r="26" spans="1:112" hidden="1" x14ac:dyDescent="0.25">
      <c r="A26" s="257" t="s">
        <v>807</v>
      </c>
      <c r="B26" s="370" t="s">
        <v>934</v>
      </c>
      <c r="C26" t="s">
        <v>935</v>
      </c>
      <c r="D26" s="370" t="s">
        <v>929</v>
      </c>
      <c r="E26" s="827" t="s">
        <v>931</v>
      </c>
      <c r="G26" s="807">
        <v>145129.51999999999</v>
      </c>
      <c r="H26" s="796">
        <v>145129.51999999999</v>
      </c>
      <c r="I26" s="803">
        <f t="shared" si="25"/>
        <v>0</v>
      </c>
      <c r="J26" s="803">
        <f t="shared" si="38"/>
        <v>0</v>
      </c>
      <c r="K26" s="809"/>
      <c r="L26" s="810"/>
      <c r="M26" s="394"/>
      <c r="N26" s="394"/>
      <c r="O26" s="2"/>
      <c r="P26" s="2"/>
      <c r="Q26" s="2"/>
      <c r="R26" s="2"/>
      <c r="S26" s="2"/>
      <c r="T26" s="2"/>
      <c r="U26" s="2"/>
      <c r="V26" s="2"/>
      <c r="W26" s="2"/>
      <c r="X26" s="2"/>
      <c r="Y26" s="2"/>
      <c r="Z26" s="2"/>
      <c r="AA26" s="806">
        <f t="shared" si="27"/>
        <v>0</v>
      </c>
      <c r="AB26" s="2"/>
      <c r="AC26" s="2"/>
      <c r="AD26" s="2"/>
      <c r="AE26" s="2"/>
      <c r="AF26" s="2"/>
      <c r="AG26" s="2"/>
      <c r="AH26" s="2"/>
      <c r="AI26" s="2"/>
      <c r="AJ26" s="2"/>
      <c r="AK26" s="2"/>
      <c r="AL26" s="2"/>
      <c r="AM26" s="2"/>
      <c r="AN26" s="806">
        <f t="shared" si="28"/>
        <v>0</v>
      </c>
      <c r="AO26" s="806">
        <f t="shared" si="29"/>
        <v>0</v>
      </c>
      <c r="AP26" s="806">
        <f t="shared" si="30"/>
        <v>0</v>
      </c>
      <c r="AQ26" s="806">
        <f t="shared" si="31"/>
        <v>0</v>
      </c>
      <c r="AR26" s="806">
        <f t="shared" si="32"/>
        <v>0</v>
      </c>
      <c r="AS26" s="806">
        <f t="shared" si="33"/>
        <v>0</v>
      </c>
      <c r="AT26" s="806">
        <f t="shared" si="33"/>
        <v>0</v>
      </c>
      <c r="AU26" s="2"/>
      <c r="AV26" s="2"/>
      <c r="AW26" s="2"/>
      <c r="AX26" s="2"/>
      <c r="AY26" s="2"/>
      <c r="AZ26" s="2"/>
      <c r="BA26" s="2"/>
      <c r="BC26" s="2"/>
      <c r="BD26" s="2"/>
      <c r="BE26" s="2"/>
      <c r="BF26" s="2"/>
      <c r="BG26" s="806">
        <f t="shared" si="34"/>
        <v>0</v>
      </c>
      <c r="BH26" s="807"/>
      <c r="BI26" s="807"/>
      <c r="BJ26" s="807"/>
      <c r="BK26" s="807"/>
      <c r="BL26" s="807"/>
      <c r="BM26" s="807"/>
      <c r="BN26" s="807"/>
      <c r="BO26" s="807"/>
      <c r="BP26" s="807"/>
      <c r="BQ26" s="807"/>
      <c r="BR26" s="807"/>
      <c r="BS26" s="807"/>
      <c r="BT26" s="806">
        <f t="shared" si="35"/>
        <v>0</v>
      </c>
      <c r="CG26" s="806">
        <f t="shared" si="36"/>
        <v>0</v>
      </c>
      <c r="CT26" s="806">
        <f t="shared" si="37"/>
        <v>0</v>
      </c>
      <c r="DG26" s="806">
        <f t="shared" si="16"/>
        <v>0</v>
      </c>
    </row>
    <row r="27" spans="1:112" hidden="1" x14ac:dyDescent="0.25">
      <c r="A27" s="16"/>
      <c r="B27" s="370" t="s">
        <v>934</v>
      </c>
      <c r="C27" t="s">
        <v>936</v>
      </c>
      <c r="D27" s="370" t="s">
        <v>929</v>
      </c>
      <c r="E27" s="827" t="s">
        <v>931</v>
      </c>
      <c r="G27" s="807">
        <v>27830.25</v>
      </c>
      <c r="H27" s="796">
        <v>27830.25</v>
      </c>
      <c r="I27" s="803">
        <f t="shared" si="25"/>
        <v>0</v>
      </c>
      <c r="J27" s="803">
        <f t="shared" si="38"/>
        <v>0</v>
      </c>
      <c r="K27" s="809"/>
      <c r="L27" s="810"/>
      <c r="M27" s="394"/>
      <c r="N27" s="394"/>
      <c r="O27" s="2"/>
      <c r="P27" s="2"/>
      <c r="Q27" s="2"/>
      <c r="R27" s="2"/>
      <c r="S27" s="2"/>
      <c r="T27" s="2"/>
      <c r="U27" s="2"/>
      <c r="V27" s="2"/>
      <c r="W27" s="2"/>
      <c r="X27" s="2"/>
      <c r="Y27" s="2"/>
      <c r="Z27" s="2"/>
      <c r="AA27" s="828"/>
      <c r="AB27" s="2"/>
      <c r="AC27" s="2"/>
      <c r="AD27" s="2"/>
      <c r="AE27" s="2"/>
      <c r="AF27" s="2"/>
      <c r="AG27" s="2"/>
      <c r="AH27" s="2"/>
      <c r="AI27" s="2"/>
      <c r="AJ27" s="2"/>
      <c r="AK27" s="2"/>
      <c r="AL27" s="2"/>
      <c r="AM27" s="2"/>
      <c r="AN27" s="828"/>
      <c r="AO27" s="828"/>
      <c r="AP27" s="828"/>
      <c r="AQ27" s="828"/>
      <c r="AR27" s="828"/>
      <c r="AS27" s="828"/>
      <c r="AT27" s="828"/>
      <c r="AU27" s="2"/>
      <c r="AV27" s="2"/>
      <c r="AW27" s="2"/>
      <c r="AX27" s="2"/>
      <c r="AY27" s="2"/>
      <c r="AZ27" s="2"/>
      <c r="BA27" s="2"/>
      <c r="BB27" s="2"/>
      <c r="BC27" s="2"/>
      <c r="BD27" s="2"/>
      <c r="BE27" s="2"/>
      <c r="BF27" s="2"/>
      <c r="BG27" s="806">
        <f t="shared" si="34"/>
        <v>0</v>
      </c>
      <c r="BH27" s="807"/>
      <c r="BI27" s="807"/>
      <c r="BJ27" s="807"/>
      <c r="BK27" s="807"/>
      <c r="BL27" s="807"/>
      <c r="BM27" s="807"/>
      <c r="BN27" s="807"/>
      <c r="BO27" s="807"/>
      <c r="BP27" s="807"/>
      <c r="BQ27" s="807"/>
      <c r="BR27" s="807"/>
      <c r="BS27" s="807"/>
      <c r="BT27" s="806">
        <f t="shared" si="35"/>
        <v>0</v>
      </c>
      <c r="CG27" s="806">
        <f t="shared" si="36"/>
        <v>0</v>
      </c>
      <c r="CT27" s="806">
        <f t="shared" si="37"/>
        <v>0</v>
      </c>
      <c r="DG27" s="806">
        <f t="shared" si="16"/>
        <v>0</v>
      </c>
    </row>
    <row r="28" spans="1:112" hidden="1" x14ac:dyDescent="0.25">
      <c r="A28" s="16"/>
      <c r="B28" s="370" t="s">
        <v>934</v>
      </c>
      <c r="C28" t="s">
        <v>937</v>
      </c>
      <c r="D28" s="370" t="s">
        <v>929</v>
      </c>
      <c r="E28" s="827" t="s">
        <v>931</v>
      </c>
      <c r="F28" s="370" t="s">
        <v>938</v>
      </c>
      <c r="G28" s="807">
        <v>25000</v>
      </c>
      <c r="H28" s="796">
        <v>25000</v>
      </c>
      <c r="I28" s="803">
        <f t="shared" si="25"/>
        <v>0</v>
      </c>
      <c r="J28" s="803">
        <f t="shared" si="38"/>
        <v>0</v>
      </c>
      <c r="K28" s="809"/>
      <c r="L28" s="810"/>
      <c r="M28" s="394"/>
      <c r="N28" s="394"/>
      <c r="O28" s="2"/>
      <c r="P28" s="2"/>
      <c r="Q28" s="2"/>
      <c r="R28" s="2"/>
      <c r="S28" s="2"/>
      <c r="T28" s="2"/>
      <c r="U28" s="2"/>
      <c r="V28" s="2"/>
      <c r="W28" s="2"/>
      <c r="X28" s="2"/>
      <c r="Y28" s="2"/>
      <c r="Z28" s="2"/>
      <c r="AA28" s="828"/>
      <c r="AB28" s="2"/>
      <c r="AC28" s="2"/>
      <c r="AD28" s="2"/>
      <c r="AE28" s="2"/>
      <c r="AF28" s="2"/>
      <c r="AG28" s="2"/>
      <c r="AH28" s="2"/>
      <c r="AI28" s="2"/>
      <c r="AJ28" s="2"/>
      <c r="AK28" s="2"/>
      <c r="AL28" s="2"/>
      <c r="AM28" s="2"/>
      <c r="AN28" s="828"/>
      <c r="AO28" s="828"/>
      <c r="AP28" s="828"/>
      <c r="AQ28" s="828"/>
      <c r="AR28" s="828"/>
      <c r="AS28" s="828"/>
      <c r="AT28" s="828"/>
      <c r="AU28" s="2"/>
      <c r="AV28" s="2"/>
      <c r="AW28" s="2"/>
      <c r="AX28" s="2"/>
      <c r="AY28" s="2"/>
      <c r="AZ28" s="2"/>
      <c r="BA28" s="2"/>
      <c r="BB28" s="2"/>
      <c r="BC28" s="2"/>
      <c r="BD28" s="2"/>
      <c r="BE28" s="2"/>
      <c r="BF28" s="2"/>
      <c r="BG28" s="806">
        <f t="shared" si="34"/>
        <v>0</v>
      </c>
      <c r="BH28" s="807"/>
      <c r="BI28" s="807"/>
      <c r="BJ28" s="807"/>
      <c r="BK28" s="807"/>
      <c r="BL28" s="807"/>
      <c r="BM28" s="807"/>
      <c r="BN28" s="807"/>
      <c r="BO28" s="807"/>
      <c r="BP28" s="807"/>
      <c r="BQ28" s="807"/>
      <c r="BR28" s="807"/>
      <c r="BS28" s="807"/>
      <c r="BT28" s="806">
        <f t="shared" si="35"/>
        <v>0</v>
      </c>
      <c r="CG28" s="806">
        <f t="shared" si="36"/>
        <v>0</v>
      </c>
      <c r="CT28" s="806">
        <f t="shared" si="37"/>
        <v>0</v>
      </c>
      <c r="DG28" s="806">
        <f t="shared" si="16"/>
        <v>0</v>
      </c>
    </row>
    <row r="29" spans="1:112" hidden="1" x14ac:dyDescent="0.25">
      <c r="A29" s="16"/>
      <c r="B29" s="370" t="s">
        <v>939</v>
      </c>
      <c r="C29" t="s">
        <v>940</v>
      </c>
      <c r="D29" s="370" t="s">
        <v>929</v>
      </c>
      <c r="E29" s="827" t="s">
        <v>931</v>
      </c>
      <c r="F29" s="370" t="s">
        <v>938</v>
      </c>
      <c r="G29" s="807">
        <v>8500</v>
      </c>
      <c r="H29" s="796">
        <v>8500</v>
      </c>
      <c r="I29" s="803">
        <f t="shared" si="25"/>
        <v>0</v>
      </c>
      <c r="J29" s="803">
        <f t="shared" si="38"/>
        <v>0</v>
      </c>
      <c r="K29" s="809"/>
      <c r="L29" s="810"/>
      <c r="M29" s="394"/>
      <c r="N29" s="394"/>
      <c r="O29" s="2"/>
      <c r="P29" s="2"/>
      <c r="Q29" s="2"/>
      <c r="R29" s="2"/>
      <c r="S29" s="2"/>
      <c r="T29" s="2"/>
      <c r="U29" s="2"/>
      <c r="V29" s="2"/>
      <c r="W29" s="2"/>
      <c r="X29" s="2"/>
      <c r="Y29" s="2"/>
      <c r="Z29" s="2"/>
      <c r="AA29" s="828"/>
      <c r="AB29" s="2"/>
      <c r="AC29" s="2"/>
      <c r="AD29" s="2"/>
      <c r="AE29" s="2"/>
      <c r="AF29" s="2"/>
      <c r="AG29" s="2"/>
      <c r="AH29" s="2"/>
      <c r="AI29" s="2"/>
      <c r="AJ29" s="2"/>
      <c r="AK29" s="2"/>
      <c r="AL29" s="2"/>
      <c r="AM29" s="2"/>
      <c r="AN29" s="828"/>
      <c r="AO29" s="828"/>
      <c r="AP29" s="828"/>
      <c r="AQ29" s="828"/>
      <c r="AR29" s="828"/>
      <c r="AS29" s="828"/>
      <c r="AT29" s="828"/>
      <c r="AU29" s="2"/>
      <c r="AV29" s="2"/>
      <c r="AW29" s="2"/>
      <c r="AX29" s="2"/>
      <c r="AY29" s="2"/>
      <c r="AZ29" s="2"/>
      <c r="BA29" s="2"/>
      <c r="BB29" s="2"/>
      <c r="BC29" s="2"/>
      <c r="BD29" s="2"/>
      <c r="BE29" s="2"/>
      <c r="BF29" s="2"/>
      <c r="BG29" s="806">
        <f t="shared" si="34"/>
        <v>0</v>
      </c>
      <c r="BH29" s="807"/>
      <c r="BI29" s="807"/>
      <c r="BJ29" s="807"/>
      <c r="BK29" s="807"/>
      <c r="BL29" s="807"/>
      <c r="BM29" s="807"/>
      <c r="BN29" s="807"/>
      <c r="BO29" s="807"/>
      <c r="BP29" s="807"/>
      <c r="BQ29" s="807"/>
      <c r="BR29" s="807"/>
      <c r="BS29" s="807"/>
      <c r="BT29" s="806">
        <f t="shared" si="35"/>
        <v>0</v>
      </c>
      <c r="CG29" s="806">
        <f t="shared" si="36"/>
        <v>0</v>
      </c>
      <c r="CT29" s="806">
        <f t="shared" si="37"/>
        <v>0</v>
      </c>
      <c r="DG29" s="806">
        <f t="shared" si="16"/>
        <v>0</v>
      </c>
    </row>
    <row r="30" spans="1:112" hidden="1" x14ac:dyDescent="0.25">
      <c r="A30" s="16"/>
      <c r="B30" s="370" t="s">
        <v>939</v>
      </c>
      <c r="C30" t="s">
        <v>75</v>
      </c>
      <c r="D30" s="370" t="s">
        <v>929</v>
      </c>
      <c r="E30" s="827" t="s">
        <v>931</v>
      </c>
      <c r="F30" s="370" t="s">
        <v>938</v>
      </c>
      <c r="G30" s="807">
        <f>1250</f>
        <v>1250</v>
      </c>
      <c r="H30" s="796">
        <v>1250</v>
      </c>
      <c r="I30" s="803">
        <f t="shared" si="25"/>
        <v>0</v>
      </c>
      <c r="J30" s="803">
        <f t="shared" si="38"/>
        <v>0</v>
      </c>
      <c r="K30" s="809"/>
      <c r="L30" s="810"/>
      <c r="M30" s="394"/>
      <c r="N30" s="394"/>
      <c r="O30" s="2"/>
      <c r="P30" s="2"/>
      <c r="Q30" s="2"/>
      <c r="R30" s="2"/>
      <c r="S30" s="2"/>
      <c r="T30" s="2"/>
      <c r="U30" s="2"/>
      <c r="V30" s="2"/>
      <c r="W30" s="2"/>
      <c r="X30" s="2"/>
      <c r="Y30" s="2"/>
      <c r="Z30" s="2"/>
      <c r="AA30" s="828"/>
      <c r="AB30" s="2"/>
      <c r="AC30" s="2"/>
      <c r="AD30" s="2"/>
      <c r="AE30" s="2"/>
      <c r="AF30" s="2"/>
      <c r="AG30" s="2"/>
      <c r="AH30" s="2"/>
      <c r="AI30" s="2"/>
      <c r="AJ30" s="2"/>
      <c r="AK30" s="2"/>
      <c r="AL30" s="2"/>
      <c r="AM30" s="2"/>
      <c r="AN30" s="828"/>
      <c r="AO30" s="828"/>
      <c r="AP30" s="828"/>
      <c r="AQ30" s="828"/>
      <c r="AR30" s="828"/>
      <c r="AS30" s="828"/>
      <c r="AT30" s="828"/>
      <c r="AU30" s="2"/>
      <c r="AV30" s="2"/>
      <c r="AW30" s="2"/>
      <c r="AX30" s="2"/>
      <c r="AY30" s="2"/>
      <c r="AZ30" s="2"/>
      <c r="BA30" s="2"/>
      <c r="BB30" s="2"/>
      <c r="BC30" s="2"/>
      <c r="BD30" s="2"/>
      <c r="BE30" s="2"/>
      <c r="BF30" s="2"/>
      <c r="BG30" s="806">
        <f t="shared" si="34"/>
        <v>0</v>
      </c>
      <c r="BH30" s="807"/>
      <c r="BI30" s="807"/>
      <c r="BJ30" s="807"/>
      <c r="BK30" s="807"/>
      <c r="BL30" s="807"/>
      <c r="BM30" s="807"/>
      <c r="BN30" s="807"/>
      <c r="BO30" s="807"/>
      <c r="BP30" s="807"/>
      <c r="BQ30" s="807"/>
      <c r="BR30" s="807"/>
      <c r="BS30" s="807"/>
      <c r="BT30" s="806">
        <f t="shared" si="35"/>
        <v>0</v>
      </c>
      <c r="CG30" s="806">
        <f t="shared" si="36"/>
        <v>0</v>
      </c>
      <c r="CT30" s="806">
        <f t="shared" si="37"/>
        <v>0</v>
      </c>
      <c r="DG30" s="806">
        <f t="shared" si="16"/>
        <v>0</v>
      </c>
    </row>
    <row r="31" spans="1:112" hidden="1" x14ac:dyDescent="0.25">
      <c r="B31" s="370" t="s">
        <v>939</v>
      </c>
      <c r="C31" t="s">
        <v>939</v>
      </c>
      <c r="D31" s="370" t="s">
        <v>929</v>
      </c>
      <c r="E31" s="827" t="s">
        <v>931</v>
      </c>
      <c r="F31" s="370" t="s">
        <v>938</v>
      </c>
      <c r="G31" s="807">
        <v>42500</v>
      </c>
      <c r="H31" s="796">
        <v>42500</v>
      </c>
      <c r="I31" s="803">
        <f t="shared" si="25"/>
        <v>0</v>
      </c>
      <c r="J31" s="803">
        <f t="shared" si="38"/>
        <v>0</v>
      </c>
      <c r="K31" s="809"/>
      <c r="L31" s="810"/>
      <c r="BG31" s="806">
        <f>SUM(AU31:BF31)</f>
        <v>0</v>
      </c>
      <c r="BH31" s="807"/>
      <c r="BI31" s="807"/>
      <c r="BJ31" s="807"/>
      <c r="BK31" s="807"/>
      <c r="BL31" s="807"/>
      <c r="BM31" s="807"/>
      <c r="BN31" s="807"/>
      <c r="BO31" s="807"/>
      <c r="BP31" s="807"/>
      <c r="BQ31" s="807"/>
      <c r="BR31" s="807"/>
      <c r="BS31" s="807"/>
      <c r="BT31" s="806">
        <f>SUM(BH31:BS31)</f>
        <v>0</v>
      </c>
      <c r="DG31" s="806">
        <f t="shared" si="16"/>
        <v>0</v>
      </c>
    </row>
    <row r="32" spans="1:112" hidden="1" x14ac:dyDescent="0.25">
      <c r="A32" s="16"/>
      <c r="B32" s="370" t="s">
        <v>941</v>
      </c>
      <c r="C32" t="s">
        <v>942</v>
      </c>
      <c r="D32" s="370" t="s">
        <v>929</v>
      </c>
      <c r="E32" s="827" t="s">
        <v>931</v>
      </c>
      <c r="F32" s="370" t="s">
        <v>938</v>
      </c>
      <c r="G32" s="386">
        <v>50000</v>
      </c>
      <c r="H32" s="810">
        <v>50000</v>
      </c>
      <c r="I32" s="803">
        <f t="shared" si="25"/>
        <v>0</v>
      </c>
      <c r="J32" s="803">
        <f t="shared" si="38"/>
        <v>0</v>
      </c>
      <c r="K32" s="809"/>
      <c r="L32" s="810"/>
      <c r="M32" s="394"/>
      <c r="N32" s="394"/>
      <c r="O32" s="2"/>
      <c r="P32" s="2"/>
      <c r="Q32" s="2"/>
      <c r="R32" s="2"/>
      <c r="S32" s="2"/>
      <c r="T32" s="2"/>
      <c r="U32" s="2"/>
      <c r="V32" s="2"/>
      <c r="W32" s="2"/>
      <c r="X32" s="2"/>
      <c r="Y32" s="2"/>
      <c r="Z32" s="2"/>
      <c r="AA32" s="828"/>
      <c r="AB32" s="2"/>
      <c r="AC32" s="2"/>
      <c r="AD32" s="2"/>
      <c r="AE32" s="2"/>
      <c r="AF32" s="2"/>
      <c r="AG32" s="2"/>
      <c r="AH32" s="2"/>
      <c r="AI32" s="2"/>
      <c r="AJ32" s="2"/>
      <c r="AK32" s="2"/>
      <c r="AL32" s="2"/>
      <c r="AM32" s="2"/>
      <c r="AN32" s="828"/>
      <c r="AO32" s="828"/>
      <c r="AP32" s="828"/>
      <c r="AQ32" s="828"/>
      <c r="AR32" s="828"/>
      <c r="AS32" s="828"/>
      <c r="AT32" s="828"/>
      <c r="AU32" s="2"/>
      <c r="AV32" s="2"/>
      <c r="AW32" s="2"/>
      <c r="AX32" s="2"/>
      <c r="AY32" s="2"/>
      <c r="AZ32" s="2"/>
      <c r="BA32" s="2"/>
      <c r="BB32" s="2"/>
      <c r="BC32" s="2"/>
      <c r="BD32" s="2"/>
      <c r="BE32" s="2"/>
      <c r="BF32" s="2"/>
      <c r="BG32" s="806">
        <f t="shared" si="34"/>
        <v>0</v>
      </c>
      <c r="BH32" s="807"/>
      <c r="BI32" s="807"/>
      <c r="BJ32" s="807"/>
      <c r="BK32" s="807"/>
      <c r="BL32" s="807"/>
      <c r="BM32" s="807"/>
      <c r="BN32" s="807"/>
      <c r="BO32" s="807"/>
      <c r="BP32" s="807"/>
      <c r="BQ32" s="807"/>
      <c r="BR32" s="807"/>
      <c r="BS32" s="807"/>
      <c r="BT32" s="806">
        <f t="shared" si="35"/>
        <v>0</v>
      </c>
      <c r="CG32" s="806">
        <f t="shared" si="36"/>
        <v>0</v>
      </c>
      <c r="CT32" s="806">
        <f t="shared" si="37"/>
        <v>0</v>
      </c>
      <c r="DG32" s="806">
        <f t="shared" si="16"/>
        <v>0</v>
      </c>
    </row>
    <row r="33" spans="1:111" hidden="1" x14ac:dyDescent="0.25">
      <c r="A33" s="16"/>
      <c r="B33" s="370" t="s">
        <v>941</v>
      </c>
      <c r="C33" t="s">
        <v>943</v>
      </c>
      <c r="D33" s="370" t="s">
        <v>929</v>
      </c>
      <c r="E33" s="827" t="s">
        <v>931</v>
      </c>
      <c r="F33" s="370" t="s">
        <v>938</v>
      </c>
      <c r="G33" s="386">
        <v>15000</v>
      </c>
      <c r="H33" s="810">
        <v>15000</v>
      </c>
      <c r="I33" s="803">
        <f t="shared" si="25"/>
        <v>0</v>
      </c>
      <c r="J33" s="803">
        <f t="shared" si="38"/>
        <v>0</v>
      </c>
      <c r="K33" s="809"/>
      <c r="L33" s="810"/>
      <c r="M33" s="394"/>
      <c r="N33" s="394"/>
      <c r="O33" s="2"/>
      <c r="P33" s="2"/>
      <c r="Q33" s="2"/>
      <c r="R33" s="2"/>
      <c r="S33" s="2"/>
      <c r="T33" s="2"/>
      <c r="U33" s="2"/>
      <c r="V33" s="2"/>
      <c r="W33" s="2"/>
      <c r="X33" s="2"/>
      <c r="Y33" s="2"/>
      <c r="Z33" s="2"/>
      <c r="AA33" s="828"/>
      <c r="AB33" s="2"/>
      <c r="AC33" s="2"/>
      <c r="AD33" s="2"/>
      <c r="AE33" s="2"/>
      <c r="AF33" s="2"/>
      <c r="AG33" s="2"/>
      <c r="AH33" s="2"/>
      <c r="AI33" s="2"/>
      <c r="AJ33" s="2"/>
      <c r="AK33" s="2"/>
      <c r="AL33" s="2"/>
      <c r="AM33" s="2"/>
      <c r="AN33" s="828"/>
      <c r="AO33" s="828"/>
      <c r="AP33" s="828"/>
      <c r="AQ33" s="828"/>
      <c r="AR33" s="828"/>
      <c r="AS33" s="828"/>
      <c r="AT33" s="828"/>
      <c r="AU33" s="2"/>
      <c r="AV33" s="2"/>
      <c r="AW33" s="2"/>
      <c r="AX33" s="2"/>
      <c r="AY33" s="2"/>
      <c r="AZ33" s="2"/>
      <c r="BA33" s="2"/>
      <c r="BB33" s="2"/>
      <c r="BC33" s="2"/>
      <c r="BD33" s="2"/>
      <c r="BE33" s="2"/>
      <c r="BF33" s="2"/>
      <c r="BG33" s="806">
        <f t="shared" si="34"/>
        <v>0</v>
      </c>
      <c r="BH33" s="807"/>
      <c r="BI33" s="807"/>
      <c r="BJ33" s="807"/>
      <c r="BK33" s="807"/>
      <c r="BL33" s="807"/>
      <c r="BM33" s="807"/>
      <c r="BN33" s="807"/>
      <c r="BO33" s="807"/>
      <c r="BP33" s="807"/>
      <c r="BQ33" s="807"/>
      <c r="BR33" s="807"/>
      <c r="BS33" s="807"/>
      <c r="BT33" s="806">
        <f t="shared" si="35"/>
        <v>0</v>
      </c>
      <c r="CG33" s="806">
        <f t="shared" si="36"/>
        <v>0</v>
      </c>
      <c r="CT33" s="806">
        <f t="shared" si="37"/>
        <v>0</v>
      </c>
      <c r="DG33" s="806">
        <f t="shared" si="16"/>
        <v>0</v>
      </c>
    </row>
    <row r="34" spans="1:111" hidden="1" x14ac:dyDescent="0.25">
      <c r="A34" s="16"/>
      <c r="B34" s="370" t="s">
        <v>941</v>
      </c>
      <c r="C34" s="85" t="s">
        <v>944</v>
      </c>
      <c r="D34" s="370" t="s">
        <v>929</v>
      </c>
      <c r="E34" s="827" t="s">
        <v>931</v>
      </c>
      <c r="F34" s="370" t="s">
        <v>938</v>
      </c>
      <c r="G34" s="405">
        <f>134799.13-G89-G81-G57</f>
        <v>19020.000000000004</v>
      </c>
      <c r="H34" s="829">
        <f>134799.13-H89-H81-H57</f>
        <v>19020.000000000004</v>
      </c>
      <c r="I34" s="803">
        <f t="shared" si="25"/>
        <v>0</v>
      </c>
      <c r="J34" s="803">
        <f t="shared" si="38"/>
        <v>0</v>
      </c>
      <c r="K34" s="809"/>
      <c r="L34" s="810"/>
      <c r="M34" s="394"/>
      <c r="N34" s="394"/>
      <c r="O34" s="2"/>
      <c r="P34" s="2"/>
      <c r="Q34" s="2"/>
      <c r="R34" s="2"/>
      <c r="S34" s="2"/>
      <c r="T34" s="2"/>
      <c r="U34" s="2"/>
      <c r="V34" s="2"/>
      <c r="W34" s="2"/>
      <c r="X34" s="2"/>
      <c r="Y34" s="2"/>
      <c r="Z34" s="2"/>
      <c r="AA34" s="828"/>
      <c r="AB34" s="2"/>
      <c r="AC34" s="2"/>
      <c r="AD34" s="2"/>
      <c r="AE34" s="2"/>
      <c r="AF34" s="2"/>
      <c r="AG34" s="2"/>
      <c r="AH34" s="2"/>
      <c r="AI34" s="2"/>
      <c r="AJ34" s="2"/>
      <c r="AK34" s="2"/>
      <c r="AL34" s="2"/>
      <c r="AM34" s="2"/>
      <c r="AN34" s="828"/>
      <c r="AO34" s="828"/>
      <c r="AP34" s="828"/>
      <c r="AQ34" s="828"/>
      <c r="AR34" s="828"/>
      <c r="AS34" s="828"/>
      <c r="AT34" s="828"/>
      <c r="AU34" s="2"/>
      <c r="AV34" s="2"/>
      <c r="AW34" s="2"/>
      <c r="AX34" s="2"/>
      <c r="AY34" s="2"/>
      <c r="AZ34" s="2"/>
      <c r="BA34" s="2"/>
      <c r="BB34" s="2"/>
      <c r="BC34" s="2"/>
      <c r="BD34" s="2"/>
      <c r="BE34" s="2"/>
      <c r="BF34" s="2"/>
      <c r="BG34" s="806">
        <f t="shared" si="34"/>
        <v>0</v>
      </c>
      <c r="BH34" s="807"/>
      <c r="BI34" s="807"/>
      <c r="BJ34" s="807"/>
      <c r="BK34" s="807"/>
      <c r="BL34" s="807"/>
      <c r="BM34" s="807"/>
      <c r="BN34" s="807"/>
      <c r="BO34" s="807"/>
      <c r="BP34" s="807"/>
      <c r="BQ34" s="807"/>
      <c r="BR34" s="807"/>
      <c r="BS34" s="807"/>
      <c r="BT34" s="806">
        <f t="shared" si="35"/>
        <v>0</v>
      </c>
      <c r="CG34" s="806">
        <f t="shared" si="36"/>
        <v>0</v>
      </c>
      <c r="CT34" s="806">
        <f t="shared" si="37"/>
        <v>0</v>
      </c>
      <c r="DG34" s="806">
        <f t="shared" si="16"/>
        <v>0</v>
      </c>
    </row>
    <row r="35" spans="1:111" hidden="1" x14ac:dyDescent="0.25">
      <c r="A35" s="16"/>
      <c r="B35" s="370" t="s">
        <v>941</v>
      </c>
      <c r="C35" t="s">
        <v>945</v>
      </c>
      <c r="D35" s="370" t="s">
        <v>929</v>
      </c>
      <c r="E35" s="827" t="s">
        <v>931</v>
      </c>
      <c r="F35" s="370" t="s">
        <v>938</v>
      </c>
      <c r="G35" s="386">
        <v>8000</v>
      </c>
      <c r="H35" s="810">
        <v>8000</v>
      </c>
      <c r="I35" s="803">
        <f t="shared" si="25"/>
        <v>0</v>
      </c>
      <c r="J35" s="803">
        <f t="shared" si="38"/>
        <v>0</v>
      </c>
      <c r="K35" s="809"/>
      <c r="L35" s="810"/>
      <c r="M35" s="394"/>
      <c r="N35" s="394"/>
      <c r="O35" s="2"/>
      <c r="P35" s="2"/>
      <c r="Q35" s="2"/>
      <c r="R35" s="2"/>
      <c r="S35" s="2"/>
      <c r="T35" s="2"/>
      <c r="U35" s="2"/>
      <c r="V35" s="2"/>
      <c r="W35" s="2"/>
      <c r="X35" s="2"/>
      <c r="Y35" s="2"/>
      <c r="Z35" s="2"/>
      <c r="AA35" s="828"/>
      <c r="AB35" s="2"/>
      <c r="AC35" s="2"/>
      <c r="AD35" s="2"/>
      <c r="AE35" s="2"/>
      <c r="AF35" s="2"/>
      <c r="AG35" s="2"/>
      <c r="AH35" s="2"/>
      <c r="AI35" s="2"/>
      <c r="AJ35" s="2"/>
      <c r="AK35" s="2"/>
      <c r="AL35" s="2"/>
      <c r="AM35" s="2"/>
      <c r="AN35" s="828"/>
      <c r="AO35" s="828"/>
      <c r="AP35" s="828"/>
      <c r="AQ35" s="828"/>
      <c r="AR35" s="828"/>
      <c r="AS35" s="828"/>
      <c r="AT35" s="828"/>
      <c r="AU35" s="2"/>
      <c r="AV35" s="2"/>
      <c r="AW35" s="2"/>
      <c r="AX35" s="2"/>
      <c r="AY35" s="2"/>
      <c r="AZ35" s="2"/>
      <c r="BA35" s="2"/>
      <c r="BB35" s="2"/>
      <c r="BC35" s="2"/>
      <c r="BD35" s="2"/>
      <c r="BE35" s="2"/>
      <c r="BF35" s="2"/>
      <c r="BG35" s="806">
        <f t="shared" si="34"/>
        <v>0</v>
      </c>
      <c r="BH35" s="807"/>
      <c r="BI35" s="807"/>
      <c r="BJ35" s="807"/>
      <c r="BK35" s="807"/>
      <c r="BL35" s="807"/>
      <c r="BM35" s="807"/>
      <c r="BN35" s="807"/>
      <c r="BO35" s="807"/>
      <c r="BP35" s="807"/>
      <c r="BQ35" s="807"/>
      <c r="BR35" s="807"/>
      <c r="BS35" s="807"/>
      <c r="BT35" s="806">
        <f t="shared" si="35"/>
        <v>0</v>
      </c>
      <c r="CG35" s="806">
        <f t="shared" si="36"/>
        <v>0</v>
      </c>
      <c r="CT35" s="806">
        <f t="shared" si="37"/>
        <v>0</v>
      </c>
      <c r="DG35" s="806">
        <f t="shared" si="16"/>
        <v>0</v>
      </c>
    </row>
    <row r="36" spans="1:111" hidden="1" x14ac:dyDescent="0.25">
      <c r="A36" s="16"/>
      <c r="B36" s="370" t="s">
        <v>941</v>
      </c>
      <c r="C36" t="s">
        <v>946</v>
      </c>
      <c r="D36" s="370" t="s">
        <v>929</v>
      </c>
      <c r="E36" s="827" t="s">
        <v>931</v>
      </c>
      <c r="F36" s="370" t="s">
        <v>938</v>
      </c>
      <c r="G36" s="386">
        <v>7950</v>
      </c>
      <c r="H36" s="810">
        <v>7950</v>
      </c>
      <c r="I36" s="803">
        <f t="shared" si="25"/>
        <v>0</v>
      </c>
      <c r="J36" s="803">
        <f t="shared" si="38"/>
        <v>0</v>
      </c>
      <c r="K36" s="809"/>
      <c r="L36" s="810"/>
      <c r="M36" s="394"/>
      <c r="N36" s="394"/>
      <c r="O36" s="2"/>
      <c r="P36" s="2"/>
      <c r="Q36" s="2"/>
      <c r="R36" s="2"/>
      <c r="S36" s="2"/>
      <c r="T36" s="2"/>
      <c r="U36" s="2"/>
      <c r="V36" s="2"/>
      <c r="W36" s="2"/>
      <c r="X36" s="2"/>
      <c r="Y36" s="2"/>
      <c r="Z36" s="2"/>
      <c r="AA36" s="828"/>
      <c r="AB36" s="2"/>
      <c r="AC36" s="2"/>
      <c r="AD36" s="2"/>
      <c r="AE36" s="2"/>
      <c r="AF36" s="2"/>
      <c r="AG36" s="2"/>
      <c r="AH36" s="2"/>
      <c r="AI36" s="2"/>
      <c r="AJ36" s="2"/>
      <c r="AK36" s="2"/>
      <c r="AL36" s="2"/>
      <c r="AM36" s="2"/>
      <c r="AN36" s="828"/>
      <c r="AO36" s="828"/>
      <c r="AP36" s="828"/>
      <c r="AQ36" s="828"/>
      <c r="AR36" s="828"/>
      <c r="AS36" s="828"/>
      <c r="AT36" s="828"/>
      <c r="AU36" s="2"/>
      <c r="AV36" s="2"/>
      <c r="AW36" s="2"/>
      <c r="AX36" s="2"/>
      <c r="AY36" s="2"/>
      <c r="AZ36" s="2"/>
      <c r="BA36" s="2"/>
      <c r="BB36" s="2"/>
      <c r="BC36" s="2"/>
      <c r="BD36" s="2"/>
      <c r="BE36" s="2"/>
      <c r="BF36" s="2"/>
      <c r="BG36" s="806">
        <f>SUM(AU36:BF36)</f>
        <v>0</v>
      </c>
      <c r="BH36" s="807"/>
      <c r="BI36" s="807"/>
      <c r="BJ36" s="807"/>
      <c r="BK36" s="807"/>
      <c r="BL36" s="807"/>
      <c r="BM36" s="807"/>
      <c r="BN36" s="807"/>
      <c r="BO36" s="807"/>
      <c r="BP36" s="807"/>
      <c r="BQ36" s="807"/>
      <c r="BR36" s="807"/>
      <c r="BS36" s="807"/>
      <c r="BT36" s="806">
        <f>SUM(BH36:BS36)</f>
        <v>0</v>
      </c>
      <c r="CG36" s="806">
        <f>SUM(BU36:CF36)</f>
        <v>0</v>
      </c>
      <c r="CT36" s="806">
        <f>SUM(CH36:CS36)</f>
        <v>0</v>
      </c>
      <c r="DG36" s="806">
        <f t="shared" si="16"/>
        <v>0</v>
      </c>
    </row>
    <row r="37" spans="1:111" hidden="1" x14ac:dyDescent="0.25">
      <c r="A37" s="16"/>
      <c r="B37" s="370" t="s">
        <v>941</v>
      </c>
      <c r="C37" t="s">
        <v>947</v>
      </c>
      <c r="D37" s="370" t="s">
        <v>929</v>
      </c>
      <c r="E37" s="827" t="s">
        <v>931</v>
      </c>
      <c r="F37" s="370" t="s">
        <v>938</v>
      </c>
      <c r="G37" s="386">
        <v>8126.25</v>
      </c>
      <c r="H37" s="810">
        <v>8126.25</v>
      </c>
      <c r="I37" s="803">
        <f t="shared" si="25"/>
        <v>0</v>
      </c>
      <c r="J37" s="803">
        <f t="shared" si="38"/>
        <v>0</v>
      </c>
      <c r="K37" s="809"/>
      <c r="L37" s="810"/>
      <c r="M37" s="394"/>
      <c r="N37" s="394"/>
      <c r="O37" s="2"/>
      <c r="P37" s="2"/>
      <c r="Q37" s="2"/>
      <c r="R37" s="2"/>
      <c r="S37" s="2"/>
      <c r="T37" s="2"/>
      <c r="U37" s="2"/>
      <c r="V37" s="2"/>
      <c r="W37" s="2"/>
      <c r="X37" s="2"/>
      <c r="Y37" s="2"/>
      <c r="Z37" s="2"/>
      <c r="AA37" s="828"/>
      <c r="AB37" s="2"/>
      <c r="AC37" s="2"/>
      <c r="AD37" s="2"/>
      <c r="AE37" s="2"/>
      <c r="AF37" s="2"/>
      <c r="AG37" s="2"/>
      <c r="AH37" s="2"/>
      <c r="AI37" s="2"/>
      <c r="AJ37" s="2"/>
      <c r="AK37" s="2"/>
      <c r="AL37" s="2"/>
      <c r="AM37" s="2"/>
      <c r="AN37" s="828"/>
      <c r="AO37" s="828"/>
      <c r="AP37" s="828"/>
      <c r="AQ37" s="828"/>
      <c r="AR37" s="828"/>
      <c r="AS37" s="828"/>
      <c r="AT37" s="828"/>
      <c r="AU37" s="2"/>
      <c r="AV37" s="2"/>
      <c r="AW37" s="2"/>
      <c r="AX37" s="2"/>
      <c r="AY37" s="2"/>
      <c r="AZ37" s="2"/>
      <c r="BA37" s="2"/>
      <c r="BB37" s="2"/>
      <c r="BC37" s="2"/>
      <c r="BD37" s="2"/>
      <c r="BE37" s="2"/>
      <c r="BF37" s="2"/>
      <c r="BG37" s="806">
        <f>SUM(AU37:BF37)</f>
        <v>0</v>
      </c>
      <c r="BH37" s="807"/>
      <c r="BI37" s="807"/>
      <c r="BJ37" s="807"/>
      <c r="BK37" s="807"/>
      <c r="BL37" s="807"/>
      <c r="BM37" s="807"/>
      <c r="BN37" s="807"/>
      <c r="BO37" s="807"/>
      <c r="BP37" s="807"/>
      <c r="BQ37" s="807"/>
      <c r="BR37" s="807"/>
      <c r="BS37" s="807"/>
      <c r="BT37" s="806">
        <f>SUM(BH37:BS37)</f>
        <v>0</v>
      </c>
      <c r="CG37" s="806">
        <f>SUM(BU37:CF37)</f>
        <v>0</v>
      </c>
      <c r="CT37" s="806">
        <f>SUM(CH37:CS37)</f>
        <v>0</v>
      </c>
      <c r="DG37" s="806">
        <f t="shared" si="16"/>
        <v>0</v>
      </c>
    </row>
    <row r="38" spans="1:111" x14ac:dyDescent="0.25">
      <c r="A38" s="16"/>
      <c r="B38" s="370"/>
      <c r="C38" t="s">
        <v>948</v>
      </c>
      <c r="D38" s="830" t="s">
        <v>949</v>
      </c>
      <c r="E38" s="827" t="s">
        <v>950</v>
      </c>
      <c r="H38" s="810">
        <v>3000</v>
      </c>
      <c r="I38" s="803">
        <f t="shared" si="25"/>
        <v>0</v>
      </c>
      <c r="J38" s="803">
        <f t="shared" si="38"/>
        <v>0</v>
      </c>
      <c r="K38" s="809">
        <f t="shared" si="26"/>
        <v>3000</v>
      </c>
      <c r="L38" s="810">
        <f t="shared" ref="L38:L74" si="39">+AA38+AN38+AO38+BT38+CG38+CT38+DG38</f>
        <v>3000</v>
      </c>
      <c r="M38" s="394">
        <f t="shared" ref="M38:M50" si="40">+IF(G38&gt;0,G38-L38,H38-L38)</f>
        <v>0</v>
      </c>
      <c r="N38" s="394"/>
      <c r="O38" s="2"/>
      <c r="P38" s="2"/>
      <c r="Q38" s="2"/>
      <c r="R38" s="2"/>
      <c r="S38" s="2"/>
      <c r="T38" s="2"/>
      <c r="U38" s="2"/>
      <c r="V38" s="2"/>
      <c r="W38" s="2"/>
      <c r="X38" s="2"/>
      <c r="Y38" s="2"/>
      <c r="Z38" s="2"/>
      <c r="AA38" s="806">
        <f t="shared" ref="AA38:AA50" si="41">SUM(O38:Z38)</f>
        <v>0</v>
      </c>
      <c r="AB38" s="2"/>
      <c r="AC38" s="2"/>
      <c r="AD38" s="2"/>
      <c r="AE38" s="2"/>
      <c r="AF38" s="2"/>
      <c r="AG38" s="2"/>
      <c r="AH38" s="2"/>
      <c r="AI38" s="2"/>
      <c r="AJ38" s="2"/>
      <c r="AK38" s="2"/>
      <c r="AL38" s="2"/>
      <c r="AM38" s="2"/>
      <c r="AN38" s="806">
        <f t="shared" ref="AN38:AN50" si="42">SUM(AB38:AM38)</f>
        <v>0</v>
      </c>
      <c r="AO38" s="806">
        <f t="shared" ref="AO38:AO50" si="43">SUM(AU38:BF38)</f>
        <v>0</v>
      </c>
      <c r="AP38" s="806">
        <f t="shared" ref="AP38:AP50" si="44">+BT38</f>
        <v>3000</v>
      </c>
      <c r="AQ38" s="806">
        <f t="shared" ref="AQ38:AQ50" si="45">+CG38</f>
        <v>0</v>
      </c>
      <c r="AR38" s="806">
        <f t="shared" ref="AR38:AR50" si="46">+CT38</f>
        <v>0</v>
      </c>
      <c r="AS38" s="806">
        <f t="shared" ref="AS38:AT50" si="47">+DG38</f>
        <v>0</v>
      </c>
      <c r="AT38" s="806">
        <f t="shared" si="47"/>
        <v>0</v>
      </c>
      <c r="AU38" s="2"/>
      <c r="AV38" s="2"/>
      <c r="AW38" s="2"/>
      <c r="AX38" s="2"/>
      <c r="AY38" s="2"/>
      <c r="AZ38" s="2"/>
      <c r="BA38" s="2"/>
      <c r="BC38" s="2"/>
      <c r="BD38" s="2"/>
      <c r="BE38" s="2"/>
      <c r="BF38" s="2"/>
      <c r="BG38" s="806">
        <f>SUM(AU38:BF38)</f>
        <v>0</v>
      </c>
      <c r="BH38" s="807"/>
      <c r="BI38" s="807"/>
      <c r="BJ38" s="807"/>
      <c r="BK38" s="807"/>
      <c r="BL38" s="807"/>
      <c r="BM38" s="807"/>
      <c r="BN38" s="807"/>
      <c r="BO38" s="807"/>
      <c r="BP38" s="807">
        <v>3000</v>
      </c>
      <c r="BQ38" s="807"/>
      <c r="BR38" s="807"/>
      <c r="BS38" s="807"/>
      <c r="BT38" s="806">
        <f>SUM(BH38:BS38)</f>
        <v>3000</v>
      </c>
      <c r="CG38" s="806">
        <f>SUM(BU38:CF38)</f>
        <v>0</v>
      </c>
      <c r="CT38" s="806">
        <f>SUM(CH38:CS38)</f>
        <v>0</v>
      </c>
      <c r="DG38" s="806">
        <f t="shared" si="16"/>
        <v>0</v>
      </c>
    </row>
    <row r="39" spans="1:111" x14ac:dyDescent="0.25">
      <c r="A39" s="16"/>
      <c r="B39" s="370" t="s">
        <v>939</v>
      </c>
      <c r="C39" t="s">
        <v>951</v>
      </c>
      <c r="D39" s="830" t="s">
        <v>949</v>
      </c>
      <c r="E39" s="827" t="s">
        <v>950</v>
      </c>
      <c r="H39" s="810">
        <v>5000</v>
      </c>
      <c r="I39" s="803">
        <f t="shared" si="25"/>
        <v>0</v>
      </c>
      <c r="J39" s="803">
        <f t="shared" si="38"/>
        <v>0</v>
      </c>
      <c r="K39" s="809">
        <f t="shared" si="26"/>
        <v>5000</v>
      </c>
      <c r="L39" s="810">
        <f t="shared" si="39"/>
        <v>5000</v>
      </c>
      <c r="M39" s="394">
        <f t="shared" si="40"/>
        <v>0</v>
      </c>
      <c r="N39" s="394"/>
      <c r="O39" s="2"/>
      <c r="P39" s="2"/>
      <c r="Q39" s="2"/>
      <c r="R39" s="2"/>
      <c r="S39" s="2"/>
      <c r="T39" s="2"/>
      <c r="U39" s="2"/>
      <c r="V39" s="2"/>
      <c r="W39" s="2"/>
      <c r="X39" s="2"/>
      <c r="Y39" s="2"/>
      <c r="Z39" s="2"/>
      <c r="AA39" s="806">
        <f t="shared" si="41"/>
        <v>0</v>
      </c>
      <c r="AB39" s="2"/>
      <c r="AC39" s="2"/>
      <c r="AD39" s="2"/>
      <c r="AE39" s="2"/>
      <c r="AF39" s="2"/>
      <c r="AG39" s="2"/>
      <c r="AH39" s="2"/>
      <c r="AI39" s="2"/>
      <c r="AJ39" s="2"/>
      <c r="AK39" s="2"/>
      <c r="AL39" s="2"/>
      <c r="AM39" s="2"/>
      <c r="AN39" s="806">
        <f t="shared" si="42"/>
        <v>0</v>
      </c>
      <c r="AO39" s="806">
        <f t="shared" si="43"/>
        <v>0</v>
      </c>
      <c r="AP39" s="806">
        <f t="shared" si="44"/>
        <v>5000</v>
      </c>
      <c r="AQ39" s="806">
        <f t="shared" si="45"/>
        <v>0</v>
      </c>
      <c r="AR39" s="806">
        <f t="shared" si="46"/>
        <v>0</v>
      </c>
      <c r="AS39" s="806">
        <f t="shared" si="47"/>
        <v>0</v>
      </c>
      <c r="AT39" s="806">
        <f t="shared" si="47"/>
        <v>0</v>
      </c>
      <c r="AU39" s="2"/>
      <c r="AV39" s="2"/>
      <c r="AW39" s="2"/>
      <c r="AX39" s="2"/>
      <c r="AY39" s="2"/>
      <c r="AZ39" s="2"/>
      <c r="BA39" s="2"/>
      <c r="BC39" s="2"/>
      <c r="BD39" s="2"/>
      <c r="BE39" s="2"/>
      <c r="BF39" s="2"/>
      <c r="BG39" s="806">
        <f>SUM(AU39:BF39)</f>
        <v>0</v>
      </c>
      <c r="BH39" s="807"/>
      <c r="BI39" s="807"/>
      <c r="BJ39" s="807"/>
      <c r="BK39" s="807"/>
      <c r="BL39" s="807"/>
      <c r="BM39" s="807"/>
      <c r="BN39" s="807"/>
      <c r="BO39" s="807"/>
      <c r="BP39" s="807"/>
      <c r="BQ39" s="807"/>
      <c r="BR39" s="807">
        <v>5000</v>
      </c>
      <c r="BS39" s="807"/>
      <c r="BT39" s="806">
        <f>SUM(BH39:BS39)</f>
        <v>5000</v>
      </c>
      <c r="CG39" s="806">
        <f>SUM(BU39:CF39)</f>
        <v>0</v>
      </c>
      <c r="CT39" s="806">
        <f>SUM(CH39:CS39)</f>
        <v>0</v>
      </c>
      <c r="DG39" s="806">
        <f t="shared" si="16"/>
        <v>0</v>
      </c>
    </row>
    <row r="40" spans="1:111" x14ac:dyDescent="0.25">
      <c r="A40" s="16"/>
      <c r="B40" s="370" t="s">
        <v>941</v>
      </c>
      <c r="C40" t="s">
        <v>952</v>
      </c>
      <c r="D40" s="830" t="s">
        <v>949</v>
      </c>
      <c r="E40" s="827" t="s">
        <v>950</v>
      </c>
      <c r="H40" s="810">
        <v>10000</v>
      </c>
      <c r="I40" s="803">
        <f t="shared" si="25"/>
        <v>0</v>
      </c>
      <c r="J40" s="803">
        <f t="shared" si="38"/>
        <v>0</v>
      </c>
      <c r="K40" s="809">
        <f t="shared" si="26"/>
        <v>10000</v>
      </c>
      <c r="L40" s="810">
        <f t="shared" si="39"/>
        <v>10000</v>
      </c>
      <c r="M40" s="394">
        <f t="shared" si="40"/>
        <v>0</v>
      </c>
      <c r="N40" s="394"/>
      <c r="O40" s="2"/>
      <c r="P40" s="2"/>
      <c r="Q40" s="2"/>
      <c r="R40" s="2"/>
      <c r="S40" s="2"/>
      <c r="T40" s="2"/>
      <c r="U40" s="2"/>
      <c r="V40" s="2"/>
      <c r="W40" s="2"/>
      <c r="X40" s="2"/>
      <c r="Y40" s="2"/>
      <c r="Z40" s="2"/>
      <c r="AA40" s="806">
        <f t="shared" si="41"/>
        <v>0</v>
      </c>
      <c r="AB40" s="2"/>
      <c r="AC40" s="2"/>
      <c r="AD40" s="2"/>
      <c r="AE40" s="2"/>
      <c r="AF40" s="2"/>
      <c r="AG40" s="2"/>
      <c r="AH40" s="2"/>
      <c r="AI40" s="2"/>
      <c r="AJ40" s="2"/>
      <c r="AK40" s="2"/>
      <c r="AL40" s="2"/>
      <c r="AM40" s="2"/>
      <c r="AN40" s="806">
        <f t="shared" si="42"/>
        <v>0</v>
      </c>
      <c r="AO40" s="806">
        <f t="shared" si="43"/>
        <v>0</v>
      </c>
      <c r="AP40" s="806">
        <f t="shared" si="44"/>
        <v>10000</v>
      </c>
      <c r="AQ40" s="806">
        <f t="shared" si="45"/>
        <v>0</v>
      </c>
      <c r="AR40" s="806">
        <f t="shared" si="46"/>
        <v>0</v>
      </c>
      <c r="AS40" s="806">
        <f t="shared" si="47"/>
        <v>0</v>
      </c>
      <c r="AT40" s="806">
        <f t="shared" si="47"/>
        <v>0</v>
      </c>
      <c r="AU40" s="2"/>
      <c r="AV40" s="2"/>
      <c r="AW40" s="2"/>
      <c r="AX40" s="2"/>
      <c r="AY40" s="2"/>
      <c r="AZ40" s="2"/>
      <c r="BA40" s="2"/>
      <c r="BC40" s="2"/>
      <c r="BD40" s="2"/>
      <c r="BE40" s="2"/>
      <c r="BF40" s="2"/>
      <c r="BG40" s="806">
        <f>SUM(AU40:BF40)</f>
        <v>0</v>
      </c>
      <c r="BH40" s="807"/>
      <c r="BI40" s="807"/>
      <c r="BJ40" s="807"/>
      <c r="BK40" s="807"/>
      <c r="BL40" s="807"/>
      <c r="BM40" s="807"/>
      <c r="BN40" s="807"/>
      <c r="BO40" s="807"/>
      <c r="BP40" s="807"/>
      <c r="BQ40" s="807"/>
      <c r="BR40" s="807">
        <v>5000</v>
      </c>
      <c r="BS40" s="807">
        <v>5000</v>
      </c>
      <c r="BT40" s="806">
        <f>SUM(BH40:BS40)</f>
        <v>10000</v>
      </c>
      <c r="CG40" s="806">
        <f>SUM(BU40:CF40)</f>
        <v>0</v>
      </c>
      <c r="CT40" s="806">
        <f>SUM(CH40:CS40)</f>
        <v>0</v>
      </c>
      <c r="DG40" s="806">
        <f t="shared" si="16"/>
        <v>0</v>
      </c>
    </row>
    <row r="41" spans="1:111" x14ac:dyDescent="0.25">
      <c r="A41" s="16"/>
      <c r="B41" s="370" t="s">
        <v>953</v>
      </c>
      <c r="C41" s="823" t="s">
        <v>954</v>
      </c>
      <c r="D41" s="831" t="s">
        <v>955</v>
      </c>
      <c r="E41" s="824" t="s">
        <v>931</v>
      </c>
      <c r="F41" s="811">
        <v>503</v>
      </c>
      <c r="G41" s="832">
        <v>162707</v>
      </c>
      <c r="H41" s="810">
        <v>162707</v>
      </c>
      <c r="I41" s="803">
        <f t="shared" si="25"/>
        <v>0</v>
      </c>
      <c r="J41" s="803">
        <f t="shared" si="38"/>
        <v>16545</v>
      </c>
      <c r="K41" s="809">
        <f t="shared" si="26"/>
        <v>162707</v>
      </c>
      <c r="L41" s="810">
        <f t="shared" si="39"/>
        <v>162707</v>
      </c>
      <c r="M41" s="394">
        <f t="shared" si="40"/>
        <v>0</v>
      </c>
      <c r="N41" s="394"/>
      <c r="O41" s="2"/>
      <c r="P41" s="2"/>
      <c r="Q41" s="2"/>
      <c r="R41" s="2"/>
      <c r="S41" s="2"/>
      <c r="T41" s="2"/>
      <c r="U41" s="2"/>
      <c r="V41" s="2"/>
      <c r="W41" s="2"/>
      <c r="X41" s="2"/>
      <c r="Y41" s="2"/>
      <c r="Z41" s="2"/>
      <c r="AA41" s="806">
        <f t="shared" si="41"/>
        <v>0</v>
      </c>
      <c r="AB41" s="2"/>
      <c r="AC41" s="2"/>
      <c r="AD41" s="2"/>
      <c r="AE41" s="2"/>
      <c r="AF41" s="2"/>
      <c r="AG41" s="2"/>
      <c r="AH41" s="2"/>
      <c r="AI41" s="2"/>
      <c r="AJ41" s="2"/>
      <c r="AK41" s="2"/>
      <c r="AL41" s="2"/>
      <c r="AM41" s="2"/>
      <c r="AN41" s="806">
        <f t="shared" si="42"/>
        <v>0</v>
      </c>
      <c r="AO41" s="806">
        <f t="shared" si="43"/>
        <v>0</v>
      </c>
      <c r="AP41" s="806">
        <f t="shared" si="44"/>
        <v>131207</v>
      </c>
      <c r="AQ41" s="806">
        <f t="shared" si="45"/>
        <v>31500</v>
      </c>
      <c r="AR41" s="806">
        <f t="shared" si="46"/>
        <v>0</v>
      </c>
      <c r="AS41" s="806">
        <f t="shared" si="47"/>
        <v>0</v>
      </c>
      <c r="AT41" s="806">
        <f t="shared" si="47"/>
        <v>0</v>
      </c>
      <c r="AU41" s="2"/>
      <c r="AV41" s="2"/>
      <c r="AW41" s="2"/>
      <c r="AX41" s="2"/>
      <c r="AY41" s="2"/>
      <c r="AZ41" s="2"/>
      <c r="BA41" s="2"/>
      <c r="BC41" s="2"/>
      <c r="BD41" s="2"/>
      <c r="BE41" s="2"/>
      <c r="BF41" s="2"/>
      <c r="BG41" s="806">
        <f t="shared" si="34"/>
        <v>0</v>
      </c>
      <c r="BH41" s="807"/>
      <c r="BI41" s="807"/>
      <c r="BJ41" s="807"/>
      <c r="BK41" s="807"/>
      <c r="BL41" s="820">
        <v>3500</v>
      </c>
      <c r="BM41" s="820">
        <f>13045</f>
        <v>13045</v>
      </c>
      <c r="BN41" s="820">
        <v>41187</v>
      </c>
      <c r="BO41" s="820">
        <v>12674</v>
      </c>
      <c r="BP41" s="807">
        <v>17000</v>
      </c>
      <c r="BQ41" s="807">
        <v>14326</v>
      </c>
      <c r="BR41" s="807">
        <v>10000</v>
      </c>
      <c r="BS41" s="807">
        <v>19475</v>
      </c>
      <c r="BT41" s="806">
        <f t="shared" si="35"/>
        <v>131207</v>
      </c>
      <c r="BU41" s="807">
        <v>31500</v>
      </c>
      <c r="CG41" s="806">
        <f t="shared" si="36"/>
        <v>31500</v>
      </c>
      <c r="CT41" s="806">
        <f t="shared" si="37"/>
        <v>0</v>
      </c>
      <c r="DG41" s="806">
        <f t="shared" si="16"/>
        <v>0</v>
      </c>
    </row>
    <row r="42" spans="1:111" x14ac:dyDescent="0.25">
      <c r="A42" s="16"/>
      <c r="B42" s="370"/>
      <c r="C42" t="s">
        <v>956</v>
      </c>
      <c r="D42" s="370"/>
      <c r="E42" s="827" t="s">
        <v>950</v>
      </c>
      <c r="H42" s="810">
        <v>25900</v>
      </c>
      <c r="I42" s="803">
        <f t="shared" si="25"/>
        <v>0</v>
      </c>
      <c r="J42" s="803">
        <f t="shared" si="38"/>
        <v>0</v>
      </c>
      <c r="K42" s="809">
        <f t="shared" si="26"/>
        <v>25900</v>
      </c>
      <c r="L42" s="810">
        <f t="shared" si="39"/>
        <v>25900</v>
      </c>
      <c r="M42" s="394">
        <f t="shared" si="40"/>
        <v>0</v>
      </c>
      <c r="N42" s="394"/>
      <c r="O42" s="2"/>
      <c r="P42" s="2"/>
      <c r="Q42" s="2"/>
      <c r="R42" s="2"/>
      <c r="S42" s="2"/>
      <c r="T42" s="2"/>
      <c r="U42" s="2"/>
      <c r="V42" s="2"/>
      <c r="W42" s="2"/>
      <c r="X42" s="2"/>
      <c r="Y42" s="2"/>
      <c r="Z42" s="2"/>
      <c r="AA42" s="806">
        <f t="shared" si="41"/>
        <v>0</v>
      </c>
      <c r="AB42" s="2"/>
      <c r="AC42" s="2"/>
      <c r="AD42" s="2"/>
      <c r="AE42" s="2"/>
      <c r="AF42" s="2"/>
      <c r="AG42" s="2"/>
      <c r="AH42" s="2"/>
      <c r="AI42" s="2"/>
      <c r="AJ42" s="2"/>
      <c r="AK42" s="2"/>
      <c r="AL42" s="2"/>
      <c r="AM42" s="2"/>
      <c r="AN42" s="806">
        <f t="shared" si="42"/>
        <v>0</v>
      </c>
      <c r="AO42" s="806">
        <f t="shared" si="43"/>
        <v>0</v>
      </c>
      <c r="AP42" s="806">
        <f t="shared" si="44"/>
        <v>0</v>
      </c>
      <c r="AQ42" s="806">
        <f t="shared" si="45"/>
        <v>25900</v>
      </c>
      <c r="AR42" s="806">
        <f t="shared" si="46"/>
        <v>0</v>
      </c>
      <c r="AS42" s="806">
        <f t="shared" si="47"/>
        <v>0</v>
      </c>
      <c r="AT42" s="806">
        <f t="shared" si="47"/>
        <v>0</v>
      </c>
      <c r="AU42" s="2"/>
      <c r="AV42" s="2"/>
      <c r="AW42" s="2"/>
      <c r="AX42" s="2"/>
      <c r="AY42" s="2"/>
      <c r="AZ42" s="2"/>
      <c r="BA42" s="2"/>
      <c r="BC42" s="2"/>
      <c r="BD42" s="2"/>
      <c r="BE42" s="2"/>
      <c r="BF42" s="2"/>
      <c r="BG42" s="806">
        <f t="shared" si="34"/>
        <v>0</v>
      </c>
      <c r="BH42" s="807"/>
      <c r="BI42" s="807"/>
      <c r="BJ42" s="807"/>
      <c r="BK42" s="807"/>
      <c r="BL42" s="807"/>
      <c r="BM42" s="807"/>
      <c r="BN42" s="807"/>
      <c r="BO42" s="807"/>
      <c r="BP42" s="807"/>
      <c r="BQ42" s="807"/>
      <c r="BR42" s="807"/>
      <c r="BS42" s="807"/>
      <c r="BT42" s="806">
        <f t="shared" si="35"/>
        <v>0</v>
      </c>
      <c r="BW42">
        <v>9000</v>
      </c>
      <c r="BX42">
        <v>9000</v>
      </c>
      <c r="BY42">
        <v>7900</v>
      </c>
      <c r="CG42" s="806">
        <f t="shared" si="36"/>
        <v>25900</v>
      </c>
      <c r="CT42" s="806">
        <f t="shared" si="37"/>
        <v>0</v>
      </c>
      <c r="DG42" s="806">
        <f t="shared" si="16"/>
        <v>0</v>
      </c>
    </row>
    <row r="43" spans="1:111" x14ac:dyDescent="0.25">
      <c r="A43" s="16"/>
      <c r="B43" s="370" t="s">
        <v>941</v>
      </c>
      <c r="C43" t="s">
        <v>957</v>
      </c>
      <c r="D43" s="370"/>
      <c r="E43" s="827" t="s">
        <v>950</v>
      </c>
      <c r="H43" s="810">
        <v>3000</v>
      </c>
      <c r="I43" s="803">
        <f t="shared" si="25"/>
        <v>0</v>
      </c>
      <c r="J43" s="803">
        <f t="shared" si="38"/>
        <v>0</v>
      </c>
      <c r="K43" s="809">
        <f t="shared" si="26"/>
        <v>3000</v>
      </c>
      <c r="L43" s="810">
        <f t="shared" si="39"/>
        <v>3000</v>
      </c>
      <c r="M43" s="394">
        <f t="shared" si="40"/>
        <v>0</v>
      </c>
      <c r="N43" s="394"/>
      <c r="O43" s="2"/>
      <c r="P43" s="2"/>
      <c r="Q43" s="2"/>
      <c r="R43" s="2"/>
      <c r="S43" s="2"/>
      <c r="T43" s="2"/>
      <c r="U43" s="2"/>
      <c r="V43" s="2"/>
      <c r="W43" s="2"/>
      <c r="X43" s="2"/>
      <c r="Y43" s="2"/>
      <c r="Z43" s="2"/>
      <c r="AA43" s="806">
        <f t="shared" si="41"/>
        <v>0</v>
      </c>
      <c r="AB43" s="2"/>
      <c r="AC43" s="2"/>
      <c r="AD43" s="2"/>
      <c r="AE43" s="2"/>
      <c r="AF43" s="2"/>
      <c r="AG43" s="2"/>
      <c r="AH43" s="2"/>
      <c r="AI43" s="2"/>
      <c r="AJ43" s="2"/>
      <c r="AK43" s="2"/>
      <c r="AL43" s="2"/>
      <c r="AM43" s="2"/>
      <c r="AN43" s="806">
        <f t="shared" si="42"/>
        <v>0</v>
      </c>
      <c r="AO43" s="806">
        <f t="shared" si="43"/>
        <v>0</v>
      </c>
      <c r="AP43" s="806">
        <f t="shared" si="44"/>
        <v>3000</v>
      </c>
      <c r="AQ43" s="806">
        <f t="shared" si="45"/>
        <v>0</v>
      </c>
      <c r="AR43" s="806">
        <f t="shared" si="46"/>
        <v>0</v>
      </c>
      <c r="AS43" s="806">
        <f t="shared" si="47"/>
        <v>0</v>
      </c>
      <c r="AT43" s="806">
        <f t="shared" si="47"/>
        <v>0</v>
      </c>
      <c r="AU43" s="2"/>
      <c r="AV43" s="2"/>
      <c r="AW43" s="2"/>
      <c r="AX43" s="2"/>
      <c r="AY43" s="2"/>
      <c r="AZ43" s="2"/>
      <c r="BA43" s="2"/>
      <c r="BC43" s="2"/>
      <c r="BD43" s="2"/>
      <c r="BE43" s="2"/>
      <c r="BF43" s="2"/>
      <c r="BG43" s="806">
        <f>SUM(AU43:BF43)</f>
        <v>0</v>
      </c>
      <c r="BH43" s="807"/>
      <c r="BI43" s="807"/>
      <c r="BJ43" s="807"/>
      <c r="BK43" s="807"/>
      <c r="BL43" s="807"/>
      <c r="BM43" s="807"/>
      <c r="BN43" s="807"/>
      <c r="BO43" s="807"/>
      <c r="BP43" s="807">
        <v>1500</v>
      </c>
      <c r="BQ43" s="807"/>
      <c r="BR43" s="807"/>
      <c r="BS43" s="807">
        <v>1500</v>
      </c>
      <c r="BT43" s="806">
        <f>SUM(BH43:BS43)</f>
        <v>3000</v>
      </c>
      <c r="CG43" s="806">
        <f>SUM(BU43:CF43)</f>
        <v>0</v>
      </c>
      <c r="CT43" s="806">
        <f>SUM(CH43:CS43)</f>
        <v>0</v>
      </c>
      <c r="DG43" s="806">
        <f t="shared" si="16"/>
        <v>0</v>
      </c>
    </row>
    <row r="44" spans="1:111" s="835" customFormat="1" x14ac:dyDescent="0.25">
      <c r="A44" s="833"/>
      <c r="B44" s="370" t="s">
        <v>953</v>
      </c>
      <c r="C44" t="s">
        <v>958</v>
      </c>
      <c r="D44" s="834"/>
      <c r="E44" s="827" t="s">
        <v>950</v>
      </c>
      <c r="H44" s="810">
        <v>28754</v>
      </c>
      <c r="I44" s="803">
        <f t="shared" si="25"/>
        <v>0</v>
      </c>
      <c r="J44" s="803">
        <f t="shared" si="38"/>
        <v>0</v>
      </c>
      <c r="K44" s="809">
        <f t="shared" si="26"/>
        <v>28754</v>
      </c>
      <c r="L44" s="810">
        <f t="shared" si="39"/>
        <v>28754</v>
      </c>
      <c r="M44" s="394">
        <f t="shared" si="40"/>
        <v>0</v>
      </c>
      <c r="N44" s="836"/>
      <c r="O44" s="837"/>
      <c r="P44" s="837"/>
      <c r="Q44" s="837"/>
      <c r="R44" s="837"/>
      <c r="S44" s="837"/>
      <c r="T44" s="837"/>
      <c r="U44" s="837"/>
      <c r="V44" s="837"/>
      <c r="W44" s="837"/>
      <c r="X44" s="837"/>
      <c r="Y44" s="837"/>
      <c r="Z44" s="837"/>
      <c r="AA44" s="806">
        <f t="shared" si="41"/>
        <v>0</v>
      </c>
      <c r="AB44" s="2"/>
      <c r="AC44" s="2"/>
      <c r="AD44" s="2"/>
      <c r="AE44" s="2"/>
      <c r="AF44" s="2"/>
      <c r="AG44" s="2"/>
      <c r="AH44" s="2"/>
      <c r="AI44" s="2"/>
      <c r="AJ44" s="2"/>
      <c r="AK44" s="2"/>
      <c r="AL44" s="2"/>
      <c r="AM44" s="2"/>
      <c r="AN44" s="806">
        <f t="shared" si="42"/>
        <v>0</v>
      </c>
      <c r="AO44" s="806">
        <f t="shared" si="43"/>
        <v>0</v>
      </c>
      <c r="AP44" s="806">
        <f t="shared" si="44"/>
        <v>6000</v>
      </c>
      <c r="AQ44" s="806">
        <f t="shared" si="45"/>
        <v>15754</v>
      </c>
      <c r="AR44" s="806">
        <f t="shared" si="46"/>
        <v>7000</v>
      </c>
      <c r="AS44" s="806">
        <f t="shared" si="47"/>
        <v>0</v>
      </c>
      <c r="AT44" s="806">
        <f t="shared" si="47"/>
        <v>0</v>
      </c>
      <c r="AU44" s="2"/>
      <c r="AV44" s="2"/>
      <c r="AW44" s="2"/>
      <c r="AX44" s="2"/>
      <c r="AY44" s="2"/>
      <c r="AZ44" s="2"/>
      <c r="BA44" s="2"/>
      <c r="BB44"/>
      <c r="BC44" s="2"/>
      <c r="BD44" s="2"/>
      <c r="BE44" s="2"/>
      <c r="BF44" s="2"/>
      <c r="BG44" s="806">
        <f t="shared" si="34"/>
        <v>0</v>
      </c>
      <c r="BH44" s="807"/>
      <c r="BI44" s="807"/>
      <c r="BJ44" s="807"/>
      <c r="BK44" s="807"/>
      <c r="BL44" s="807"/>
      <c r="BM44" s="807"/>
      <c r="BN44" s="807"/>
      <c r="BO44" s="807"/>
      <c r="BP44" s="807">
        <v>2000</v>
      </c>
      <c r="BQ44" s="807">
        <v>2000</v>
      </c>
      <c r="BR44" s="807"/>
      <c r="BS44" s="807">
        <v>2000</v>
      </c>
      <c r="BT44" s="806">
        <f t="shared" si="35"/>
        <v>6000</v>
      </c>
      <c r="BV44" s="837">
        <v>2000</v>
      </c>
      <c r="BX44" s="837">
        <v>3000</v>
      </c>
      <c r="BZ44" s="837">
        <v>2754</v>
      </c>
      <c r="CB44" s="837">
        <v>3000</v>
      </c>
      <c r="CD44" s="837">
        <v>2000</v>
      </c>
      <c r="CF44" s="837">
        <v>3000</v>
      </c>
      <c r="CG44" s="806">
        <f t="shared" si="36"/>
        <v>15754</v>
      </c>
      <c r="CI44" s="837">
        <v>3000</v>
      </c>
      <c r="CK44" s="837">
        <v>2000</v>
      </c>
      <c r="CM44" s="837">
        <v>2000</v>
      </c>
      <c r="CT44" s="806">
        <f t="shared" si="37"/>
        <v>7000</v>
      </c>
      <c r="DG44" s="806">
        <f t="shared" si="16"/>
        <v>0</v>
      </c>
    </row>
    <row r="45" spans="1:111" s="835" customFormat="1" x14ac:dyDescent="0.25">
      <c r="A45" s="833"/>
      <c r="B45" s="370" t="s">
        <v>953</v>
      </c>
      <c r="C45" t="s">
        <v>959</v>
      </c>
      <c r="D45" s="834"/>
      <c r="E45" s="827" t="s">
        <v>950</v>
      </c>
      <c r="H45" s="810">
        <v>100000</v>
      </c>
      <c r="I45" s="803">
        <f t="shared" si="25"/>
        <v>0</v>
      </c>
      <c r="J45" s="803">
        <f t="shared" si="38"/>
        <v>0</v>
      </c>
      <c r="K45" s="809">
        <f t="shared" si="26"/>
        <v>100000</v>
      </c>
      <c r="L45" s="810">
        <f t="shared" si="39"/>
        <v>100000</v>
      </c>
      <c r="M45" s="394">
        <f t="shared" si="40"/>
        <v>0</v>
      </c>
      <c r="N45" s="836"/>
      <c r="O45" s="837"/>
      <c r="P45" s="837"/>
      <c r="Q45" s="837"/>
      <c r="R45" s="837"/>
      <c r="S45" s="837"/>
      <c r="T45" s="837"/>
      <c r="U45" s="837"/>
      <c r="V45" s="837"/>
      <c r="W45" s="837"/>
      <c r="X45" s="837"/>
      <c r="Y45" s="837"/>
      <c r="Z45" s="837"/>
      <c r="AA45" s="806">
        <f t="shared" si="41"/>
        <v>0</v>
      </c>
      <c r="AB45" s="2"/>
      <c r="AC45" s="2"/>
      <c r="AD45" s="2"/>
      <c r="AE45" s="2"/>
      <c r="AF45" s="2"/>
      <c r="AG45" s="2"/>
      <c r="AH45" s="2"/>
      <c r="AI45" s="2"/>
      <c r="AJ45" s="2"/>
      <c r="AK45" s="2"/>
      <c r="AL45" s="2"/>
      <c r="AM45" s="2"/>
      <c r="AN45" s="806">
        <f t="shared" si="42"/>
        <v>0</v>
      </c>
      <c r="AO45" s="806">
        <f t="shared" si="43"/>
        <v>0</v>
      </c>
      <c r="AP45" s="806">
        <f t="shared" si="44"/>
        <v>0</v>
      </c>
      <c r="AQ45" s="806">
        <f t="shared" si="45"/>
        <v>36000</v>
      </c>
      <c r="AR45" s="806">
        <f t="shared" si="46"/>
        <v>64000</v>
      </c>
      <c r="AS45" s="806">
        <f t="shared" si="47"/>
        <v>0</v>
      </c>
      <c r="AT45" s="806">
        <f t="shared" si="47"/>
        <v>0</v>
      </c>
      <c r="AU45" s="2"/>
      <c r="AV45" s="2"/>
      <c r="AW45" s="2"/>
      <c r="AX45" s="2"/>
      <c r="AY45" s="2"/>
      <c r="AZ45" s="2"/>
      <c r="BA45" s="2"/>
      <c r="BB45"/>
      <c r="BC45" s="2"/>
      <c r="BD45" s="2"/>
      <c r="BE45" s="2"/>
      <c r="BF45" s="2"/>
      <c r="BG45" s="806">
        <f t="shared" si="34"/>
        <v>0</v>
      </c>
      <c r="BH45" s="807"/>
      <c r="BI45" s="807"/>
      <c r="BJ45" s="807"/>
      <c r="BK45" s="807"/>
      <c r="BL45" s="807"/>
      <c r="BM45" s="807"/>
      <c r="BN45" s="807"/>
      <c r="BO45" s="807"/>
      <c r="BP45" s="807"/>
      <c r="BQ45" s="807"/>
      <c r="BR45" s="807"/>
      <c r="BS45" s="807"/>
      <c r="BT45" s="806">
        <f t="shared" si="35"/>
        <v>0</v>
      </c>
      <c r="CE45">
        <v>18000</v>
      </c>
      <c r="CF45">
        <v>18000</v>
      </c>
      <c r="CG45" s="806">
        <f t="shared" si="36"/>
        <v>36000</v>
      </c>
      <c r="CH45">
        <v>18000</v>
      </c>
      <c r="CI45">
        <v>18000</v>
      </c>
      <c r="CJ45">
        <v>18000</v>
      </c>
      <c r="CK45">
        <v>10000</v>
      </c>
      <c r="CT45" s="806">
        <f t="shared" si="37"/>
        <v>64000</v>
      </c>
      <c r="DG45" s="806">
        <f t="shared" si="16"/>
        <v>0</v>
      </c>
    </row>
    <row r="46" spans="1:111" x14ac:dyDescent="0.25">
      <c r="A46" s="16"/>
      <c r="B46" s="370" t="s">
        <v>953</v>
      </c>
      <c r="C46" s="823" t="s">
        <v>960</v>
      </c>
      <c r="D46" s="831" t="s">
        <v>961</v>
      </c>
      <c r="E46" s="824" t="s">
        <v>931</v>
      </c>
      <c r="F46" s="811">
        <v>493</v>
      </c>
      <c r="G46" s="832">
        <v>272500</v>
      </c>
      <c r="H46" s="810">
        <v>272500</v>
      </c>
      <c r="I46" s="803">
        <f t="shared" si="25"/>
        <v>0</v>
      </c>
      <c r="J46" s="803">
        <f t="shared" si="38"/>
        <v>105300</v>
      </c>
      <c r="K46" s="809">
        <f t="shared" si="26"/>
        <v>272500</v>
      </c>
      <c r="L46" s="810">
        <f t="shared" si="39"/>
        <v>272500</v>
      </c>
      <c r="M46" s="394">
        <f t="shared" si="40"/>
        <v>0</v>
      </c>
      <c r="N46" s="394"/>
      <c r="O46" s="2"/>
      <c r="P46" s="2"/>
      <c r="Q46" s="2"/>
      <c r="R46" s="2"/>
      <c r="S46" s="2"/>
      <c r="T46" s="2"/>
      <c r="U46" s="2"/>
      <c r="V46" s="2"/>
      <c r="W46" s="2"/>
      <c r="X46" s="2"/>
      <c r="Y46" s="2"/>
      <c r="Z46" s="2"/>
      <c r="AA46" s="806">
        <f t="shared" si="41"/>
        <v>0</v>
      </c>
      <c r="AB46" s="2"/>
      <c r="AC46" s="2"/>
      <c r="AD46" s="2"/>
      <c r="AE46" s="2"/>
      <c r="AF46" s="2"/>
      <c r="AG46" s="2"/>
      <c r="AH46" s="2"/>
      <c r="AI46" s="2"/>
      <c r="AJ46" s="2"/>
      <c r="AK46" s="2"/>
      <c r="AL46" s="2"/>
      <c r="AM46" s="2"/>
      <c r="AN46" s="806">
        <f t="shared" si="42"/>
        <v>0</v>
      </c>
      <c r="AO46" s="806">
        <f t="shared" si="43"/>
        <v>0</v>
      </c>
      <c r="AP46" s="806">
        <f t="shared" si="44"/>
        <v>255300</v>
      </c>
      <c r="AQ46" s="806">
        <f t="shared" si="45"/>
        <v>17200</v>
      </c>
      <c r="AR46" s="806">
        <f t="shared" si="46"/>
        <v>0</v>
      </c>
      <c r="AS46" s="806">
        <f t="shared" si="47"/>
        <v>0</v>
      </c>
      <c r="AT46" s="806">
        <f t="shared" si="47"/>
        <v>0</v>
      </c>
      <c r="AU46" s="2"/>
      <c r="AV46" s="2"/>
      <c r="AW46" s="2"/>
      <c r="AX46" s="2"/>
      <c r="AY46" s="2"/>
      <c r="AZ46" s="2"/>
      <c r="BA46" s="2"/>
      <c r="BC46" s="2"/>
      <c r="BD46" s="2"/>
      <c r="BE46" s="2"/>
      <c r="BF46" s="2"/>
      <c r="BG46" s="806">
        <f t="shared" si="34"/>
        <v>0</v>
      </c>
      <c r="BH46" s="807"/>
      <c r="BI46" s="807"/>
      <c r="BJ46" s="807"/>
      <c r="BK46" s="807"/>
      <c r="BL46" s="807">
        <v>51800</v>
      </c>
      <c r="BM46" s="807">
        <v>53500</v>
      </c>
      <c r="BN46" s="807"/>
      <c r="BO46" s="807">
        <v>7500</v>
      </c>
      <c r="BP46" s="807">
        <v>40000</v>
      </c>
      <c r="BQ46" s="807">
        <v>40000</v>
      </c>
      <c r="BR46" s="807">
        <v>32500</v>
      </c>
      <c r="BS46" s="807">
        <v>30000</v>
      </c>
      <c r="BT46" s="806">
        <f t="shared" si="35"/>
        <v>255300</v>
      </c>
      <c r="BU46" s="2">
        <v>17200</v>
      </c>
      <c r="CG46" s="806">
        <f t="shared" si="36"/>
        <v>17200</v>
      </c>
      <c r="CT46" s="806">
        <f t="shared" si="37"/>
        <v>0</v>
      </c>
      <c r="DG46" s="806">
        <f t="shared" si="16"/>
        <v>0</v>
      </c>
    </row>
    <row r="47" spans="1:111" x14ac:dyDescent="0.25">
      <c r="A47" s="16"/>
      <c r="B47" s="370" t="s">
        <v>953</v>
      </c>
      <c r="C47" t="s">
        <v>49</v>
      </c>
      <c r="D47" s="370"/>
      <c r="E47" s="827" t="s">
        <v>279</v>
      </c>
      <c r="H47" s="810">
        <v>100000</v>
      </c>
      <c r="I47" s="803">
        <f t="shared" si="25"/>
        <v>0</v>
      </c>
      <c r="J47" s="803">
        <f t="shared" si="38"/>
        <v>0</v>
      </c>
      <c r="K47" s="809">
        <f t="shared" si="26"/>
        <v>100000</v>
      </c>
      <c r="L47" s="810">
        <f t="shared" si="39"/>
        <v>100000</v>
      </c>
      <c r="M47" s="394">
        <f t="shared" si="40"/>
        <v>0</v>
      </c>
      <c r="N47" s="394"/>
      <c r="O47" s="2"/>
      <c r="P47" s="2"/>
      <c r="Q47" s="2"/>
      <c r="R47" s="2"/>
      <c r="S47" s="2"/>
      <c r="T47" s="2"/>
      <c r="U47" s="2"/>
      <c r="V47" s="2"/>
      <c r="W47" s="2"/>
      <c r="X47" s="2"/>
      <c r="Y47" s="2"/>
      <c r="Z47" s="2"/>
      <c r="AA47" s="806">
        <f t="shared" si="41"/>
        <v>0</v>
      </c>
      <c r="AB47" s="2"/>
      <c r="AC47" s="2"/>
      <c r="AD47" s="2"/>
      <c r="AE47" s="2"/>
      <c r="AF47" s="2"/>
      <c r="AG47" s="2"/>
      <c r="AH47" s="2"/>
      <c r="AI47" s="2"/>
      <c r="AJ47" s="2"/>
      <c r="AK47" s="2"/>
      <c r="AL47" s="2"/>
      <c r="AM47" s="2"/>
      <c r="AN47" s="806">
        <f t="shared" si="42"/>
        <v>0</v>
      </c>
      <c r="AO47" s="806">
        <f t="shared" si="43"/>
        <v>0</v>
      </c>
      <c r="AP47" s="806">
        <f t="shared" si="44"/>
        <v>0</v>
      </c>
      <c r="AQ47" s="806">
        <f t="shared" si="45"/>
        <v>100000</v>
      </c>
      <c r="AR47" s="806">
        <f t="shared" si="46"/>
        <v>0</v>
      </c>
      <c r="AS47" s="806">
        <f t="shared" si="47"/>
        <v>0</v>
      </c>
      <c r="AT47" s="806">
        <f t="shared" si="47"/>
        <v>0</v>
      </c>
      <c r="AU47" s="2"/>
      <c r="AV47" s="2"/>
      <c r="AW47" s="2"/>
      <c r="AX47" s="2"/>
      <c r="AY47" s="2"/>
      <c r="AZ47" s="2"/>
      <c r="BA47" s="2"/>
      <c r="BC47" s="2"/>
      <c r="BD47" s="2"/>
      <c r="BE47" s="2"/>
      <c r="BF47" s="2"/>
      <c r="BG47" s="806">
        <f>SUM(AU47:BF47)</f>
        <v>0</v>
      </c>
      <c r="BH47" s="807"/>
      <c r="BI47" s="807"/>
      <c r="BJ47" s="807"/>
      <c r="BK47" s="807"/>
      <c r="BL47" s="807"/>
      <c r="BM47" s="807"/>
      <c r="BN47" s="807"/>
      <c r="BO47" s="807"/>
      <c r="BP47" s="807"/>
      <c r="BQ47" s="807"/>
      <c r="BR47" s="807"/>
      <c r="BS47" s="807"/>
      <c r="BT47" s="806">
        <f>SUM(BH47:BS47)</f>
        <v>0</v>
      </c>
      <c r="BU47">
        <v>50000</v>
      </c>
      <c r="BV47">
        <v>50000</v>
      </c>
      <c r="CG47" s="806">
        <f>SUM(BU47:CF47)</f>
        <v>100000</v>
      </c>
      <c r="CT47" s="806">
        <f>SUM(CH47:CS47)</f>
        <v>0</v>
      </c>
      <c r="DG47" s="806">
        <f t="shared" si="16"/>
        <v>0</v>
      </c>
    </row>
    <row r="48" spans="1:111" x14ac:dyDescent="0.25">
      <c r="A48" s="16"/>
      <c r="B48" s="370" t="s">
        <v>953</v>
      </c>
      <c r="C48" t="s">
        <v>50</v>
      </c>
      <c r="D48" s="370"/>
      <c r="E48" s="827" t="s">
        <v>279</v>
      </c>
      <c r="H48" s="810">
        <v>500000</v>
      </c>
      <c r="I48" s="803">
        <f t="shared" si="25"/>
        <v>0</v>
      </c>
      <c r="J48" s="803">
        <f t="shared" si="38"/>
        <v>0</v>
      </c>
      <c r="K48" s="809">
        <f t="shared" si="26"/>
        <v>500000</v>
      </c>
      <c r="L48" s="810">
        <f t="shared" si="39"/>
        <v>500000</v>
      </c>
      <c r="M48" s="394">
        <f t="shared" si="40"/>
        <v>0</v>
      </c>
      <c r="N48" s="394"/>
      <c r="O48" s="2"/>
      <c r="P48" s="2"/>
      <c r="Q48" s="2"/>
      <c r="R48" s="2"/>
      <c r="S48" s="2"/>
      <c r="T48" s="2"/>
      <c r="U48" s="2"/>
      <c r="V48" s="2"/>
      <c r="W48" s="2"/>
      <c r="X48" s="2"/>
      <c r="Y48" s="2"/>
      <c r="Z48" s="2"/>
      <c r="AA48" s="806">
        <f t="shared" si="41"/>
        <v>0</v>
      </c>
      <c r="AB48" s="2"/>
      <c r="AC48" s="2"/>
      <c r="AD48" s="2"/>
      <c r="AE48" s="2"/>
      <c r="AF48" s="2"/>
      <c r="AG48" s="2"/>
      <c r="AH48" s="2"/>
      <c r="AI48" s="2"/>
      <c r="AJ48" s="2"/>
      <c r="AK48" s="2"/>
      <c r="AL48" s="2"/>
      <c r="AM48" s="2"/>
      <c r="AN48" s="806">
        <f t="shared" si="42"/>
        <v>0</v>
      </c>
      <c r="AO48" s="806">
        <f t="shared" si="43"/>
        <v>0</v>
      </c>
      <c r="AP48" s="806">
        <f t="shared" si="44"/>
        <v>200000</v>
      </c>
      <c r="AQ48" s="806">
        <f t="shared" si="45"/>
        <v>300000</v>
      </c>
      <c r="AR48" s="806">
        <f t="shared" si="46"/>
        <v>0</v>
      </c>
      <c r="AS48" s="806">
        <f t="shared" si="47"/>
        <v>0</v>
      </c>
      <c r="AT48" s="806">
        <f t="shared" si="47"/>
        <v>0</v>
      </c>
      <c r="AU48" s="2"/>
      <c r="AV48" s="2"/>
      <c r="AW48" s="2"/>
      <c r="AX48" s="2"/>
      <c r="AY48" s="2"/>
      <c r="AZ48" s="2"/>
      <c r="BA48" s="2"/>
      <c r="BC48" s="2"/>
      <c r="BD48" s="2"/>
      <c r="BE48" s="2"/>
      <c r="BF48" s="2"/>
      <c r="BG48" s="806">
        <f>SUM(AU48:BF48)</f>
        <v>0</v>
      </c>
      <c r="BH48" s="807"/>
      <c r="BI48" s="807"/>
      <c r="BJ48" s="807"/>
      <c r="BK48" s="807"/>
      <c r="BL48" s="807"/>
      <c r="BM48" s="807"/>
      <c r="BN48" s="807"/>
      <c r="BO48" s="807"/>
      <c r="BP48" s="807"/>
      <c r="BQ48" s="807"/>
      <c r="BR48">
        <v>100000</v>
      </c>
      <c r="BS48">
        <v>100000</v>
      </c>
      <c r="BT48" s="806">
        <f>SUM(BH48:BS48)</f>
        <v>200000</v>
      </c>
      <c r="BU48">
        <v>100000</v>
      </c>
      <c r="BV48">
        <v>100000</v>
      </c>
      <c r="BW48">
        <v>100000</v>
      </c>
      <c r="CG48" s="806">
        <f>SUM(BU48:CF48)</f>
        <v>300000</v>
      </c>
      <c r="CT48" s="806">
        <f>SUM(CH48:CS48)</f>
        <v>0</v>
      </c>
      <c r="DG48" s="806">
        <f t="shared" si="16"/>
        <v>0</v>
      </c>
    </row>
    <row r="49" spans="1:111" x14ac:dyDescent="0.25">
      <c r="A49" s="16"/>
      <c r="B49" s="370" t="s">
        <v>953</v>
      </c>
      <c r="C49" t="s">
        <v>962</v>
      </c>
      <c r="D49" s="370"/>
      <c r="E49" s="827" t="s">
        <v>279</v>
      </c>
      <c r="H49" s="810">
        <v>67200</v>
      </c>
      <c r="I49" s="803">
        <f t="shared" si="25"/>
        <v>0</v>
      </c>
      <c r="J49" s="803">
        <f t="shared" si="38"/>
        <v>0</v>
      </c>
      <c r="K49" s="809">
        <f t="shared" si="26"/>
        <v>67200</v>
      </c>
      <c r="L49" s="810">
        <f t="shared" si="39"/>
        <v>67200</v>
      </c>
      <c r="M49" s="394">
        <f t="shared" si="40"/>
        <v>0</v>
      </c>
      <c r="N49" s="394"/>
      <c r="O49" s="2"/>
      <c r="P49" s="2"/>
      <c r="Q49" s="2"/>
      <c r="R49" s="2"/>
      <c r="S49" s="2"/>
      <c r="T49" s="2"/>
      <c r="U49" s="2"/>
      <c r="V49" s="2"/>
      <c r="W49" s="2"/>
      <c r="X49" s="2"/>
      <c r="Y49" s="2"/>
      <c r="Z49" s="2"/>
      <c r="AA49" s="806">
        <f t="shared" si="41"/>
        <v>0</v>
      </c>
      <c r="AB49" s="2"/>
      <c r="AC49" s="2"/>
      <c r="AD49" s="2"/>
      <c r="AE49" s="2"/>
      <c r="AF49" s="2"/>
      <c r="AG49" s="2"/>
      <c r="AH49" s="2"/>
      <c r="AI49" s="2"/>
      <c r="AJ49" s="2"/>
      <c r="AK49" s="2"/>
      <c r="AL49" s="2"/>
      <c r="AM49" s="2"/>
      <c r="AN49" s="806">
        <f t="shared" si="42"/>
        <v>0</v>
      </c>
      <c r="AO49" s="806">
        <f t="shared" si="43"/>
        <v>0</v>
      </c>
      <c r="AP49" s="806">
        <f t="shared" si="44"/>
        <v>30000</v>
      </c>
      <c r="AQ49" s="806">
        <f t="shared" si="45"/>
        <v>37200</v>
      </c>
      <c r="AR49" s="806">
        <f t="shared" si="46"/>
        <v>0</v>
      </c>
      <c r="AS49" s="806">
        <f t="shared" si="47"/>
        <v>0</v>
      </c>
      <c r="AT49" s="806">
        <f t="shared" si="47"/>
        <v>0</v>
      </c>
      <c r="AU49" s="2"/>
      <c r="AV49" s="2"/>
      <c r="AW49" s="2"/>
      <c r="AX49" s="2"/>
      <c r="AY49" s="2"/>
      <c r="AZ49" s="2"/>
      <c r="BA49" s="2"/>
      <c r="BC49" s="2"/>
      <c r="BD49" s="2"/>
      <c r="BE49" s="2"/>
      <c r="BF49" s="2"/>
      <c r="BG49" s="806">
        <f>SUM(AU49:BF49)</f>
        <v>0</v>
      </c>
      <c r="BH49" s="807"/>
      <c r="BI49" s="807"/>
      <c r="BJ49" s="807"/>
      <c r="BK49" s="807"/>
      <c r="BL49" s="807"/>
      <c r="BM49" s="807"/>
      <c r="BN49" s="807"/>
      <c r="BO49" s="807"/>
      <c r="BP49" s="807"/>
      <c r="BQ49" s="807">
        <v>10000</v>
      </c>
      <c r="BR49" s="807">
        <v>10000</v>
      </c>
      <c r="BS49" s="807">
        <v>10000</v>
      </c>
      <c r="BT49" s="806">
        <f>SUM(BH49:BS49)</f>
        <v>30000</v>
      </c>
      <c r="CC49">
        <v>10000</v>
      </c>
      <c r="CD49">
        <v>10000</v>
      </c>
      <c r="CE49">
        <v>10000</v>
      </c>
      <c r="CF49">
        <v>7200</v>
      </c>
      <c r="CG49" s="806">
        <f>SUM(BU49:CF49)</f>
        <v>37200</v>
      </c>
      <c r="CT49" s="806">
        <f>SUM(CH49:CS49)</f>
        <v>0</v>
      </c>
      <c r="DG49" s="806">
        <f t="shared" si="16"/>
        <v>0</v>
      </c>
    </row>
    <row r="50" spans="1:111" ht="30" x14ac:dyDescent="0.25">
      <c r="A50" s="16"/>
      <c r="B50" s="370" t="s">
        <v>963</v>
      </c>
      <c r="C50" s="822" t="s">
        <v>930</v>
      </c>
      <c r="D50" s="831" t="s">
        <v>929</v>
      </c>
      <c r="E50" s="824" t="s">
        <v>931</v>
      </c>
      <c r="F50" s="811">
        <f>+F25+1</f>
        <v>576</v>
      </c>
      <c r="G50" s="838">
        <v>257800</v>
      </c>
      <c r="H50" s="796"/>
      <c r="I50" s="803">
        <f t="shared" si="25"/>
        <v>0</v>
      </c>
      <c r="J50" s="803">
        <f t="shared" si="38"/>
        <v>0</v>
      </c>
      <c r="K50" s="809">
        <f t="shared" si="26"/>
        <v>0</v>
      </c>
      <c r="L50" s="810">
        <f t="shared" si="39"/>
        <v>257800</v>
      </c>
      <c r="M50" s="394">
        <f t="shared" si="40"/>
        <v>0</v>
      </c>
      <c r="N50" s="394"/>
      <c r="O50" s="2"/>
      <c r="P50" s="2"/>
      <c r="Q50" s="2"/>
      <c r="R50" s="2"/>
      <c r="S50" s="2"/>
      <c r="T50" s="2"/>
      <c r="U50" s="2"/>
      <c r="V50" s="2"/>
      <c r="W50" s="2"/>
      <c r="X50" s="2"/>
      <c r="Y50" s="2"/>
      <c r="Z50" s="2"/>
      <c r="AA50" s="806">
        <f t="shared" si="41"/>
        <v>0</v>
      </c>
      <c r="AB50" s="2"/>
      <c r="AC50" s="2"/>
      <c r="AD50" s="2"/>
      <c r="AE50" s="2"/>
      <c r="AF50" s="2"/>
      <c r="AG50" s="2"/>
      <c r="AH50" s="2"/>
      <c r="AI50" s="2"/>
      <c r="AJ50" s="2"/>
      <c r="AK50" s="2"/>
      <c r="AL50" s="2"/>
      <c r="AM50" s="2"/>
      <c r="AN50" s="806">
        <f t="shared" si="42"/>
        <v>0</v>
      </c>
      <c r="AO50" s="806">
        <f t="shared" si="43"/>
        <v>0</v>
      </c>
      <c r="AP50" s="806">
        <f t="shared" si="44"/>
        <v>90000</v>
      </c>
      <c r="AQ50" s="806">
        <f t="shared" si="45"/>
        <v>167800</v>
      </c>
      <c r="AR50" s="806">
        <f t="shared" si="46"/>
        <v>0</v>
      </c>
      <c r="AS50" s="806">
        <f t="shared" si="47"/>
        <v>0</v>
      </c>
      <c r="AT50" s="806">
        <f t="shared" si="47"/>
        <v>0</v>
      </c>
      <c r="AU50" s="2"/>
      <c r="AV50" s="2"/>
      <c r="AW50" s="2"/>
      <c r="AX50" s="2"/>
      <c r="AY50" s="2"/>
      <c r="AZ50" s="2"/>
      <c r="BA50" s="2"/>
      <c r="BC50" s="2"/>
      <c r="BD50" s="2"/>
      <c r="BE50" s="2"/>
      <c r="BF50" s="2"/>
      <c r="BG50" s="806">
        <f>SUM(AU50:BF50)</f>
        <v>0</v>
      </c>
      <c r="BH50" s="807"/>
      <c r="BI50" s="807"/>
      <c r="BJ50" s="807"/>
      <c r="BK50" s="807"/>
      <c r="BL50" s="807"/>
      <c r="BM50" s="807"/>
      <c r="BN50" s="807"/>
      <c r="BO50" s="807"/>
      <c r="BP50" s="807"/>
      <c r="BQ50" s="807"/>
      <c r="BR50" s="807">
        <v>60000</v>
      </c>
      <c r="BS50" s="807">
        <v>30000</v>
      </c>
      <c r="BT50" s="806">
        <f>SUM(BH50:BS50)</f>
        <v>90000</v>
      </c>
      <c r="BU50" s="2">
        <v>30000</v>
      </c>
      <c r="BV50" s="2">
        <v>30000</v>
      </c>
      <c r="BW50" s="2">
        <v>30000</v>
      </c>
      <c r="BX50" s="2">
        <v>30000</v>
      </c>
      <c r="BY50" s="2">
        <v>30000</v>
      </c>
      <c r="BZ50" s="2">
        <v>17800</v>
      </c>
      <c r="CG50" s="806">
        <f>SUM(BU50:CF50)</f>
        <v>167800</v>
      </c>
      <c r="CT50" s="806">
        <f>SUM(CH50:CS50)</f>
        <v>0</v>
      </c>
      <c r="DG50" s="806">
        <f t="shared" si="16"/>
        <v>0</v>
      </c>
    </row>
    <row r="51" spans="1:111" hidden="1" x14ac:dyDescent="0.25">
      <c r="A51" s="16"/>
      <c r="B51" s="370" t="s">
        <v>963</v>
      </c>
      <c r="C51" t="s">
        <v>964</v>
      </c>
      <c r="D51" s="370" t="s">
        <v>929</v>
      </c>
      <c r="E51" s="827" t="s">
        <v>931</v>
      </c>
      <c r="F51" s="370" t="s">
        <v>965</v>
      </c>
      <c r="G51" s="807">
        <v>9876.6</v>
      </c>
      <c r="H51" s="796">
        <v>9876.6</v>
      </c>
      <c r="I51" s="803">
        <f t="shared" si="25"/>
        <v>0</v>
      </c>
      <c r="J51" s="803">
        <f t="shared" si="38"/>
        <v>0</v>
      </c>
      <c r="K51" s="809">
        <f t="shared" si="26"/>
        <v>9876.6</v>
      </c>
      <c r="L51" s="810">
        <f t="shared" si="39"/>
        <v>0</v>
      </c>
      <c r="M51" s="394"/>
      <c r="N51" s="394"/>
      <c r="O51" s="2"/>
      <c r="P51" s="2"/>
      <c r="Q51" s="2"/>
      <c r="R51" s="2"/>
      <c r="S51" s="2"/>
      <c r="T51" s="2"/>
      <c r="U51" s="2"/>
      <c r="V51" s="2"/>
      <c r="W51" s="2"/>
      <c r="X51" s="2"/>
      <c r="Y51" s="2"/>
      <c r="Z51" s="2"/>
      <c r="AA51" s="828"/>
      <c r="AB51" s="2"/>
      <c r="AC51" s="2"/>
      <c r="AD51" s="2"/>
      <c r="AE51" s="2"/>
      <c r="AF51" s="2"/>
      <c r="AG51" s="2"/>
      <c r="AH51" s="2"/>
      <c r="AI51" s="2"/>
      <c r="AJ51" s="2"/>
      <c r="AK51" s="2"/>
      <c r="AL51" s="2"/>
      <c r="AM51" s="2"/>
      <c r="AN51" s="828"/>
      <c r="AO51" s="828"/>
      <c r="AP51" s="828"/>
      <c r="AQ51" s="828"/>
      <c r="AR51" s="828"/>
      <c r="AS51" s="828"/>
      <c r="AT51" s="828"/>
      <c r="AU51" s="2"/>
      <c r="AV51" s="2"/>
      <c r="AW51" s="2"/>
      <c r="AX51" s="2"/>
      <c r="AY51" s="2"/>
      <c r="AZ51" s="2"/>
      <c r="BA51" s="2"/>
      <c r="BB51" s="2"/>
      <c r="BC51" s="2"/>
      <c r="BD51" s="2"/>
      <c r="BE51" s="2"/>
      <c r="BF51" s="2"/>
      <c r="BG51" s="806">
        <f t="shared" si="34"/>
        <v>0</v>
      </c>
      <c r="BH51" s="807"/>
      <c r="BI51" s="807"/>
      <c r="BJ51" s="807"/>
      <c r="BK51" s="807"/>
      <c r="BL51" s="807"/>
      <c r="BM51" s="807"/>
      <c r="BN51" s="807"/>
      <c r="BO51" s="807"/>
      <c r="BP51" s="807"/>
      <c r="BQ51" s="807"/>
      <c r="BR51" s="807"/>
      <c r="BS51" s="807"/>
      <c r="BT51" s="806">
        <f t="shared" si="35"/>
        <v>0</v>
      </c>
      <c r="CG51" s="806">
        <f t="shared" si="36"/>
        <v>0</v>
      </c>
      <c r="CT51" s="806">
        <f t="shared" si="37"/>
        <v>0</v>
      </c>
      <c r="DG51" s="806">
        <f t="shared" si="16"/>
        <v>0</v>
      </c>
    </row>
    <row r="52" spans="1:111" hidden="1" x14ac:dyDescent="0.25">
      <c r="A52" s="16"/>
      <c r="B52" s="370" t="s">
        <v>963</v>
      </c>
      <c r="C52" t="s">
        <v>966</v>
      </c>
      <c r="D52" s="370" t="s">
        <v>929</v>
      </c>
      <c r="E52" s="827" t="s">
        <v>931</v>
      </c>
      <c r="F52" s="370" t="s">
        <v>965</v>
      </c>
      <c r="G52" s="807">
        <v>9876.6</v>
      </c>
      <c r="H52" s="796">
        <v>9876.6</v>
      </c>
      <c r="I52" s="803">
        <f t="shared" si="25"/>
        <v>0</v>
      </c>
      <c r="J52" s="803">
        <f t="shared" si="38"/>
        <v>0</v>
      </c>
      <c r="K52" s="809">
        <f t="shared" si="26"/>
        <v>9876.6</v>
      </c>
      <c r="L52" s="810">
        <f t="shared" si="39"/>
        <v>0</v>
      </c>
      <c r="M52" s="394"/>
      <c r="N52" s="394"/>
      <c r="O52" s="2"/>
      <c r="P52" s="2"/>
      <c r="Q52" s="2"/>
      <c r="R52" s="2"/>
      <c r="S52" s="2"/>
      <c r="T52" s="2"/>
      <c r="U52" s="2"/>
      <c r="V52" s="2"/>
      <c r="W52" s="2"/>
      <c r="X52" s="2"/>
      <c r="Y52" s="2"/>
      <c r="Z52" s="2"/>
      <c r="AA52" s="828"/>
      <c r="AB52" s="2"/>
      <c r="AC52" s="2"/>
      <c r="AD52" s="2"/>
      <c r="AE52" s="2"/>
      <c r="AF52" s="2"/>
      <c r="AG52" s="2"/>
      <c r="AH52" s="2"/>
      <c r="AI52" s="2"/>
      <c r="AJ52" s="2"/>
      <c r="AK52" s="2"/>
      <c r="AL52" s="2"/>
      <c r="AM52" s="2"/>
      <c r="AN52" s="828"/>
      <c r="AO52" s="828"/>
      <c r="AP52" s="828"/>
      <c r="AQ52" s="828"/>
      <c r="AR52" s="828"/>
      <c r="AS52" s="828"/>
      <c r="AT52" s="828"/>
      <c r="AU52" s="2"/>
      <c r="AV52" s="2"/>
      <c r="AW52" s="2"/>
      <c r="AX52" s="2"/>
      <c r="AY52" s="2"/>
      <c r="AZ52" s="2"/>
      <c r="BA52" s="2"/>
      <c r="BB52" s="2"/>
      <c r="BC52" s="2"/>
      <c r="BD52" s="2"/>
      <c r="BE52" s="2"/>
      <c r="BF52" s="2"/>
      <c r="BG52" s="806">
        <f t="shared" si="34"/>
        <v>0</v>
      </c>
      <c r="BH52" s="807"/>
      <c r="BI52" s="807"/>
      <c r="BJ52" s="807"/>
      <c r="BK52" s="807"/>
      <c r="BL52" s="807"/>
      <c r="BM52" s="807"/>
      <c r="BN52" s="807"/>
      <c r="BO52" s="807"/>
      <c r="BP52" s="807"/>
      <c r="BQ52" s="807"/>
      <c r="BR52" s="807"/>
      <c r="BS52" s="807"/>
      <c r="BT52" s="806">
        <f t="shared" si="35"/>
        <v>0</v>
      </c>
      <c r="CG52" s="806">
        <f t="shared" si="36"/>
        <v>0</v>
      </c>
      <c r="CT52" s="806">
        <f t="shared" si="37"/>
        <v>0</v>
      </c>
      <c r="DG52" s="806">
        <f t="shared" si="16"/>
        <v>0</v>
      </c>
    </row>
    <row r="53" spans="1:111" hidden="1" x14ac:dyDescent="0.25">
      <c r="A53" s="16"/>
      <c r="B53" s="370" t="s">
        <v>963</v>
      </c>
      <c r="C53" t="s">
        <v>62</v>
      </c>
      <c r="D53" s="370" t="s">
        <v>929</v>
      </c>
      <c r="E53" s="827" t="s">
        <v>931</v>
      </c>
      <c r="F53" s="370" t="s">
        <v>965</v>
      </c>
      <c r="G53" s="334">
        <v>9876.6</v>
      </c>
      <c r="H53" s="802">
        <v>9876.6</v>
      </c>
      <c r="I53" s="803">
        <f t="shared" si="25"/>
        <v>0</v>
      </c>
      <c r="J53" s="803">
        <f t="shared" si="38"/>
        <v>0</v>
      </c>
      <c r="K53" s="809">
        <f t="shared" si="26"/>
        <v>9876.6</v>
      </c>
      <c r="L53" s="810">
        <f t="shared" si="39"/>
        <v>0</v>
      </c>
      <c r="M53" s="394"/>
      <c r="N53" s="394"/>
      <c r="O53" s="2"/>
      <c r="P53" s="2"/>
      <c r="Q53" s="2"/>
      <c r="R53" s="2"/>
      <c r="S53" s="2"/>
      <c r="T53" s="2"/>
      <c r="U53" s="2"/>
      <c r="V53" s="2"/>
      <c r="W53" s="2"/>
      <c r="X53" s="2"/>
      <c r="Y53" s="2"/>
      <c r="Z53" s="2"/>
      <c r="AA53" s="828"/>
      <c r="AB53" s="2"/>
      <c r="AC53" s="2"/>
      <c r="AD53" s="2"/>
      <c r="AE53" s="2"/>
      <c r="AF53" s="2"/>
      <c r="AG53" s="2"/>
      <c r="AH53" s="2"/>
      <c r="AI53" s="2"/>
      <c r="AJ53" s="2"/>
      <c r="AK53" s="2"/>
      <c r="AL53" s="2"/>
      <c r="AM53" s="2"/>
      <c r="AN53" s="828"/>
      <c r="AO53" s="828"/>
      <c r="AP53" s="828"/>
      <c r="AQ53" s="828"/>
      <c r="AR53" s="828"/>
      <c r="AS53" s="828"/>
      <c r="AT53" s="828"/>
      <c r="AU53" s="2"/>
      <c r="AV53" s="2"/>
      <c r="AW53" s="2"/>
      <c r="AX53" s="2"/>
      <c r="AY53" s="2"/>
      <c r="AZ53" s="2"/>
      <c r="BA53" s="2"/>
      <c r="BB53" s="2"/>
      <c r="BC53" s="2"/>
      <c r="BD53" s="2"/>
      <c r="BE53" s="2"/>
      <c r="BF53" s="2"/>
      <c r="BG53" s="806">
        <f t="shared" si="34"/>
        <v>0</v>
      </c>
      <c r="BH53" s="807"/>
      <c r="BI53" s="807"/>
      <c r="BJ53" s="807"/>
      <c r="BK53" s="807"/>
      <c r="BL53" s="807"/>
      <c r="BM53" s="807"/>
      <c r="BN53" s="807"/>
      <c r="BO53" s="807"/>
      <c r="BP53" s="807"/>
      <c r="BQ53" s="807"/>
      <c r="BR53" s="807"/>
      <c r="BS53" s="807"/>
      <c r="BT53" s="806">
        <f t="shared" si="35"/>
        <v>0</v>
      </c>
      <c r="CG53" s="806">
        <f t="shared" si="36"/>
        <v>0</v>
      </c>
      <c r="CT53" s="806">
        <f t="shared" si="37"/>
        <v>0</v>
      </c>
      <c r="DG53" s="806">
        <f t="shared" si="16"/>
        <v>0</v>
      </c>
    </row>
    <row r="54" spans="1:111" hidden="1" x14ac:dyDescent="0.25">
      <c r="A54" s="16"/>
      <c r="B54" s="370" t="s">
        <v>963</v>
      </c>
      <c r="C54" s="85" t="s">
        <v>967</v>
      </c>
      <c r="D54" s="370" t="s">
        <v>929</v>
      </c>
      <c r="E54" s="827" t="s">
        <v>931</v>
      </c>
      <c r="F54" s="370" t="s">
        <v>965</v>
      </c>
      <c r="G54" s="807">
        <v>11087.63</v>
      </c>
      <c r="H54" s="796">
        <v>11087.63</v>
      </c>
      <c r="I54" s="803">
        <f t="shared" si="25"/>
        <v>0</v>
      </c>
      <c r="J54" s="803">
        <f t="shared" si="38"/>
        <v>0</v>
      </c>
      <c r="K54" s="809">
        <f t="shared" si="26"/>
        <v>11087.63</v>
      </c>
      <c r="L54" s="810">
        <f t="shared" si="39"/>
        <v>0</v>
      </c>
      <c r="M54" s="394"/>
      <c r="N54" s="394"/>
      <c r="O54" s="2"/>
      <c r="P54" s="2"/>
      <c r="Q54" s="2"/>
      <c r="R54" s="2"/>
      <c r="S54" s="2"/>
      <c r="T54" s="2"/>
      <c r="U54" s="2"/>
      <c r="V54" s="2"/>
      <c r="W54" s="2"/>
      <c r="X54" s="2"/>
      <c r="Y54" s="2"/>
      <c r="Z54" s="2"/>
      <c r="AA54" s="828"/>
      <c r="AB54" s="2"/>
      <c r="AC54" s="2"/>
      <c r="AD54" s="2"/>
      <c r="AE54" s="2"/>
      <c r="AF54" s="2"/>
      <c r="AG54" s="2"/>
      <c r="AH54" s="2"/>
      <c r="AI54" s="2"/>
      <c r="AJ54" s="2"/>
      <c r="AK54" s="2"/>
      <c r="AL54" s="2"/>
      <c r="AM54" s="2"/>
      <c r="AN54" s="828"/>
      <c r="AO54" s="828"/>
      <c r="AP54" s="828"/>
      <c r="AQ54" s="828"/>
      <c r="AR54" s="828"/>
      <c r="AS54" s="828"/>
      <c r="AT54" s="828"/>
      <c r="AU54" s="2"/>
      <c r="AV54" s="2"/>
      <c r="AW54" s="2"/>
      <c r="AX54" s="2"/>
      <c r="AY54" s="2"/>
      <c r="AZ54" s="2"/>
      <c r="BA54" s="2"/>
      <c r="BB54" s="2"/>
      <c r="BC54" s="2"/>
      <c r="BD54" s="2"/>
      <c r="BE54" s="2"/>
      <c r="BF54" s="2"/>
      <c r="BG54" s="806">
        <f t="shared" si="34"/>
        <v>0</v>
      </c>
      <c r="BH54" s="807"/>
      <c r="BI54" s="807"/>
      <c r="BJ54" s="807"/>
      <c r="BK54" s="807"/>
      <c r="BL54" s="807"/>
      <c r="BM54" s="807"/>
      <c r="BN54" s="807"/>
      <c r="BO54" s="807"/>
      <c r="BP54" s="807"/>
      <c r="BQ54" s="807"/>
      <c r="BR54" s="807"/>
      <c r="BS54" s="807"/>
      <c r="BT54" s="806">
        <f t="shared" si="35"/>
        <v>0</v>
      </c>
      <c r="CG54" s="806">
        <f t="shared" si="36"/>
        <v>0</v>
      </c>
      <c r="CT54" s="806">
        <f t="shared" si="37"/>
        <v>0</v>
      </c>
      <c r="DG54" s="806">
        <f t="shared" si="16"/>
        <v>0</v>
      </c>
    </row>
    <row r="55" spans="1:111" hidden="1" x14ac:dyDescent="0.25">
      <c r="A55" s="16"/>
      <c r="B55" s="370" t="s">
        <v>963</v>
      </c>
      <c r="C55" t="s">
        <v>968</v>
      </c>
      <c r="D55" s="370" t="s">
        <v>929</v>
      </c>
      <c r="E55" s="827" t="s">
        <v>931</v>
      </c>
      <c r="F55" s="370" t="s">
        <v>965</v>
      </c>
      <c r="G55" s="334">
        <f>30840.83-G79</f>
        <v>20964.230000000003</v>
      </c>
      <c r="H55" s="802">
        <f>30840.83-H79</f>
        <v>20964.230000000003</v>
      </c>
      <c r="I55" s="803">
        <f t="shared" si="25"/>
        <v>0</v>
      </c>
      <c r="J55" s="803">
        <f t="shared" si="38"/>
        <v>0</v>
      </c>
      <c r="K55" s="809">
        <f t="shared" si="26"/>
        <v>20964.230000000003</v>
      </c>
      <c r="L55" s="810">
        <f t="shared" si="39"/>
        <v>0</v>
      </c>
      <c r="M55" s="394"/>
      <c r="N55" s="394"/>
      <c r="O55" s="2"/>
      <c r="P55" s="2"/>
      <c r="Q55" s="2"/>
      <c r="R55" s="2"/>
      <c r="S55" s="2"/>
      <c r="T55" s="2"/>
      <c r="U55" s="2"/>
      <c r="V55" s="2"/>
      <c r="W55" s="2"/>
      <c r="X55" s="2"/>
      <c r="Y55" s="2"/>
      <c r="Z55" s="2"/>
      <c r="AA55" s="828"/>
      <c r="AB55" s="2"/>
      <c r="AC55" s="2"/>
      <c r="AD55" s="2"/>
      <c r="AE55" s="2"/>
      <c r="AF55" s="2"/>
      <c r="AG55" s="2"/>
      <c r="AH55" s="2"/>
      <c r="AI55" s="2"/>
      <c r="AJ55" s="2"/>
      <c r="AK55" s="2"/>
      <c r="AL55" s="2"/>
      <c r="AM55" s="2"/>
      <c r="AN55" s="828"/>
      <c r="AO55" s="828"/>
      <c r="AP55" s="828"/>
      <c r="AQ55" s="828"/>
      <c r="AR55" s="828"/>
      <c r="AS55" s="828"/>
      <c r="AT55" s="828"/>
      <c r="AU55" s="2"/>
      <c r="AV55" s="2"/>
      <c r="AW55" s="2"/>
      <c r="AX55" s="2"/>
      <c r="AY55" s="2"/>
      <c r="AZ55" s="2"/>
      <c r="BA55" s="2"/>
      <c r="BB55" s="2"/>
      <c r="BC55" s="2"/>
      <c r="BD55" s="2"/>
      <c r="BE55" s="2"/>
      <c r="BF55" s="2"/>
      <c r="BG55" s="806">
        <f t="shared" si="34"/>
        <v>0</v>
      </c>
      <c r="BH55" s="807"/>
      <c r="BI55" s="807"/>
      <c r="BJ55" s="807"/>
      <c r="BK55" s="807"/>
      <c r="BL55" s="807"/>
      <c r="BM55" s="807"/>
      <c r="BN55" s="807"/>
      <c r="BO55" s="807"/>
      <c r="BP55" s="807"/>
      <c r="BQ55" s="807"/>
      <c r="BR55" s="807"/>
      <c r="BS55" s="807"/>
      <c r="BT55" s="806">
        <f t="shared" si="35"/>
        <v>0</v>
      </c>
      <c r="CG55" s="806">
        <f t="shared" si="36"/>
        <v>0</v>
      </c>
      <c r="CT55" s="806">
        <f t="shared" si="37"/>
        <v>0</v>
      </c>
      <c r="DG55" s="806">
        <f t="shared" si="16"/>
        <v>0</v>
      </c>
    </row>
    <row r="56" spans="1:111" hidden="1" x14ac:dyDescent="0.25">
      <c r="A56" s="16"/>
      <c r="B56" s="370" t="s">
        <v>963</v>
      </c>
      <c r="C56" t="s">
        <v>808</v>
      </c>
      <c r="D56" s="370" t="s">
        <v>929</v>
      </c>
      <c r="E56" s="827" t="s">
        <v>931</v>
      </c>
      <c r="F56" s="370" t="s">
        <v>965</v>
      </c>
      <c r="G56" s="386">
        <f>32236.96-15000-G80</f>
        <v>11087.63</v>
      </c>
      <c r="H56" s="810">
        <f>32236.96-15000-H80</f>
        <v>11087.63</v>
      </c>
      <c r="I56" s="803">
        <f t="shared" si="25"/>
        <v>0</v>
      </c>
      <c r="J56" s="803">
        <f t="shared" si="38"/>
        <v>0</v>
      </c>
      <c r="K56" s="809">
        <f t="shared" si="26"/>
        <v>11087.63</v>
      </c>
      <c r="L56" s="810">
        <f t="shared" si="39"/>
        <v>0</v>
      </c>
      <c r="M56" s="394"/>
      <c r="N56" s="394"/>
      <c r="O56" s="2"/>
      <c r="P56" s="2"/>
      <c r="Q56" s="2"/>
      <c r="R56" s="2"/>
      <c r="S56" s="2"/>
      <c r="T56" s="2"/>
      <c r="U56" s="2"/>
      <c r="V56" s="2"/>
      <c r="W56" s="2"/>
      <c r="X56" s="2"/>
      <c r="Y56" s="2"/>
      <c r="Z56" s="2"/>
      <c r="AA56" s="828"/>
      <c r="AB56" s="2"/>
      <c r="AC56" s="2"/>
      <c r="AD56" s="2"/>
      <c r="AE56" s="2"/>
      <c r="AF56" s="2"/>
      <c r="AG56" s="2"/>
      <c r="AH56" s="2"/>
      <c r="AI56" s="2"/>
      <c r="AJ56" s="2"/>
      <c r="AK56" s="2"/>
      <c r="AL56" s="2"/>
      <c r="AM56" s="2"/>
      <c r="AN56" s="828"/>
      <c r="AO56" s="828"/>
      <c r="AP56" s="828"/>
      <c r="AQ56" s="828"/>
      <c r="AR56" s="828"/>
      <c r="AS56" s="828"/>
      <c r="AT56" s="828"/>
      <c r="AU56" s="2"/>
      <c r="AV56" s="2"/>
      <c r="AW56" s="2"/>
      <c r="AX56" s="2"/>
      <c r="AY56" s="2"/>
      <c r="AZ56" s="2"/>
      <c r="BA56" s="2"/>
      <c r="BB56" s="2"/>
      <c r="BC56" s="2"/>
      <c r="BD56" s="2"/>
      <c r="BE56" s="2"/>
      <c r="BF56" s="2"/>
      <c r="BG56" s="806">
        <f t="shared" si="34"/>
        <v>0</v>
      </c>
      <c r="BH56" s="807"/>
      <c r="BI56" s="807"/>
      <c r="BJ56" s="807"/>
      <c r="BK56" s="807"/>
      <c r="BL56" s="807"/>
      <c r="BM56" s="807"/>
      <c r="BN56" s="807"/>
      <c r="BO56" s="807"/>
      <c r="BP56" s="807"/>
      <c r="BQ56" s="807"/>
      <c r="BR56" s="807"/>
      <c r="BS56" s="807"/>
      <c r="BT56" s="806">
        <f t="shared" si="35"/>
        <v>0</v>
      </c>
      <c r="CG56" s="806">
        <f t="shared" si="36"/>
        <v>0</v>
      </c>
      <c r="CT56" s="806">
        <f t="shared" si="37"/>
        <v>0</v>
      </c>
      <c r="DG56" s="806">
        <f t="shared" si="16"/>
        <v>0</v>
      </c>
    </row>
    <row r="57" spans="1:111" hidden="1" x14ac:dyDescent="0.25">
      <c r="A57" s="16"/>
      <c r="B57" s="370" t="s">
        <v>963</v>
      </c>
      <c r="C57" t="s">
        <v>969</v>
      </c>
      <c r="D57" s="370" t="s">
        <v>929</v>
      </c>
      <c r="E57" s="827" t="s">
        <v>931</v>
      </c>
      <c r="F57" s="370" t="s">
        <v>965</v>
      </c>
      <c r="G57" s="807">
        <v>20964.23</v>
      </c>
      <c r="H57" s="796">
        <v>20964.23</v>
      </c>
      <c r="I57" s="803">
        <f t="shared" si="25"/>
        <v>0</v>
      </c>
      <c r="J57" s="803">
        <f t="shared" si="38"/>
        <v>0</v>
      </c>
      <c r="K57" s="809">
        <f t="shared" si="26"/>
        <v>20964.23</v>
      </c>
      <c r="L57" s="810">
        <f t="shared" si="39"/>
        <v>0</v>
      </c>
      <c r="M57" s="394"/>
      <c r="N57" s="394"/>
      <c r="O57" s="2"/>
      <c r="P57" s="2"/>
      <c r="Q57" s="2"/>
      <c r="R57" s="2"/>
      <c r="S57" s="2"/>
      <c r="T57" s="2"/>
      <c r="U57" s="2"/>
      <c r="V57" s="2"/>
      <c r="W57" s="2"/>
      <c r="X57" s="2"/>
      <c r="Y57" s="2"/>
      <c r="Z57" s="2"/>
      <c r="AA57" s="828"/>
      <c r="AB57" s="2"/>
      <c r="AC57" s="2"/>
      <c r="AD57" s="2"/>
      <c r="AE57" s="2"/>
      <c r="AF57" s="2"/>
      <c r="AG57" s="2"/>
      <c r="AH57" s="2"/>
      <c r="AI57" s="2"/>
      <c r="AJ57" s="2"/>
      <c r="AK57" s="2"/>
      <c r="AL57" s="2"/>
      <c r="AM57" s="2"/>
      <c r="AN57" s="828"/>
      <c r="AO57" s="828"/>
      <c r="AP57" s="828"/>
      <c r="AQ57" s="828"/>
      <c r="AR57" s="828"/>
      <c r="AS57" s="828"/>
      <c r="AT57" s="828"/>
      <c r="AU57" s="2"/>
      <c r="AV57" s="2"/>
      <c r="AW57" s="2"/>
      <c r="AX57" s="2"/>
      <c r="AY57" s="2"/>
      <c r="AZ57" s="2"/>
      <c r="BA57" s="2"/>
      <c r="BB57" s="2"/>
      <c r="BC57" s="2"/>
      <c r="BD57" s="2"/>
      <c r="BE57" s="2"/>
      <c r="BF57" s="2"/>
      <c r="BG57" s="806">
        <f t="shared" si="34"/>
        <v>0</v>
      </c>
      <c r="BH57" s="807"/>
      <c r="BI57" s="807"/>
      <c r="BJ57" s="807"/>
      <c r="BK57" s="807"/>
      <c r="BL57" s="807"/>
      <c r="BM57" s="807"/>
      <c r="BN57" s="807"/>
      <c r="BO57" s="807"/>
      <c r="BP57" s="807"/>
      <c r="BQ57" s="807"/>
      <c r="BR57" s="807"/>
      <c r="BS57" s="807"/>
      <c r="BT57" s="806">
        <f t="shared" si="35"/>
        <v>0</v>
      </c>
      <c r="CG57" s="806">
        <f t="shared" si="36"/>
        <v>0</v>
      </c>
      <c r="CT57" s="806">
        <f t="shared" si="37"/>
        <v>0</v>
      </c>
      <c r="DG57" s="806">
        <f t="shared" si="16"/>
        <v>0</v>
      </c>
    </row>
    <row r="58" spans="1:111" hidden="1" x14ac:dyDescent="0.25">
      <c r="A58" s="16"/>
      <c r="B58" s="370" t="s">
        <v>963</v>
      </c>
      <c r="C58" t="s">
        <v>60</v>
      </c>
      <c r="D58" s="370" t="s">
        <v>929</v>
      </c>
      <c r="E58" s="827" t="s">
        <v>931</v>
      </c>
      <c r="F58" s="370" t="s">
        <v>965</v>
      </c>
      <c r="G58" s="405">
        <f>25363.21-G37-G82</f>
        <v>11087.63</v>
      </c>
      <c r="H58" s="810">
        <f>25363.21-H37-H82</f>
        <v>11087.63</v>
      </c>
      <c r="I58" s="803">
        <f t="shared" si="25"/>
        <v>0</v>
      </c>
      <c r="J58" s="803">
        <f t="shared" si="38"/>
        <v>0</v>
      </c>
      <c r="K58" s="809">
        <f t="shared" si="26"/>
        <v>11087.63</v>
      </c>
      <c r="L58" s="810">
        <f t="shared" si="39"/>
        <v>0</v>
      </c>
      <c r="M58" s="394"/>
      <c r="N58" s="394"/>
      <c r="O58" s="2"/>
      <c r="P58" s="2"/>
      <c r="Q58" s="2"/>
      <c r="R58" s="2"/>
      <c r="S58" s="2"/>
      <c r="T58" s="2"/>
      <c r="U58" s="2"/>
      <c r="V58" s="2"/>
      <c r="W58" s="2"/>
      <c r="X58" s="2"/>
      <c r="Y58" s="2"/>
      <c r="Z58" s="2"/>
      <c r="AA58" s="828"/>
      <c r="AB58" s="2"/>
      <c r="AC58" s="2"/>
      <c r="AD58" s="2"/>
      <c r="AE58" s="2"/>
      <c r="AF58" s="2"/>
      <c r="AG58" s="2"/>
      <c r="AH58" s="2"/>
      <c r="AI58" s="2"/>
      <c r="AJ58" s="2"/>
      <c r="AK58" s="2"/>
      <c r="AL58" s="2"/>
      <c r="AM58" s="2"/>
      <c r="AN58" s="828"/>
      <c r="AO58" s="828"/>
      <c r="AP58" s="828"/>
      <c r="AQ58" s="828"/>
      <c r="AR58" s="828"/>
      <c r="AS58" s="828"/>
      <c r="AT58" s="828"/>
      <c r="AU58" s="2"/>
      <c r="AV58" s="2"/>
      <c r="AW58" s="2"/>
      <c r="AX58" s="2"/>
      <c r="AY58" s="2"/>
      <c r="AZ58" s="2"/>
      <c r="BA58" s="2"/>
      <c r="BB58" s="2"/>
      <c r="BC58" s="2"/>
      <c r="BD58" s="2"/>
      <c r="BE58" s="2"/>
      <c r="BF58" s="2"/>
      <c r="BG58" s="806">
        <f t="shared" si="34"/>
        <v>0</v>
      </c>
      <c r="BH58" s="807"/>
      <c r="BI58" s="807"/>
      <c r="BJ58" s="807"/>
      <c r="BK58" s="807"/>
      <c r="BL58" s="807"/>
      <c r="BM58" s="807"/>
      <c r="BN58" s="807"/>
      <c r="BO58" s="807"/>
      <c r="BP58" s="807"/>
      <c r="BQ58" s="807"/>
      <c r="BR58" s="807"/>
      <c r="BS58" s="807"/>
      <c r="BT58" s="806">
        <f t="shared" si="35"/>
        <v>0</v>
      </c>
      <c r="CG58" s="806">
        <f t="shared" si="36"/>
        <v>0</v>
      </c>
      <c r="CT58" s="806">
        <f t="shared" si="37"/>
        <v>0</v>
      </c>
      <c r="DG58" s="806">
        <f t="shared" si="16"/>
        <v>0</v>
      </c>
    </row>
    <row r="59" spans="1:111" hidden="1" x14ac:dyDescent="0.25">
      <c r="A59" s="16"/>
      <c r="B59" s="370" t="s">
        <v>963</v>
      </c>
      <c r="C59" t="s">
        <v>970</v>
      </c>
      <c r="D59" s="370" t="s">
        <v>929</v>
      </c>
      <c r="E59" s="827" t="s">
        <v>931</v>
      </c>
      <c r="F59" s="370" t="s">
        <v>965</v>
      </c>
      <c r="H59" s="810">
        <v>13000</v>
      </c>
      <c r="I59" s="803">
        <f t="shared" si="25"/>
        <v>0</v>
      </c>
      <c r="J59" s="803">
        <f t="shared" si="38"/>
        <v>0</v>
      </c>
      <c r="K59" s="809">
        <f t="shared" si="26"/>
        <v>13000</v>
      </c>
      <c r="L59" s="810">
        <f t="shared" si="39"/>
        <v>0</v>
      </c>
      <c r="M59" s="394"/>
      <c r="N59" s="394"/>
      <c r="O59" s="2"/>
      <c r="P59" s="2"/>
      <c r="Q59" s="2"/>
      <c r="R59" s="2"/>
      <c r="S59" s="2"/>
      <c r="T59" s="2"/>
      <c r="U59" s="2"/>
      <c r="V59" s="2"/>
      <c r="W59" s="2"/>
      <c r="X59" s="2"/>
      <c r="Y59" s="2"/>
      <c r="Z59" s="2"/>
      <c r="AA59" s="828"/>
      <c r="AB59" s="2"/>
      <c r="AC59" s="2"/>
      <c r="AD59" s="2"/>
      <c r="AE59" s="2"/>
      <c r="AF59" s="2"/>
      <c r="AG59" s="2"/>
      <c r="AH59" s="2"/>
      <c r="AI59" s="2"/>
      <c r="AJ59" s="2"/>
      <c r="AK59" s="2"/>
      <c r="AL59" s="2"/>
      <c r="AM59" s="2"/>
      <c r="AN59" s="828"/>
      <c r="AO59" s="828"/>
      <c r="AP59" s="828"/>
      <c r="AQ59" s="828"/>
      <c r="AR59" s="828"/>
      <c r="AS59" s="828"/>
      <c r="AT59" s="828"/>
      <c r="AU59" s="2"/>
      <c r="AV59" s="2"/>
      <c r="AW59" s="2"/>
      <c r="AX59" s="2"/>
      <c r="AY59" s="2"/>
      <c r="AZ59" s="2"/>
      <c r="BA59" s="2"/>
      <c r="BB59" s="2"/>
      <c r="BC59" s="2"/>
      <c r="BD59" s="2"/>
      <c r="BE59" s="2"/>
      <c r="BF59" s="2"/>
      <c r="BG59" s="806">
        <f t="shared" si="34"/>
        <v>0</v>
      </c>
      <c r="BH59" s="807"/>
      <c r="BI59" s="807"/>
      <c r="BJ59" s="807"/>
      <c r="BK59" s="807"/>
      <c r="BL59" s="807"/>
      <c r="BM59" s="807"/>
      <c r="BN59" s="807"/>
      <c r="BO59" s="807"/>
      <c r="BP59" s="807"/>
      <c r="BQ59" s="807"/>
      <c r="BR59" s="807"/>
      <c r="BS59" s="807"/>
      <c r="BT59" s="806">
        <f t="shared" si="35"/>
        <v>0</v>
      </c>
      <c r="CG59" s="806">
        <f t="shared" si="36"/>
        <v>0</v>
      </c>
      <c r="CT59" s="806">
        <f t="shared" si="37"/>
        <v>0</v>
      </c>
      <c r="DG59" s="806">
        <f t="shared" si="16"/>
        <v>0</v>
      </c>
    </row>
    <row r="60" spans="1:111" hidden="1" x14ac:dyDescent="0.25">
      <c r="A60" s="16"/>
      <c r="B60" s="370" t="s">
        <v>963</v>
      </c>
      <c r="C60" t="s">
        <v>828</v>
      </c>
      <c r="D60" s="370" t="s">
        <v>929</v>
      </c>
      <c r="E60" s="827" t="s">
        <v>931</v>
      </c>
      <c r="F60" s="370" t="s">
        <v>965</v>
      </c>
      <c r="G60" s="386">
        <f>17236.96-G83</f>
        <v>11087.63</v>
      </c>
      <c r="H60" s="810">
        <f>17236.96-H83</f>
        <v>11087.63</v>
      </c>
      <c r="I60" s="803">
        <f t="shared" si="25"/>
        <v>0</v>
      </c>
      <c r="J60" s="803">
        <f t="shared" si="38"/>
        <v>0</v>
      </c>
      <c r="K60" s="809">
        <f t="shared" si="26"/>
        <v>11087.63</v>
      </c>
      <c r="L60" s="810">
        <f t="shared" si="39"/>
        <v>0</v>
      </c>
      <c r="M60" s="394"/>
      <c r="N60" s="394"/>
      <c r="O60" s="2"/>
      <c r="P60" s="2"/>
      <c r="Q60" s="2"/>
      <c r="R60" s="2"/>
      <c r="S60" s="2"/>
      <c r="T60" s="2"/>
      <c r="U60" s="2"/>
      <c r="V60" s="2"/>
      <c r="W60" s="2"/>
      <c r="X60" s="2"/>
      <c r="Y60" s="2"/>
      <c r="Z60" s="2"/>
      <c r="AA60" s="828"/>
      <c r="AB60" s="2"/>
      <c r="AC60" s="2"/>
      <c r="AD60" s="2"/>
      <c r="AE60" s="2"/>
      <c r="AF60" s="2"/>
      <c r="AG60" s="2"/>
      <c r="AH60" s="2"/>
      <c r="AI60" s="2"/>
      <c r="AJ60" s="2"/>
      <c r="AK60" s="2"/>
      <c r="AL60" s="2"/>
      <c r="AM60" s="2"/>
      <c r="AN60" s="828"/>
      <c r="AO60" s="828"/>
      <c r="AP60" s="828"/>
      <c r="AQ60" s="828"/>
      <c r="AR60" s="828"/>
      <c r="AS60" s="828"/>
      <c r="AT60" s="828"/>
      <c r="AU60" s="2"/>
      <c r="AV60" s="2"/>
      <c r="AW60" s="2"/>
      <c r="AX60" s="2"/>
      <c r="AY60" s="2"/>
      <c r="AZ60" s="2"/>
      <c r="BA60" s="2"/>
      <c r="BB60" s="2"/>
      <c r="BC60" s="2"/>
      <c r="BD60" s="2"/>
      <c r="BE60" s="2"/>
      <c r="BF60" s="2"/>
      <c r="BG60" s="806">
        <f t="shared" si="34"/>
        <v>0</v>
      </c>
      <c r="BH60" s="807"/>
      <c r="BI60" s="807"/>
      <c r="BJ60" s="807"/>
      <c r="BK60" s="807"/>
      <c r="BL60" s="807"/>
      <c r="BM60" s="807"/>
      <c r="BN60" s="807"/>
      <c r="BO60" s="807"/>
      <c r="BP60" s="807"/>
      <c r="BQ60" s="807"/>
      <c r="BR60" s="807"/>
      <c r="BS60" s="807"/>
      <c r="BT60" s="806">
        <f t="shared" si="35"/>
        <v>0</v>
      </c>
      <c r="CG60" s="806">
        <f t="shared" si="36"/>
        <v>0</v>
      </c>
      <c r="CT60" s="806">
        <f t="shared" si="37"/>
        <v>0</v>
      </c>
      <c r="DG60" s="806">
        <f t="shared" si="16"/>
        <v>0</v>
      </c>
    </row>
    <row r="61" spans="1:111" hidden="1" x14ac:dyDescent="0.25">
      <c r="A61" s="16"/>
      <c r="B61" s="370" t="s">
        <v>963</v>
      </c>
      <c r="C61" t="s">
        <v>971</v>
      </c>
      <c r="D61" s="370" t="s">
        <v>929</v>
      </c>
      <c r="E61" s="827" t="s">
        <v>931</v>
      </c>
      <c r="F61" s="370" t="s">
        <v>965</v>
      </c>
      <c r="G61" s="405">
        <f>37640.9-5000-G36-G84</f>
        <v>14814.300000000001</v>
      </c>
      <c r="H61" s="810">
        <f>37640.9-5000-H36-H84</f>
        <v>14814.300000000001</v>
      </c>
      <c r="I61" s="803">
        <f t="shared" si="25"/>
        <v>0</v>
      </c>
      <c r="J61" s="803">
        <f t="shared" si="38"/>
        <v>0</v>
      </c>
      <c r="K61" s="809">
        <f t="shared" si="26"/>
        <v>14814.300000000001</v>
      </c>
      <c r="L61" s="810">
        <f t="shared" si="39"/>
        <v>0</v>
      </c>
      <c r="M61" s="394"/>
      <c r="N61" s="394"/>
      <c r="O61" s="2"/>
      <c r="P61" s="2"/>
      <c r="Q61" s="2"/>
      <c r="R61" s="2"/>
      <c r="S61" s="2"/>
      <c r="T61" s="2"/>
      <c r="U61" s="2"/>
      <c r="V61" s="2"/>
      <c r="W61" s="2"/>
      <c r="X61" s="2"/>
      <c r="Y61" s="2"/>
      <c r="Z61" s="2"/>
      <c r="AA61" s="828"/>
      <c r="AB61" s="2"/>
      <c r="AC61" s="2"/>
      <c r="AD61" s="2"/>
      <c r="AE61" s="2"/>
      <c r="AF61" s="2"/>
      <c r="AG61" s="2"/>
      <c r="AH61" s="2"/>
      <c r="AI61" s="2"/>
      <c r="AJ61" s="2"/>
      <c r="AK61" s="2"/>
      <c r="AL61" s="2"/>
      <c r="AM61" s="2"/>
      <c r="AN61" s="828"/>
      <c r="AO61" s="828"/>
      <c r="AP61" s="828"/>
      <c r="AQ61" s="828"/>
      <c r="AR61" s="828"/>
      <c r="AS61" s="828"/>
      <c r="AT61" s="828"/>
      <c r="AU61" s="2"/>
      <c r="AV61" s="2"/>
      <c r="AW61" s="2"/>
      <c r="AX61" s="2"/>
      <c r="AY61" s="2"/>
      <c r="AZ61" s="2"/>
      <c r="BA61" s="2"/>
      <c r="BB61" s="2"/>
      <c r="BC61" s="2"/>
      <c r="BD61" s="2"/>
      <c r="BE61" s="2"/>
      <c r="BF61" s="2"/>
      <c r="BG61" s="806">
        <f t="shared" si="34"/>
        <v>0</v>
      </c>
      <c r="BH61" s="807"/>
      <c r="BI61" s="807"/>
      <c r="BJ61" s="807"/>
      <c r="BK61" s="807"/>
      <c r="BL61" s="807"/>
      <c r="BM61" s="807"/>
      <c r="BN61" s="807"/>
      <c r="BO61" s="807"/>
      <c r="BP61" s="807"/>
      <c r="BQ61" s="807"/>
      <c r="BR61" s="807"/>
      <c r="BS61" s="807"/>
      <c r="BT61" s="806">
        <f t="shared" si="35"/>
        <v>0</v>
      </c>
      <c r="CG61" s="806">
        <f t="shared" si="36"/>
        <v>0</v>
      </c>
      <c r="CT61" s="806">
        <f t="shared" si="37"/>
        <v>0</v>
      </c>
      <c r="DG61" s="806">
        <f t="shared" si="16"/>
        <v>0</v>
      </c>
    </row>
    <row r="62" spans="1:111" hidden="1" x14ac:dyDescent="0.25">
      <c r="A62" s="16"/>
      <c r="B62" s="370" t="s">
        <v>963</v>
      </c>
      <c r="C62" t="s">
        <v>972</v>
      </c>
      <c r="D62" s="370" t="s">
        <v>929</v>
      </c>
      <c r="E62" s="827" t="s">
        <v>931</v>
      </c>
      <c r="F62" s="370" t="s">
        <v>965</v>
      </c>
      <c r="G62" s="386" t="e">
        <f>44690.9-8000-G85-F93</f>
        <v>#VALUE!</v>
      </c>
      <c r="H62" s="810">
        <f>44690.9-8000-H85-H93</f>
        <v>14814.300000000003</v>
      </c>
      <c r="I62" s="803">
        <f t="shared" si="25"/>
        <v>0</v>
      </c>
      <c r="J62" s="803">
        <f t="shared" si="38"/>
        <v>0</v>
      </c>
      <c r="K62" s="809">
        <f t="shared" si="26"/>
        <v>14814.300000000003</v>
      </c>
      <c r="L62" s="810">
        <f t="shared" si="39"/>
        <v>0</v>
      </c>
      <c r="M62" s="394"/>
      <c r="N62" s="394"/>
      <c r="O62" s="2"/>
      <c r="P62" s="2"/>
      <c r="Q62" s="2"/>
      <c r="R62" s="2"/>
      <c r="S62" s="2"/>
      <c r="T62" s="2"/>
      <c r="U62" s="2"/>
      <c r="V62" s="2"/>
      <c r="W62" s="2"/>
      <c r="X62" s="2"/>
      <c r="Y62" s="2"/>
      <c r="Z62" s="2"/>
      <c r="AA62" s="828"/>
      <c r="AB62" s="2"/>
      <c r="AC62" s="2"/>
      <c r="AD62" s="2"/>
      <c r="AE62" s="2"/>
      <c r="AF62" s="2"/>
      <c r="AG62" s="2"/>
      <c r="AH62" s="2"/>
      <c r="AI62" s="2"/>
      <c r="AJ62" s="2"/>
      <c r="AK62" s="2"/>
      <c r="AL62" s="2"/>
      <c r="AM62" s="2"/>
      <c r="AN62" s="828"/>
      <c r="AO62" s="828"/>
      <c r="AP62" s="828"/>
      <c r="AQ62" s="828"/>
      <c r="AR62" s="828"/>
      <c r="AS62" s="828"/>
      <c r="AT62" s="828"/>
      <c r="AU62" s="2"/>
      <c r="AV62" s="2"/>
      <c r="AW62" s="2"/>
      <c r="AX62" s="2"/>
      <c r="AY62" s="2"/>
      <c r="AZ62" s="2"/>
      <c r="BA62" s="2"/>
      <c r="BB62" s="2"/>
      <c r="BC62" s="2"/>
      <c r="BD62" s="2"/>
      <c r="BE62" s="2"/>
      <c r="BF62" s="2"/>
      <c r="BG62" s="806">
        <f t="shared" si="34"/>
        <v>0</v>
      </c>
      <c r="BH62" s="807"/>
      <c r="BI62" s="807"/>
      <c r="BJ62" s="807"/>
      <c r="BK62" s="807"/>
      <c r="BL62" s="807"/>
      <c r="BM62" s="807"/>
      <c r="BN62" s="807"/>
      <c r="BO62" s="807"/>
      <c r="BP62" s="807"/>
      <c r="BQ62" s="807"/>
      <c r="BR62" s="807"/>
      <c r="BS62" s="807"/>
      <c r="BT62" s="806">
        <f t="shared" si="35"/>
        <v>0</v>
      </c>
      <c r="CG62" s="806">
        <f t="shared" si="36"/>
        <v>0</v>
      </c>
      <c r="CT62" s="806">
        <f t="shared" si="37"/>
        <v>0</v>
      </c>
      <c r="DG62" s="806">
        <f t="shared" si="16"/>
        <v>0</v>
      </c>
    </row>
    <row r="63" spans="1:111" hidden="1" x14ac:dyDescent="0.25">
      <c r="A63" s="16"/>
      <c r="B63" s="370" t="s">
        <v>963</v>
      </c>
      <c r="C63" t="s">
        <v>973</v>
      </c>
      <c r="D63" s="370" t="s">
        <v>929</v>
      </c>
      <c r="E63" s="827" t="s">
        <v>931</v>
      </c>
      <c r="F63" s="370" t="s">
        <v>965</v>
      </c>
      <c r="G63" s="807">
        <v>9876.6</v>
      </c>
      <c r="H63" s="796">
        <v>9876.6</v>
      </c>
      <c r="I63" s="803">
        <f t="shared" si="25"/>
        <v>0</v>
      </c>
      <c r="J63" s="803">
        <f t="shared" si="38"/>
        <v>0</v>
      </c>
      <c r="K63" s="809">
        <f t="shared" si="26"/>
        <v>9876.6</v>
      </c>
      <c r="L63" s="810">
        <f t="shared" si="39"/>
        <v>0</v>
      </c>
      <c r="M63" s="394"/>
      <c r="N63" s="394"/>
      <c r="O63" s="2"/>
      <c r="P63" s="2"/>
      <c r="Q63" s="2"/>
      <c r="R63" s="2"/>
      <c r="S63" s="2"/>
      <c r="T63" s="2"/>
      <c r="U63" s="2"/>
      <c r="V63" s="2"/>
      <c r="W63" s="2"/>
      <c r="X63" s="2"/>
      <c r="Y63" s="2"/>
      <c r="Z63" s="2"/>
      <c r="AA63" s="828"/>
      <c r="AB63" s="2"/>
      <c r="AC63" s="2"/>
      <c r="AD63" s="2"/>
      <c r="AE63" s="2"/>
      <c r="AF63" s="2"/>
      <c r="AG63" s="2"/>
      <c r="AH63" s="2"/>
      <c r="AI63" s="2"/>
      <c r="AJ63" s="2"/>
      <c r="AK63" s="2"/>
      <c r="AL63" s="2"/>
      <c r="AM63" s="2"/>
      <c r="AN63" s="828"/>
      <c r="AO63" s="828"/>
      <c r="AP63" s="828"/>
      <c r="AQ63" s="828"/>
      <c r="AR63" s="828"/>
      <c r="AS63" s="828"/>
      <c r="AT63" s="828"/>
      <c r="AU63" s="2"/>
      <c r="AV63" s="2"/>
      <c r="AW63" s="2"/>
      <c r="AX63" s="2"/>
      <c r="AY63" s="2"/>
      <c r="AZ63" s="2"/>
      <c r="BA63" s="2"/>
      <c r="BB63" s="2"/>
      <c r="BC63" s="2"/>
      <c r="BD63" s="2"/>
      <c r="BE63" s="2"/>
      <c r="BF63" s="2"/>
      <c r="BG63" s="806">
        <f t="shared" si="34"/>
        <v>0</v>
      </c>
      <c r="BH63" s="807"/>
      <c r="BI63" s="807"/>
      <c r="BJ63" s="807"/>
      <c r="BK63" s="807"/>
      <c r="BL63" s="807"/>
      <c r="BM63" s="807"/>
      <c r="BN63" s="807"/>
      <c r="BO63" s="807"/>
      <c r="BP63" s="807"/>
      <c r="BQ63" s="807"/>
      <c r="BR63" s="807"/>
      <c r="BS63" s="807"/>
      <c r="BT63" s="806">
        <f t="shared" si="35"/>
        <v>0</v>
      </c>
      <c r="CG63" s="806">
        <f t="shared" si="36"/>
        <v>0</v>
      </c>
      <c r="CT63" s="806">
        <f t="shared" si="37"/>
        <v>0</v>
      </c>
      <c r="DG63" s="806">
        <f t="shared" si="16"/>
        <v>0</v>
      </c>
    </row>
    <row r="64" spans="1:111" hidden="1" x14ac:dyDescent="0.25">
      <c r="A64" s="16"/>
      <c r="B64" s="370" t="s">
        <v>963</v>
      </c>
      <c r="C64" t="s">
        <v>974</v>
      </c>
      <c r="D64" s="370" t="s">
        <v>929</v>
      </c>
      <c r="E64" s="827" t="s">
        <v>931</v>
      </c>
      <c r="F64" s="370" t="s">
        <v>965</v>
      </c>
      <c r="G64" s="396">
        <v>16500</v>
      </c>
      <c r="H64" s="826">
        <v>16500</v>
      </c>
      <c r="I64" s="803">
        <f t="shared" si="25"/>
        <v>0</v>
      </c>
      <c r="J64" s="803">
        <f t="shared" si="38"/>
        <v>0</v>
      </c>
      <c r="K64" s="809">
        <f t="shared" si="26"/>
        <v>16500</v>
      </c>
      <c r="L64" s="810">
        <f t="shared" si="39"/>
        <v>0</v>
      </c>
      <c r="M64" s="394"/>
      <c r="N64" s="394"/>
      <c r="O64" s="2"/>
      <c r="P64" s="2"/>
      <c r="Q64" s="2"/>
      <c r="R64" s="2"/>
      <c r="S64" s="2"/>
      <c r="T64" s="2"/>
      <c r="U64" s="2"/>
      <c r="V64" s="2"/>
      <c r="W64" s="2"/>
      <c r="X64" s="2"/>
      <c r="Y64" s="2"/>
      <c r="Z64" s="2"/>
      <c r="AA64" s="828"/>
      <c r="AB64" s="2"/>
      <c r="AC64" s="2"/>
      <c r="AD64" s="2"/>
      <c r="AE64" s="2"/>
      <c r="AF64" s="2"/>
      <c r="AG64" s="2"/>
      <c r="AH64" s="2"/>
      <c r="AI64" s="2"/>
      <c r="AJ64" s="2"/>
      <c r="AK64" s="2"/>
      <c r="AL64" s="2"/>
      <c r="AM64" s="2"/>
      <c r="AN64" s="828"/>
      <c r="AO64" s="828"/>
      <c r="AP64" s="828"/>
      <c r="AQ64" s="828"/>
      <c r="AR64" s="828"/>
      <c r="AS64" s="828"/>
      <c r="AT64" s="828"/>
      <c r="AU64" s="2"/>
      <c r="AV64" s="2"/>
      <c r="AW64" s="2"/>
      <c r="AX64" s="2"/>
      <c r="AY64" s="2"/>
      <c r="AZ64" s="2"/>
      <c r="BA64" s="2"/>
      <c r="BB64" s="2"/>
      <c r="BC64" s="2"/>
      <c r="BD64" s="2"/>
      <c r="BE64" s="2"/>
      <c r="BF64" s="2"/>
      <c r="BG64" s="806">
        <f t="shared" si="34"/>
        <v>0</v>
      </c>
      <c r="BH64" s="807"/>
      <c r="BI64" s="807"/>
      <c r="BJ64" s="807"/>
      <c r="BK64" s="807"/>
      <c r="BL64" s="807"/>
      <c r="BM64" s="807"/>
      <c r="BN64" s="807"/>
      <c r="BO64" s="807"/>
      <c r="BP64" s="807"/>
      <c r="BQ64" s="807"/>
      <c r="BR64" s="807"/>
      <c r="BS64" s="807"/>
      <c r="BT64" s="806">
        <f t="shared" si="35"/>
        <v>0</v>
      </c>
      <c r="CG64" s="806">
        <f t="shared" si="36"/>
        <v>0</v>
      </c>
      <c r="CT64" s="806">
        <f t="shared" si="37"/>
        <v>0</v>
      </c>
      <c r="DG64" s="806">
        <f t="shared" si="16"/>
        <v>0</v>
      </c>
    </row>
    <row r="65" spans="1:111" x14ac:dyDescent="0.25">
      <c r="A65" s="370"/>
      <c r="B65" s="839" t="s">
        <v>963</v>
      </c>
      <c r="C65" s="54" t="s">
        <v>659</v>
      </c>
      <c r="D65" s="840" t="s">
        <v>949</v>
      </c>
      <c r="E65" s="841" t="s">
        <v>950</v>
      </c>
      <c r="F65" s="54"/>
      <c r="G65" s="54"/>
      <c r="H65" s="842">
        <v>30000</v>
      </c>
      <c r="I65" s="843">
        <f t="shared" si="25"/>
        <v>0</v>
      </c>
      <c r="J65" s="803">
        <f t="shared" si="38"/>
        <v>0</v>
      </c>
      <c r="K65" s="809">
        <f t="shared" si="26"/>
        <v>30000</v>
      </c>
      <c r="L65" s="810">
        <f t="shared" si="39"/>
        <v>0</v>
      </c>
      <c r="M65" s="394"/>
      <c r="N65" s="394"/>
      <c r="O65" s="2"/>
      <c r="P65" s="2"/>
      <c r="Q65" s="2"/>
      <c r="R65" s="2"/>
      <c r="S65" s="2"/>
      <c r="T65" s="2"/>
      <c r="U65" s="2"/>
      <c r="V65" s="2"/>
      <c r="W65" s="2"/>
      <c r="X65" s="2"/>
      <c r="Y65" s="2"/>
      <c r="Z65" s="2"/>
      <c r="AA65" s="806">
        <f t="shared" ref="AA65:AA74" si="48">SUM(O65:Z65)</f>
        <v>0</v>
      </c>
      <c r="AB65" s="2"/>
      <c r="AC65" s="2"/>
      <c r="AD65" s="2"/>
      <c r="AE65" s="2"/>
      <c r="AF65" s="2"/>
      <c r="AG65" s="2"/>
      <c r="AH65" s="2"/>
      <c r="AI65" s="2"/>
      <c r="AJ65" s="2"/>
      <c r="AK65" s="2"/>
      <c r="AL65" s="2"/>
      <c r="AM65" s="2"/>
      <c r="AN65" s="806">
        <f t="shared" ref="AN65:AN74" si="49">SUM(AB65:AM65)</f>
        <v>0</v>
      </c>
      <c r="AO65" s="806">
        <f t="shared" ref="AO65:AO74" si="50">SUM(AU65:BF65)</f>
        <v>0</v>
      </c>
      <c r="AP65" s="806">
        <f t="shared" ref="AP65:AP74" si="51">+BT65</f>
        <v>0</v>
      </c>
      <c r="AQ65" s="806">
        <f t="shared" ref="AQ65:AQ74" si="52">+CG65</f>
        <v>0</v>
      </c>
      <c r="AR65" s="806">
        <f t="shared" ref="AR65:AR74" si="53">+CT65</f>
        <v>0</v>
      </c>
      <c r="AS65" s="806">
        <f t="shared" ref="AS65:AT74" si="54">+DG65</f>
        <v>0</v>
      </c>
      <c r="AT65" s="806">
        <f t="shared" si="54"/>
        <v>0</v>
      </c>
      <c r="AU65" s="2"/>
      <c r="AV65" s="2"/>
      <c r="AW65" s="2"/>
      <c r="AX65" s="2"/>
      <c r="AY65" s="2"/>
      <c r="AZ65" s="2"/>
      <c r="BA65" s="2"/>
      <c r="BC65" s="2"/>
      <c r="BD65" s="2"/>
      <c r="BE65" s="2"/>
      <c r="BF65" s="2"/>
      <c r="BG65" s="806">
        <f>SUM(AU65:BF65)</f>
        <v>0</v>
      </c>
      <c r="BH65" s="807"/>
      <c r="BI65" s="807"/>
      <c r="BJ65" s="807"/>
      <c r="BK65" s="807"/>
      <c r="BL65" s="807"/>
      <c r="BM65" s="807"/>
      <c r="BN65" s="807"/>
      <c r="BO65" s="807"/>
      <c r="BP65" s="807"/>
      <c r="BQ65" s="807"/>
      <c r="BR65" s="807"/>
      <c r="BS65" s="807"/>
      <c r="BT65" s="806">
        <f>SUM(BH65:BS65)</f>
        <v>0</v>
      </c>
      <c r="CG65" s="806">
        <f>SUM(BU65:CF65)</f>
        <v>0</v>
      </c>
      <c r="CT65" s="806">
        <f>SUM(CH65:CS65)</f>
        <v>0</v>
      </c>
      <c r="DG65" s="806">
        <f t="shared" si="16"/>
        <v>0</v>
      </c>
    </row>
    <row r="66" spans="1:111" x14ac:dyDescent="0.25">
      <c r="A66" s="370"/>
      <c r="B66" s="839" t="s">
        <v>963</v>
      </c>
      <c r="C66" s="54" t="s">
        <v>975</v>
      </c>
      <c r="D66" s="840" t="s">
        <v>949</v>
      </c>
      <c r="E66" s="841" t="s">
        <v>950</v>
      </c>
      <c r="F66" s="54"/>
      <c r="G66" s="844">
        <f>24750-G73</f>
        <v>16500</v>
      </c>
      <c r="H66" s="842">
        <f>24750-H73</f>
        <v>16500</v>
      </c>
      <c r="I66" s="843">
        <f t="shared" si="25"/>
        <v>0</v>
      </c>
      <c r="J66" s="803">
        <f t="shared" si="38"/>
        <v>0</v>
      </c>
      <c r="K66" s="809">
        <f t="shared" si="26"/>
        <v>16500</v>
      </c>
      <c r="L66" s="810">
        <f t="shared" si="39"/>
        <v>0</v>
      </c>
      <c r="M66" s="394"/>
      <c r="N66" s="394"/>
      <c r="O66" s="2"/>
      <c r="P66" s="2"/>
      <c r="Q66" s="2"/>
      <c r="R66" s="2"/>
      <c r="S66" s="2"/>
      <c r="T66" s="2"/>
      <c r="U66" s="2"/>
      <c r="V66" s="2"/>
      <c r="W66" s="2"/>
      <c r="X66" s="2"/>
      <c r="Y66" s="2"/>
      <c r="Z66" s="2"/>
      <c r="AA66" s="806">
        <f t="shared" si="48"/>
        <v>0</v>
      </c>
      <c r="AB66" s="2"/>
      <c r="AC66" s="2"/>
      <c r="AD66" s="2"/>
      <c r="AE66" s="2"/>
      <c r="AF66" s="2"/>
      <c r="AG66" s="2"/>
      <c r="AH66" s="2"/>
      <c r="AI66" s="2"/>
      <c r="AJ66" s="2"/>
      <c r="AK66" s="2"/>
      <c r="AL66" s="2"/>
      <c r="AM66" s="2"/>
      <c r="AN66" s="806">
        <f t="shared" si="49"/>
        <v>0</v>
      </c>
      <c r="AO66" s="806">
        <f t="shared" si="50"/>
        <v>0</v>
      </c>
      <c r="AP66" s="806">
        <f t="shared" si="51"/>
        <v>0</v>
      </c>
      <c r="AQ66" s="806">
        <f t="shared" si="52"/>
        <v>0</v>
      </c>
      <c r="AR66" s="806">
        <f t="shared" si="53"/>
        <v>0</v>
      </c>
      <c r="AS66" s="806">
        <f t="shared" si="54"/>
        <v>0</v>
      </c>
      <c r="AT66" s="806">
        <f t="shared" si="54"/>
        <v>0</v>
      </c>
      <c r="AU66" s="2"/>
      <c r="AV66" s="2"/>
      <c r="AW66" s="2"/>
      <c r="AX66" s="2"/>
      <c r="AY66" s="2"/>
      <c r="AZ66" s="2"/>
      <c r="BA66" s="2"/>
      <c r="BC66" s="2"/>
      <c r="BD66" s="2"/>
      <c r="BE66" s="2"/>
      <c r="BF66" s="2"/>
      <c r="BG66" s="806">
        <f>SUM(AU66:BF66)</f>
        <v>0</v>
      </c>
      <c r="BH66" s="807"/>
      <c r="BI66" s="807"/>
      <c r="BJ66" s="807"/>
      <c r="BK66" s="807"/>
      <c r="BL66" s="807"/>
      <c r="BM66" s="807"/>
      <c r="BN66" s="807"/>
      <c r="BO66" s="807"/>
      <c r="BP66" s="807"/>
      <c r="BQ66" s="807"/>
      <c r="BR66" s="807"/>
      <c r="BS66" s="807"/>
      <c r="BT66" s="806">
        <f>SUM(BH66:BS66)</f>
        <v>0</v>
      </c>
      <c r="CG66" s="806">
        <f>SUM(BU66:CF66)</f>
        <v>0</v>
      </c>
      <c r="CT66" s="806">
        <f>SUM(CH66:CS66)</f>
        <v>0</v>
      </c>
      <c r="DG66" s="806">
        <f t="shared" si="16"/>
        <v>0</v>
      </c>
    </row>
    <row r="67" spans="1:111" ht="30" x14ac:dyDescent="0.25">
      <c r="B67" s="362"/>
      <c r="C67" s="180" t="s">
        <v>811</v>
      </c>
      <c r="D67" s="54"/>
      <c r="E67" s="180" t="s">
        <v>279</v>
      </c>
      <c r="F67" s="180"/>
      <c r="G67" s="844"/>
      <c r="H67" s="842">
        <v>50000</v>
      </c>
      <c r="I67" s="843">
        <f t="shared" si="25"/>
        <v>0</v>
      </c>
      <c r="J67" s="803">
        <f t="shared" si="38"/>
        <v>0</v>
      </c>
      <c r="K67" s="809">
        <f t="shared" si="26"/>
        <v>50000</v>
      </c>
      <c r="L67" s="810">
        <f t="shared" si="39"/>
        <v>50000</v>
      </c>
      <c r="M67" s="394">
        <f t="shared" ref="M67:M74" si="55">+IF(G67&gt;0,G67-L67,H67-L67)</f>
        <v>0</v>
      </c>
      <c r="AA67" s="806">
        <f t="shared" si="48"/>
        <v>0</v>
      </c>
      <c r="AB67" s="2"/>
      <c r="AC67" s="2"/>
      <c r="AD67" s="2"/>
      <c r="AE67" s="2"/>
      <c r="AF67" s="2"/>
      <c r="AG67" s="2"/>
      <c r="AH67" s="2"/>
      <c r="AI67" s="2"/>
      <c r="AJ67" s="2"/>
      <c r="AK67" s="2"/>
      <c r="AL67" s="2"/>
      <c r="AM67" s="2"/>
      <c r="AN67" s="806">
        <f t="shared" si="49"/>
        <v>0</v>
      </c>
      <c r="AO67" s="806">
        <f t="shared" si="50"/>
        <v>0</v>
      </c>
      <c r="AP67" s="806">
        <f t="shared" si="51"/>
        <v>0</v>
      </c>
      <c r="AQ67" s="806">
        <f t="shared" si="52"/>
        <v>50000</v>
      </c>
      <c r="AR67" s="806">
        <f t="shared" si="53"/>
        <v>0</v>
      </c>
      <c r="AS67" s="806">
        <f t="shared" si="54"/>
        <v>0</v>
      </c>
      <c r="AT67" s="806">
        <f t="shared" si="54"/>
        <v>0</v>
      </c>
      <c r="AU67" s="2"/>
      <c r="AV67" s="2"/>
      <c r="AW67" s="2"/>
      <c r="AX67" s="2"/>
      <c r="AY67" s="2"/>
      <c r="AZ67" s="2"/>
      <c r="BA67" s="2"/>
      <c r="BC67" s="2"/>
      <c r="BD67" s="2"/>
      <c r="BE67" s="2"/>
      <c r="BF67" s="2"/>
      <c r="BG67" s="806">
        <f t="shared" si="34"/>
        <v>0</v>
      </c>
      <c r="BH67" s="807"/>
      <c r="BI67" s="807"/>
      <c r="BJ67" s="807"/>
      <c r="BK67" s="807"/>
      <c r="BL67" s="807"/>
      <c r="BM67" s="807"/>
      <c r="BN67" s="807"/>
      <c r="BO67" s="807"/>
      <c r="BP67" s="807"/>
      <c r="BQ67" s="807"/>
      <c r="BR67" s="807"/>
      <c r="BS67" s="807"/>
      <c r="BT67" s="806">
        <f t="shared" si="35"/>
        <v>0</v>
      </c>
      <c r="BW67">
        <v>5000</v>
      </c>
      <c r="CD67">
        <v>15000</v>
      </c>
      <c r="CE67">
        <v>15000</v>
      </c>
      <c r="CF67">
        <v>15000</v>
      </c>
      <c r="CG67" s="806">
        <f t="shared" si="36"/>
        <v>50000</v>
      </c>
      <c r="CT67" s="806">
        <f t="shared" si="37"/>
        <v>0</v>
      </c>
      <c r="DG67" s="806">
        <f t="shared" si="16"/>
        <v>0</v>
      </c>
    </row>
    <row r="68" spans="1:111" hidden="1" x14ac:dyDescent="0.25">
      <c r="A68" s="370"/>
      <c r="B68" s="839" t="s">
        <v>976</v>
      </c>
      <c r="C68" s="54" t="s">
        <v>52</v>
      </c>
      <c r="D68" s="845" t="s">
        <v>199</v>
      </c>
      <c r="E68" s="54"/>
      <c r="F68" s="54"/>
      <c r="G68" s="844"/>
      <c r="H68" s="846"/>
      <c r="I68" s="843">
        <f t="shared" si="25"/>
        <v>0</v>
      </c>
      <c r="J68" s="803">
        <f t="shared" si="38"/>
        <v>0</v>
      </c>
      <c r="K68" s="809">
        <f t="shared" si="26"/>
        <v>0</v>
      </c>
      <c r="L68" s="810">
        <f t="shared" si="39"/>
        <v>0</v>
      </c>
      <c r="M68" s="394">
        <f t="shared" si="55"/>
        <v>0</v>
      </c>
      <c r="N68" s="394"/>
      <c r="O68" s="2"/>
      <c r="P68" s="2"/>
      <c r="Q68" s="2"/>
      <c r="R68" s="2"/>
      <c r="S68" s="2"/>
      <c r="T68" s="2"/>
      <c r="U68" s="2"/>
      <c r="V68" s="2"/>
      <c r="W68" s="2"/>
      <c r="X68" s="2"/>
      <c r="Y68" s="2"/>
      <c r="Z68" s="2"/>
      <c r="AA68" s="806">
        <f t="shared" si="48"/>
        <v>0</v>
      </c>
      <c r="AB68" s="2"/>
      <c r="AC68" s="2"/>
      <c r="AD68" s="2"/>
      <c r="AE68" s="2"/>
      <c r="AF68" s="2"/>
      <c r="AG68" s="2"/>
      <c r="AH68" s="2"/>
      <c r="AI68" s="2"/>
      <c r="AJ68" s="2"/>
      <c r="AK68" s="2"/>
      <c r="AL68" s="2"/>
      <c r="AM68" s="2"/>
      <c r="AN68" s="806">
        <f t="shared" si="49"/>
        <v>0</v>
      </c>
      <c r="AO68" s="806">
        <f t="shared" si="50"/>
        <v>0</v>
      </c>
      <c r="AP68" s="806">
        <f t="shared" si="51"/>
        <v>0</v>
      </c>
      <c r="AQ68" s="806">
        <f t="shared" si="52"/>
        <v>0</v>
      </c>
      <c r="AR68" s="806">
        <f t="shared" si="53"/>
        <v>0</v>
      </c>
      <c r="AS68" s="806">
        <f t="shared" si="54"/>
        <v>0</v>
      </c>
      <c r="AT68" s="806">
        <f t="shared" si="54"/>
        <v>0</v>
      </c>
      <c r="AU68" s="2"/>
      <c r="AV68" s="2"/>
      <c r="AW68" s="2"/>
      <c r="AX68" s="2"/>
      <c r="AY68" s="2"/>
      <c r="AZ68" s="2"/>
      <c r="BA68" s="2"/>
      <c r="BC68" s="2"/>
      <c r="BD68" s="2"/>
      <c r="BE68" s="2"/>
      <c r="BF68" s="2"/>
      <c r="BG68" s="806">
        <f t="shared" si="34"/>
        <v>0</v>
      </c>
      <c r="BH68" s="807"/>
      <c r="BI68" s="807"/>
      <c r="BJ68" s="807"/>
      <c r="BK68" s="807"/>
      <c r="BL68" s="807"/>
      <c r="BM68" s="807"/>
      <c r="BN68" s="807"/>
      <c r="BO68" s="807"/>
      <c r="BP68" s="807"/>
      <c r="BQ68" s="807"/>
      <c r="BR68" s="807"/>
      <c r="BS68" s="807"/>
      <c r="BT68" s="806">
        <f t="shared" si="35"/>
        <v>0</v>
      </c>
      <c r="CG68" s="806">
        <f t="shared" si="36"/>
        <v>0</v>
      </c>
      <c r="CT68" s="806">
        <f t="shared" si="37"/>
        <v>0</v>
      </c>
      <c r="DG68" s="806">
        <f t="shared" si="16"/>
        <v>0</v>
      </c>
    </row>
    <row r="69" spans="1:111" hidden="1" x14ac:dyDescent="0.25">
      <c r="A69" s="370"/>
      <c r="B69" s="839" t="s">
        <v>976</v>
      </c>
      <c r="C69" s="54" t="s">
        <v>825</v>
      </c>
      <c r="D69" s="845" t="s">
        <v>199</v>
      </c>
      <c r="E69" s="54"/>
      <c r="F69" s="54"/>
      <c r="G69" s="844"/>
      <c r="H69" s="846"/>
      <c r="I69" s="843">
        <f t="shared" si="25"/>
        <v>0</v>
      </c>
      <c r="J69" s="803">
        <f t="shared" si="38"/>
        <v>0</v>
      </c>
      <c r="K69" s="809">
        <f t="shared" si="26"/>
        <v>0</v>
      </c>
      <c r="L69" s="810">
        <f t="shared" si="39"/>
        <v>0</v>
      </c>
      <c r="M69" s="394">
        <f t="shared" si="55"/>
        <v>0</v>
      </c>
      <c r="N69" s="394"/>
      <c r="O69" s="2"/>
      <c r="P69" s="2"/>
      <c r="Q69" s="2"/>
      <c r="R69" s="2"/>
      <c r="S69" s="2"/>
      <c r="T69" s="2"/>
      <c r="U69" s="2"/>
      <c r="V69" s="2"/>
      <c r="W69" s="2"/>
      <c r="X69" s="2"/>
      <c r="Y69" s="2"/>
      <c r="Z69" s="2"/>
      <c r="AA69" s="806">
        <f t="shared" si="48"/>
        <v>0</v>
      </c>
      <c r="AB69" s="2"/>
      <c r="AC69" s="2"/>
      <c r="AD69" s="2"/>
      <c r="AE69" s="2"/>
      <c r="AF69" s="2"/>
      <c r="AG69" s="2"/>
      <c r="AH69" s="2"/>
      <c r="AI69" s="2"/>
      <c r="AJ69" s="2"/>
      <c r="AK69" s="2"/>
      <c r="AL69" s="2"/>
      <c r="AM69" s="2"/>
      <c r="AN69" s="806">
        <f t="shared" si="49"/>
        <v>0</v>
      </c>
      <c r="AO69" s="806">
        <f t="shared" si="50"/>
        <v>0</v>
      </c>
      <c r="AP69" s="806">
        <f t="shared" si="51"/>
        <v>0</v>
      </c>
      <c r="AQ69" s="806">
        <f t="shared" si="52"/>
        <v>0</v>
      </c>
      <c r="AR69" s="806">
        <f t="shared" si="53"/>
        <v>0</v>
      </c>
      <c r="AS69" s="806">
        <f t="shared" si="54"/>
        <v>0</v>
      </c>
      <c r="AT69" s="806">
        <f t="shared" si="54"/>
        <v>0</v>
      </c>
      <c r="AU69" s="2"/>
      <c r="AV69" s="2"/>
      <c r="AW69" s="2"/>
      <c r="AX69" s="2"/>
      <c r="AY69" s="2"/>
      <c r="AZ69" s="2"/>
      <c r="BA69" s="2"/>
      <c r="BC69" s="2"/>
      <c r="BD69" s="2"/>
      <c r="BE69" s="2"/>
      <c r="BF69" s="2"/>
      <c r="BG69" s="806">
        <f t="shared" si="34"/>
        <v>0</v>
      </c>
      <c r="BH69" s="807"/>
      <c r="BI69" s="807"/>
      <c r="BJ69" s="807"/>
      <c r="BK69" s="807"/>
      <c r="BL69" s="807"/>
      <c r="BM69" s="807"/>
      <c r="BN69" s="807"/>
      <c r="BO69" s="807"/>
      <c r="BP69" s="807"/>
      <c r="BQ69" s="807"/>
      <c r="BR69" s="807"/>
      <c r="BS69" s="807"/>
      <c r="BT69" s="806">
        <f t="shared" si="35"/>
        <v>0</v>
      </c>
      <c r="CG69" s="806">
        <f t="shared" si="36"/>
        <v>0</v>
      </c>
      <c r="CT69" s="806">
        <f t="shared" si="37"/>
        <v>0</v>
      </c>
      <c r="DG69" s="806">
        <f t="shared" si="16"/>
        <v>0</v>
      </c>
    </row>
    <row r="70" spans="1:111" hidden="1" x14ac:dyDescent="0.25">
      <c r="A70" s="370"/>
      <c r="B70" s="839" t="s">
        <v>976</v>
      </c>
      <c r="C70" s="54" t="s">
        <v>826</v>
      </c>
      <c r="D70" s="845" t="s">
        <v>199</v>
      </c>
      <c r="E70" s="54"/>
      <c r="F70" s="54"/>
      <c r="G70" s="844"/>
      <c r="H70" s="846"/>
      <c r="I70" s="843">
        <f t="shared" si="25"/>
        <v>0</v>
      </c>
      <c r="J70" s="803">
        <f t="shared" si="38"/>
        <v>0</v>
      </c>
      <c r="K70" s="809">
        <f t="shared" si="26"/>
        <v>0</v>
      </c>
      <c r="L70" s="810">
        <f t="shared" si="39"/>
        <v>0</v>
      </c>
      <c r="M70" s="394">
        <f t="shared" si="55"/>
        <v>0</v>
      </c>
      <c r="N70" s="394"/>
      <c r="O70" s="2"/>
      <c r="P70" s="2"/>
      <c r="Q70" s="2"/>
      <c r="R70" s="2"/>
      <c r="S70" s="2"/>
      <c r="T70" s="2"/>
      <c r="U70" s="2"/>
      <c r="V70" s="2"/>
      <c r="W70" s="2"/>
      <c r="X70" s="2"/>
      <c r="Y70" s="2"/>
      <c r="Z70" s="2"/>
      <c r="AA70" s="806">
        <f t="shared" si="48"/>
        <v>0</v>
      </c>
      <c r="AB70" s="2"/>
      <c r="AC70" s="2"/>
      <c r="AD70" s="2"/>
      <c r="AE70" s="2"/>
      <c r="AF70" s="2"/>
      <c r="AG70" s="2"/>
      <c r="AH70" s="2"/>
      <c r="AI70" s="2"/>
      <c r="AJ70" s="2"/>
      <c r="AK70" s="2"/>
      <c r="AL70" s="2"/>
      <c r="AM70" s="2"/>
      <c r="AN70" s="806">
        <f t="shared" si="49"/>
        <v>0</v>
      </c>
      <c r="AO70" s="806">
        <f t="shared" si="50"/>
        <v>0</v>
      </c>
      <c r="AP70" s="806">
        <f t="shared" si="51"/>
        <v>0</v>
      </c>
      <c r="AQ70" s="806">
        <f t="shared" si="52"/>
        <v>0</v>
      </c>
      <c r="AR70" s="806">
        <f t="shared" si="53"/>
        <v>0</v>
      </c>
      <c r="AS70" s="806">
        <f t="shared" si="54"/>
        <v>0</v>
      </c>
      <c r="AT70" s="806">
        <f t="shared" si="54"/>
        <v>0</v>
      </c>
      <c r="AU70" s="2"/>
      <c r="AV70" s="2"/>
      <c r="AW70" s="2"/>
      <c r="AX70" s="2"/>
      <c r="AY70" s="2"/>
      <c r="AZ70" s="2"/>
      <c r="BA70" s="2"/>
      <c r="BC70" s="2"/>
      <c r="BD70" s="2"/>
      <c r="BE70" s="2"/>
      <c r="BF70" s="2"/>
      <c r="BG70" s="806">
        <f t="shared" si="34"/>
        <v>0</v>
      </c>
      <c r="BH70" s="807"/>
      <c r="BI70" s="807"/>
      <c r="BJ70" s="807"/>
      <c r="BK70" s="807"/>
      <c r="BL70" s="807"/>
      <c r="BM70" s="807"/>
      <c r="BN70" s="807"/>
      <c r="BO70" s="807"/>
      <c r="BP70" s="807"/>
      <c r="BQ70" s="807"/>
      <c r="BR70" s="807"/>
      <c r="BS70" s="807"/>
      <c r="BT70" s="806">
        <f t="shared" si="35"/>
        <v>0</v>
      </c>
      <c r="CG70" s="806">
        <f t="shared" si="36"/>
        <v>0</v>
      </c>
      <c r="CT70" s="806">
        <f t="shared" si="37"/>
        <v>0</v>
      </c>
      <c r="DG70" s="806">
        <f t="shared" si="16"/>
        <v>0</v>
      </c>
    </row>
    <row r="71" spans="1:111" hidden="1" x14ac:dyDescent="0.25">
      <c r="A71" s="370"/>
      <c r="B71" s="839" t="s">
        <v>976</v>
      </c>
      <c r="C71" s="54" t="s">
        <v>51</v>
      </c>
      <c r="D71" s="845" t="s">
        <v>199</v>
      </c>
      <c r="E71" s="54"/>
      <c r="F71" s="54"/>
      <c r="G71" s="844"/>
      <c r="H71" s="846"/>
      <c r="I71" s="843">
        <f t="shared" si="25"/>
        <v>0</v>
      </c>
      <c r="J71" s="803">
        <f t="shared" si="38"/>
        <v>0</v>
      </c>
      <c r="K71" s="809">
        <f t="shared" si="26"/>
        <v>0</v>
      </c>
      <c r="L71" s="810">
        <f t="shared" si="39"/>
        <v>0</v>
      </c>
      <c r="M71" s="394">
        <f t="shared" si="55"/>
        <v>0</v>
      </c>
      <c r="N71" s="394"/>
      <c r="O71" s="2"/>
      <c r="P71" s="2"/>
      <c r="Q71" s="2"/>
      <c r="R71" s="2"/>
      <c r="S71" s="2"/>
      <c r="T71" s="2"/>
      <c r="U71" s="2"/>
      <c r="V71" s="2"/>
      <c r="W71" s="2"/>
      <c r="X71" s="2"/>
      <c r="Y71" s="2"/>
      <c r="Z71" s="2"/>
      <c r="AA71" s="806">
        <f t="shared" si="48"/>
        <v>0</v>
      </c>
      <c r="AB71" s="2"/>
      <c r="AC71" s="2"/>
      <c r="AD71" s="2"/>
      <c r="AE71" s="2"/>
      <c r="AF71" s="2"/>
      <c r="AG71" s="2"/>
      <c r="AH71" s="2"/>
      <c r="AI71" s="2"/>
      <c r="AJ71" s="2"/>
      <c r="AK71" s="2"/>
      <c r="AL71" s="2"/>
      <c r="AM71" s="2"/>
      <c r="AN71" s="806">
        <f t="shared" si="49"/>
        <v>0</v>
      </c>
      <c r="AO71" s="806">
        <f t="shared" si="50"/>
        <v>0</v>
      </c>
      <c r="AP71" s="806">
        <f t="shared" si="51"/>
        <v>0</v>
      </c>
      <c r="AQ71" s="806">
        <f t="shared" si="52"/>
        <v>0</v>
      </c>
      <c r="AR71" s="806">
        <f t="shared" si="53"/>
        <v>0</v>
      </c>
      <c r="AS71" s="806">
        <f t="shared" si="54"/>
        <v>0</v>
      </c>
      <c r="AT71" s="806">
        <f t="shared" si="54"/>
        <v>0</v>
      </c>
      <c r="AU71" s="2"/>
      <c r="AV71" s="2"/>
      <c r="AW71" s="2"/>
      <c r="AX71" s="2"/>
      <c r="AY71" s="2"/>
      <c r="AZ71" s="2"/>
      <c r="BA71" s="2"/>
      <c r="BC71" s="2"/>
      <c r="BD71" s="2"/>
      <c r="BE71" s="2"/>
      <c r="BF71" s="2"/>
      <c r="BG71" s="806">
        <f t="shared" si="34"/>
        <v>0</v>
      </c>
      <c r="BH71" s="807"/>
      <c r="BI71" s="807"/>
      <c r="BJ71" s="807"/>
      <c r="BK71" s="807"/>
      <c r="BL71" s="807"/>
      <c r="BM71" s="807"/>
      <c r="BN71" s="807"/>
      <c r="BO71" s="807"/>
      <c r="BP71" s="807"/>
      <c r="BQ71" s="807"/>
      <c r="BR71" s="807"/>
      <c r="BS71" s="807"/>
      <c r="BT71" s="806">
        <f t="shared" si="35"/>
        <v>0</v>
      </c>
      <c r="CG71" s="806">
        <f t="shared" si="36"/>
        <v>0</v>
      </c>
      <c r="CT71" s="806">
        <f t="shared" si="37"/>
        <v>0</v>
      </c>
      <c r="DG71" s="806">
        <f t="shared" si="16"/>
        <v>0</v>
      </c>
    </row>
    <row r="72" spans="1:111" x14ac:dyDescent="0.25">
      <c r="A72" s="370"/>
      <c r="B72" s="839"/>
      <c r="C72" s="54" t="s">
        <v>977</v>
      </c>
      <c r="D72" s="845"/>
      <c r="E72" s="54" t="s">
        <v>950</v>
      </c>
      <c r="F72" s="54"/>
      <c r="G72" s="844"/>
      <c r="H72" s="846">
        <v>30000</v>
      </c>
      <c r="I72" s="843">
        <f t="shared" si="25"/>
        <v>0</v>
      </c>
      <c r="J72" s="803">
        <f t="shared" si="38"/>
        <v>0</v>
      </c>
      <c r="K72" s="809">
        <f t="shared" si="26"/>
        <v>30000</v>
      </c>
      <c r="L72" s="810">
        <f t="shared" si="39"/>
        <v>30000</v>
      </c>
      <c r="M72" s="394">
        <f t="shared" si="55"/>
        <v>0</v>
      </c>
      <c r="N72" s="394"/>
      <c r="O72" s="2"/>
      <c r="P72" s="2"/>
      <c r="Q72" s="2"/>
      <c r="R72" s="2"/>
      <c r="S72" s="2"/>
      <c r="T72" s="2"/>
      <c r="U72" s="2"/>
      <c r="V72" s="2"/>
      <c r="W72" s="2"/>
      <c r="X72" s="2"/>
      <c r="Y72" s="2"/>
      <c r="Z72" s="2"/>
      <c r="AA72" s="806">
        <f t="shared" si="48"/>
        <v>0</v>
      </c>
      <c r="AB72" s="2"/>
      <c r="AC72" s="2"/>
      <c r="AD72" s="2"/>
      <c r="AE72" s="2"/>
      <c r="AF72" s="2"/>
      <c r="AG72" s="2"/>
      <c r="AH72" s="2"/>
      <c r="AI72" s="2"/>
      <c r="AJ72" s="2"/>
      <c r="AK72" s="2"/>
      <c r="AL72" s="2"/>
      <c r="AM72" s="2"/>
      <c r="AN72" s="806">
        <f t="shared" si="49"/>
        <v>0</v>
      </c>
      <c r="AO72" s="806">
        <f t="shared" si="50"/>
        <v>0</v>
      </c>
      <c r="AP72" s="806">
        <f t="shared" si="51"/>
        <v>0</v>
      </c>
      <c r="AQ72" s="806">
        <f t="shared" si="52"/>
        <v>10000</v>
      </c>
      <c r="AR72" s="806">
        <f t="shared" si="53"/>
        <v>20000</v>
      </c>
      <c r="AS72" s="806">
        <f t="shared" si="54"/>
        <v>0</v>
      </c>
      <c r="AT72" s="806">
        <f t="shared" si="54"/>
        <v>0</v>
      </c>
      <c r="AU72" s="2"/>
      <c r="AV72" s="2"/>
      <c r="AW72" s="2"/>
      <c r="AX72" s="2"/>
      <c r="AY72" s="2"/>
      <c r="AZ72" s="2"/>
      <c r="BA72" s="2"/>
      <c r="BC72" s="2"/>
      <c r="BD72" s="2"/>
      <c r="BE72" s="2"/>
      <c r="BF72" s="2"/>
      <c r="BG72" s="806">
        <f>SUM(AU72:BF72)</f>
        <v>0</v>
      </c>
      <c r="BH72" s="807"/>
      <c r="BI72" s="807"/>
      <c r="BJ72" s="807"/>
      <c r="BK72" s="807"/>
      <c r="BL72" s="807"/>
      <c r="BM72" s="807"/>
      <c r="BN72" s="807"/>
      <c r="BO72" s="807"/>
      <c r="BP72" s="807"/>
      <c r="BQ72" s="807"/>
      <c r="BR72" s="807"/>
      <c r="BS72" s="807"/>
      <c r="BT72" s="806">
        <f>SUM(BH72:BS72)</f>
        <v>0</v>
      </c>
      <c r="CF72">
        <v>10000</v>
      </c>
      <c r="CG72" s="806">
        <f>SUM(BU72:CF72)</f>
        <v>10000</v>
      </c>
      <c r="CH72">
        <v>15000</v>
      </c>
      <c r="CI72">
        <v>5000</v>
      </c>
      <c r="CT72" s="806">
        <f>SUM(CH72:CS72)</f>
        <v>20000</v>
      </c>
      <c r="DG72" s="806">
        <f t="shared" ref="DG72:DG132" si="56">SUM(CU72:DF72)</f>
        <v>0</v>
      </c>
    </row>
    <row r="73" spans="1:111" x14ac:dyDescent="0.25">
      <c r="A73" s="370"/>
      <c r="B73" s="839" t="s">
        <v>978</v>
      </c>
      <c r="C73" s="54" t="s">
        <v>979</v>
      </c>
      <c r="D73" s="845" t="s">
        <v>980</v>
      </c>
      <c r="E73" s="845" t="s">
        <v>950</v>
      </c>
      <c r="F73" s="54"/>
      <c r="G73" s="844">
        <v>8250</v>
      </c>
      <c r="H73" s="842">
        <v>8250</v>
      </c>
      <c r="I73" s="843">
        <f t="shared" si="25"/>
        <v>0</v>
      </c>
      <c r="J73" s="803">
        <f t="shared" si="38"/>
        <v>0</v>
      </c>
      <c r="K73" s="809">
        <f t="shared" si="26"/>
        <v>8250</v>
      </c>
      <c r="L73" s="810">
        <f t="shared" si="39"/>
        <v>8250</v>
      </c>
      <c r="M73" s="394">
        <f t="shared" si="55"/>
        <v>0</v>
      </c>
      <c r="N73" s="394"/>
      <c r="O73" s="2"/>
      <c r="P73" s="2"/>
      <c r="Q73" s="2"/>
      <c r="R73" s="2"/>
      <c r="S73" s="2"/>
      <c r="T73" s="2"/>
      <c r="U73" s="2"/>
      <c r="V73" s="2"/>
      <c r="W73" s="2"/>
      <c r="X73" s="2"/>
      <c r="Y73" s="2"/>
      <c r="Z73" s="2"/>
      <c r="AA73" s="806">
        <f t="shared" si="48"/>
        <v>0</v>
      </c>
      <c r="AB73" s="2"/>
      <c r="AC73" s="2"/>
      <c r="AD73" s="2"/>
      <c r="AE73" s="2"/>
      <c r="AF73" s="2"/>
      <c r="AG73" s="2"/>
      <c r="AH73" s="2"/>
      <c r="AI73" s="2"/>
      <c r="AJ73" s="2"/>
      <c r="AK73" s="2"/>
      <c r="AL73" s="2"/>
      <c r="AM73" s="2"/>
      <c r="AN73" s="806">
        <f t="shared" si="49"/>
        <v>0</v>
      </c>
      <c r="AO73" s="806">
        <f t="shared" si="50"/>
        <v>0</v>
      </c>
      <c r="AP73" s="806">
        <f t="shared" si="51"/>
        <v>0</v>
      </c>
      <c r="AQ73" s="806">
        <f t="shared" si="52"/>
        <v>0</v>
      </c>
      <c r="AR73" s="806">
        <f t="shared" si="53"/>
        <v>8250</v>
      </c>
      <c r="AS73" s="806">
        <f t="shared" si="54"/>
        <v>0</v>
      </c>
      <c r="AT73" s="806">
        <f t="shared" si="54"/>
        <v>0</v>
      </c>
      <c r="AU73" s="2"/>
      <c r="AV73" s="2"/>
      <c r="AW73" s="2"/>
      <c r="AX73" s="2"/>
      <c r="AY73" s="2"/>
      <c r="AZ73" s="2"/>
      <c r="BA73" s="2"/>
      <c r="BC73" s="2"/>
      <c r="BD73" s="2"/>
      <c r="BE73" s="2"/>
      <c r="BF73" s="2"/>
      <c r="BG73" s="806">
        <f>SUM(AU73:BF73)</f>
        <v>0</v>
      </c>
      <c r="BH73" s="807"/>
      <c r="BI73" s="807"/>
      <c r="BJ73" s="807"/>
      <c r="BK73" s="807"/>
      <c r="BL73" s="807"/>
      <c r="BM73" s="807"/>
      <c r="BN73" s="807"/>
      <c r="BO73" s="807"/>
      <c r="BP73" s="807"/>
      <c r="BQ73" s="807"/>
      <c r="BR73" s="807"/>
      <c r="BS73" s="807"/>
      <c r="BT73" s="806">
        <f>SUM(BH73:BS73)</f>
        <v>0</v>
      </c>
      <c r="CG73" s="806">
        <f>SUM(BU73:CF73)</f>
        <v>0</v>
      </c>
      <c r="CH73">
        <v>4000</v>
      </c>
      <c r="CI73">
        <v>4250</v>
      </c>
      <c r="CT73" s="806">
        <f>SUM(CH73:CS73)</f>
        <v>8250</v>
      </c>
      <c r="DG73" s="806">
        <f t="shared" si="56"/>
        <v>0</v>
      </c>
    </row>
    <row r="74" spans="1:111" x14ac:dyDescent="0.25">
      <c r="A74" s="370"/>
      <c r="B74" s="839" t="s">
        <v>978</v>
      </c>
      <c r="C74" s="822" t="s">
        <v>981</v>
      </c>
      <c r="D74" s="831" t="s">
        <v>929</v>
      </c>
      <c r="E74" s="824" t="s">
        <v>931</v>
      </c>
      <c r="F74" s="811">
        <v>589</v>
      </c>
      <c r="G74" s="838">
        <v>247650</v>
      </c>
      <c r="H74" s="842"/>
      <c r="I74" s="843">
        <f t="shared" si="25"/>
        <v>0</v>
      </c>
      <c r="J74" s="803">
        <f t="shared" si="38"/>
        <v>0</v>
      </c>
      <c r="K74" s="809">
        <f t="shared" si="26"/>
        <v>0</v>
      </c>
      <c r="L74" s="810">
        <f t="shared" si="39"/>
        <v>247650</v>
      </c>
      <c r="M74" s="394">
        <f t="shared" si="55"/>
        <v>0</v>
      </c>
      <c r="N74" s="394"/>
      <c r="O74" s="2"/>
      <c r="P74" s="2"/>
      <c r="Q74" s="2"/>
      <c r="R74" s="2"/>
      <c r="S74" s="2"/>
      <c r="T74" s="2"/>
      <c r="U74" s="2"/>
      <c r="V74" s="2"/>
      <c r="W74" s="2"/>
      <c r="X74" s="2"/>
      <c r="Y74" s="2"/>
      <c r="Z74" s="2"/>
      <c r="AA74" s="806">
        <f t="shared" si="48"/>
        <v>0</v>
      </c>
      <c r="AB74" s="2"/>
      <c r="AC74" s="2"/>
      <c r="AD74" s="2"/>
      <c r="AE74" s="2"/>
      <c r="AF74" s="2"/>
      <c r="AG74" s="2"/>
      <c r="AH74" s="2"/>
      <c r="AI74" s="2"/>
      <c r="AJ74" s="2"/>
      <c r="AK74" s="2"/>
      <c r="AL74" s="2"/>
      <c r="AM74" s="2"/>
      <c r="AN74" s="806">
        <f t="shared" si="49"/>
        <v>0</v>
      </c>
      <c r="AO74" s="806">
        <f t="shared" si="50"/>
        <v>0</v>
      </c>
      <c r="AP74" s="806">
        <f t="shared" si="51"/>
        <v>0</v>
      </c>
      <c r="AQ74" s="806">
        <f t="shared" si="52"/>
        <v>247650</v>
      </c>
      <c r="AR74" s="806">
        <f t="shared" si="53"/>
        <v>0</v>
      </c>
      <c r="AS74" s="806">
        <f t="shared" si="54"/>
        <v>0</v>
      </c>
      <c r="AT74" s="806">
        <f t="shared" si="54"/>
        <v>0</v>
      </c>
      <c r="AU74" s="2"/>
      <c r="AV74" s="2"/>
      <c r="AW74" s="2"/>
      <c r="AX74" s="2"/>
      <c r="AY74" s="2"/>
      <c r="AZ74" s="2"/>
      <c r="BA74" s="2"/>
      <c r="BC74" s="2"/>
      <c r="BD74" s="2"/>
      <c r="BE74" s="2"/>
      <c r="BF74" s="2"/>
      <c r="BG74" s="806">
        <f>SUM(AU74:BF74)</f>
        <v>0</v>
      </c>
      <c r="BH74" s="807"/>
      <c r="BI74" s="807"/>
      <c r="BJ74" s="807"/>
      <c r="BK74" s="807"/>
      <c r="BL74" s="807"/>
      <c r="BM74" s="807"/>
      <c r="BN74" s="807"/>
      <c r="BO74" s="807"/>
      <c r="BP74" s="807"/>
      <c r="BQ74" s="807"/>
      <c r="BR74" s="807"/>
      <c r="BS74" s="807"/>
      <c r="BT74" s="806">
        <f>SUM(BH74:BS74)</f>
        <v>0</v>
      </c>
      <c r="CA74">
        <v>42000</v>
      </c>
      <c r="CB74">
        <v>42000</v>
      </c>
      <c r="CC74">
        <v>42000</v>
      </c>
      <c r="CD74">
        <v>42000</v>
      </c>
      <c r="CE74">
        <v>42000</v>
      </c>
      <c r="CF74">
        <v>37650</v>
      </c>
      <c r="CG74" s="806">
        <f>SUM(BU74:CF74)</f>
        <v>247650</v>
      </c>
      <c r="CT74" s="806">
        <f>SUM(CH74:CS74)</f>
        <v>0</v>
      </c>
      <c r="DG74" s="806">
        <f t="shared" si="56"/>
        <v>0</v>
      </c>
    </row>
    <row r="75" spans="1:111" hidden="1" x14ac:dyDescent="0.25">
      <c r="A75" s="370"/>
      <c r="B75" s="839" t="s">
        <v>978</v>
      </c>
      <c r="C75" s="54" t="s">
        <v>964</v>
      </c>
      <c r="D75" s="845" t="s">
        <v>929</v>
      </c>
      <c r="E75" s="841" t="s">
        <v>931</v>
      </c>
      <c r="F75" s="845" t="s">
        <v>982</v>
      </c>
      <c r="G75" s="844">
        <v>4938.3</v>
      </c>
      <c r="H75" s="842">
        <v>4938.3</v>
      </c>
      <c r="I75" s="843"/>
      <c r="J75" s="803"/>
      <c r="K75" s="809"/>
      <c r="L75" s="810"/>
      <c r="M75" s="394"/>
      <c r="N75" s="394"/>
      <c r="O75" s="2"/>
      <c r="P75" s="2"/>
      <c r="Q75" s="2"/>
      <c r="R75" s="2"/>
      <c r="S75" s="2"/>
      <c r="T75" s="2"/>
      <c r="U75" s="2"/>
      <c r="V75" s="2"/>
      <c r="W75" s="2"/>
      <c r="X75" s="2"/>
      <c r="Y75" s="2"/>
      <c r="Z75" s="2"/>
      <c r="AA75" s="828"/>
      <c r="AB75" s="2"/>
      <c r="AC75" s="2"/>
      <c r="AD75" s="2"/>
      <c r="AE75" s="2"/>
      <c r="AF75" s="2"/>
      <c r="AG75" s="2"/>
      <c r="AH75" s="2"/>
      <c r="AI75" s="2"/>
      <c r="AJ75" s="2"/>
      <c r="AK75" s="2"/>
      <c r="AL75" s="2"/>
      <c r="AM75" s="2"/>
      <c r="AN75" s="828"/>
      <c r="AO75" s="828"/>
      <c r="AP75" s="828"/>
      <c r="AQ75" s="828"/>
      <c r="AR75" s="828"/>
      <c r="AS75" s="828"/>
      <c r="AT75" s="828"/>
      <c r="AU75" s="2"/>
      <c r="AV75" s="2"/>
      <c r="AW75" s="2"/>
      <c r="AX75" s="2"/>
      <c r="AY75" s="2"/>
      <c r="AZ75" s="2"/>
      <c r="BA75" s="2"/>
      <c r="BB75" s="2"/>
      <c r="BC75" s="2"/>
      <c r="BD75" s="2"/>
      <c r="BE75" s="2"/>
      <c r="BF75" s="2"/>
      <c r="BG75" s="806">
        <f t="shared" si="34"/>
        <v>0</v>
      </c>
      <c r="BH75" s="807"/>
      <c r="BI75" s="807"/>
      <c r="BJ75" s="807"/>
      <c r="BK75" s="807"/>
      <c r="BL75" s="807"/>
      <c r="BM75" s="807"/>
      <c r="BN75" s="807"/>
      <c r="BO75" s="807"/>
      <c r="BP75" s="807"/>
      <c r="BQ75" s="807"/>
      <c r="BR75" s="807"/>
      <c r="BS75" s="807"/>
      <c r="BT75" s="806">
        <f t="shared" si="35"/>
        <v>0</v>
      </c>
      <c r="CG75" s="806">
        <f t="shared" si="36"/>
        <v>0</v>
      </c>
      <c r="CT75" s="806">
        <f t="shared" si="37"/>
        <v>0</v>
      </c>
      <c r="DG75" s="806">
        <f t="shared" si="56"/>
        <v>0</v>
      </c>
    </row>
    <row r="76" spans="1:111" hidden="1" x14ac:dyDescent="0.25">
      <c r="A76" s="370"/>
      <c r="B76" s="839" t="s">
        <v>978</v>
      </c>
      <c r="C76" s="54" t="s">
        <v>966</v>
      </c>
      <c r="D76" s="845" t="s">
        <v>929</v>
      </c>
      <c r="E76" s="841" t="s">
        <v>931</v>
      </c>
      <c r="F76" s="845" t="s">
        <v>982</v>
      </c>
      <c r="G76" s="844">
        <v>6149.33</v>
      </c>
      <c r="H76" s="842">
        <v>6149.33</v>
      </c>
      <c r="I76" s="843"/>
      <c r="J76" s="803"/>
      <c r="K76" s="809"/>
      <c r="L76" s="810"/>
      <c r="M76" s="394"/>
      <c r="N76" s="394"/>
      <c r="O76" s="2"/>
      <c r="P76" s="2"/>
      <c r="Q76" s="2"/>
      <c r="R76" s="2"/>
      <c r="S76" s="2"/>
      <c r="T76" s="2"/>
      <c r="U76" s="2"/>
      <c r="V76" s="2"/>
      <c r="W76" s="2"/>
      <c r="X76" s="2"/>
      <c r="Y76" s="2"/>
      <c r="Z76" s="2"/>
      <c r="AA76" s="828"/>
      <c r="AB76" s="2"/>
      <c r="AC76" s="2"/>
      <c r="AD76" s="2"/>
      <c r="AE76" s="2"/>
      <c r="AF76" s="2"/>
      <c r="AG76" s="2"/>
      <c r="AH76" s="2"/>
      <c r="AI76" s="2"/>
      <c r="AJ76" s="2"/>
      <c r="AK76" s="2"/>
      <c r="AL76" s="2"/>
      <c r="AM76" s="2"/>
      <c r="AN76" s="828"/>
      <c r="AO76" s="828"/>
      <c r="AP76" s="828"/>
      <c r="AQ76" s="828"/>
      <c r="AR76" s="828"/>
      <c r="AS76" s="828"/>
      <c r="AT76" s="828"/>
      <c r="AU76" s="2"/>
      <c r="AV76" s="2"/>
      <c r="AW76" s="2"/>
      <c r="AX76" s="2"/>
      <c r="AY76" s="2"/>
      <c r="AZ76" s="2"/>
      <c r="BA76" s="2"/>
      <c r="BB76" s="2"/>
      <c r="BC76" s="2"/>
      <c r="BD76" s="2"/>
      <c r="BE76" s="2"/>
      <c r="BF76" s="2"/>
      <c r="BG76" s="806">
        <f t="shared" si="34"/>
        <v>0</v>
      </c>
      <c r="BH76" s="807"/>
      <c r="BI76" s="807"/>
      <c r="BJ76" s="807"/>
      <c r="BK76" s="807"/>
      <c r="BL76" s="807"/>
      <c r="BM76" s="807"/>
      <c r="BN76" s="807"/>
      <c r="BO76" s="807"/>
      <c r="BP76" s="807"/>
      <c r="BQ76" s="807"/>
      <c r="BR76" s="807"/>
      <c r="BS76" s="807"/>
      <c r="BT76" s="806">
        <f t="shared" si="35"/>
        <v>0</v>
      </c>
      <c r="CG76" s="806">
        <f t="shared" si="36"/>
        <v>0</v>
      </c>
      <c r="CT76" s="806">
        <f t="shared" si="37"/>
        <v>0</v>
      </c>
      <c r="DG76" s="806">
        <f t="shared" si="56"/>
        <v>0</v>
      </c>
    </row>
    <row r="77" spans="1:111" hidden="1" x14ac:dyDescent="0.25">
      <c r="A77" s="370"/>
      <c r="B77" s="839" t="s">
        <v>978</v>
      </c>
      <c r="C77" s="54" t="s">
        <v>983</v>
      </c>
      <c r="D77" s="845" t="s">
        <v>929</v>
      </c>
      <c r="E77" s="841" t="s">
        <v>931</v>
      </c>
      <c r="F77" s="845" t="s">
        <v>982</v>
      </c>
      <c r="G77" s="844">
        <v>4938.3</v>
      </c>
      <c r="H77" s="842">
        <v>4938.3</v>
      </c>
      <c r="I77" s="843"/>
      <c r="J77" s="803"/>
      <c r="K77" s="809"/>
      <c r="L77" s="810"/>
      <c r="M77" s="394"/>
      <c r="N77" s="394"/>
      <c r="O77" s="2"/>
      <c r="P77" s="2"/>
      <c r="Q77" s="2"/>
      <c r="R77" s="2"/>
      <c r="S77" s="2"/>
      <c r="T77" s="2"/>
      <c r="U77" s="2"/>
      <c r="V77" s="2"/>
      <c r="W77" s="2"/>
      <c r="X77" s="2"/>
      <c r="Y77" s="2"/>
      <c r="Z77" s="2"/>
      <c r="AA77" s="828"/>
      <c r="AB77" s="2"/>
      <c r="AC77" s="2"/>
      <c r="AD77" s="2"/>
      <c r="AE77" s="2"/>
      <c r="AF77" s="2"/>
      <c r="AG77" s="2"/>
      <c r="AH77" s="2"/>
      <c r="AI77" s="2"/>
      <c r="AJ77" s="2"/>
      <c r="AK77" s="2"/>
      <c r="AL77" s="2"/>
      <c r="AM77" s="2"/>
      <c r="AN77" s="828"/>
      <c r="AO77" s="828"/>
      <c r="AP77" s="828"/>
      <c r="AQ77" s="828"/>
      <c r="AR77" s="828"/>
      <c r="AS77" s="828"/>
      <c r="AT77" s="828"/>
      <c r="AU77" s="2"/>
      <c r="AV77" s="2"/>
      <c r="AW77" s="2"/>
      <c r="AX77" s="2"/>
      <c r="AY77" s="2"/>
      <c r="AZ77" s="2"/>
      <c r="BA77" s="2"/>
      <c r="BB77" s="2"/>
      <c r="BC77" s="2"/>
      <c r="BD77" s="2"/>
      <c r="BE77" s="2"/>
      <c r="BF77" s="2"/>
      <c r="BG77" s="806">
        <f t="shared" si="34"/>
        <v>0</v>
      </c>
      <c r="BH77" s="807"/>
      <c r="BI77" s="807"/>
      <c r="BJ77" s="807"/>
      <c r="BK77" s="807"/>
      <c r="BL77" s="807"/>
      <c r="BM77" s="807"/>
      <c r="BN77" s="807"/>
      <c r="BO77" s="807"/>
      <c r="BP77" s="807"/>
      <c r="BQ77" s="807"/>
      <c r="BR77" s="807"/>
      <c r="BS77" s="807"/>
      <c r="BT77" s="806">
        <f t="shared" si="35"/>
        <v>0</v>
      </c>
      <c r="CG77" s="806">
        <f t="shared" si="36"/>
        <v>0</v>
      </c>
      <c r="CT77" s="806">
        <f t="shared" si="37"/>
        <v>0</v>
      </c>
      <c r="DG77" s="806">
        <f t="shared" si="56"/>
        <v>0</v>
      </c>
    </row>
    <row r="78" spans="1:111" hidden="1" x14ac:dyDescent="0.25">
      <c r="A78" s="370"/>
      <c r="B78" s="839" t="s">
        <v>978</v>
      </c>
      <c r="C78" s="54" t="s">
        <v>967</v>
      </c>
      <c r="D78" s="845" t="s">
        <v>929</v>
      </c>
      <c r="E78" s="841" t="s">
        <v>931</v>
      </c>
      <c r="F78" s="845" t="s">
        <v>982</v>
      </c>
      <c r="G78" s="844">
        <v>6149.33</v>
      </c>
      <c r="H78" s="842">
        <v>6149.33</v>
      </c>
      <c r="I78" s="843"/>
      <c r="J78" s="803"/>
      <c r="K78" s="809"/>
      <c r="L78" s="810"/>
      <c r="M78" s="394"/>
      <c r="N78" s="394"/>
      <c r="O78" s="2"/>
      <c r="P78" s="2"/>
      <c r="Q78" s="2"/>
      <c r="R78" s="2"/>
      <c r="S78" s="2"/>
      <c r="T78" s="2"/>
      <c r="U78" s="2"/>
      <c r="V78" s="2"/>
      <c r="W78" s="2"/>
      <c r="X78" s="2"/>
      <c r="Y78" s="2"/>
      <c r="Z78" s="2"/>
      <c r="AA78" s="828"/>
      <c r="AB78" s="2"/>
      <c r="AC78" s="2"/>
      <c r="AD78" s="2"/>
      <c r="AE78" s="2"/>
      <c r="AF78" s="2"/>
      <c r="AG78" s="2"/>
      <c r="AH78" s="2"/>
      <c r="AI78" s="2"/>
      <c r="AJ78" s="2"/>
      <c r="AK78" s="2"/>
      <c r="AL78" s="2"/>
      <c r="AM78" s="2"/>
      <c r="AN78" s="828"/>
      <c r="AO78" s="828"/>
      <c r="AP78" s="828"/>
      <c r="AQ78" s="828"/>
      <c r="AR78" s="828"/>
      <c r="AS78" s="828"/>
      <c r="AT78" s="828"/>
      <c r="AU78" s="2"/>
      <c r="AV78" s="2"/>
      <c r="AW78" s="2"/>
      <c r="AX78" s="2"/>
      <c r="AY78" s="2"/>
      <c r="AZ78" s="2"/>
      <c r="BA78" s="2"/>
      <c r="BB78" s="2"/>
      <c r="BC78" s="2"/>
      <c r="BD78" s="2"/>
      <c r="BE78" s="2"/>
      <c r="BF78" s="2"/>
      <c r="BG78" s="806">
        <f t="shared" si="34"/>
        <v>0</v>
      </c>
      <c r="BH78" s="807"/>
      <c r="BI78" s="807"/>
      <c r="BJ78" s="807"/>
      <c r="BK78" s="807"/>
      <c r="BL78" s="807"/>
      <c r="BM78" s="807"/>
      <c r="BN78" s="807"/>
      <c r="BO78" s="807"/>
      <c r="BP78" s="807"/>
      <c r="BQ78" s="807"/>
      <c r="BR78" s="807"/>
      <c r="BS78" s="807"/>
      <c r="BT78" s="806">
        <f t="shared" si="35"/>
        <v>0</v>
      </c>
      <c r="CG78" s="806">
        <f t="shared" si="36"/>
        <v>0</v>
      </c>
      <c r="CT78" s="806">
        <f t="shared" si="37"/>
        <v>0</v>
      </c>
      <c r="DG78" s="806">
        <f t="shared" si="56"/>
        <v>0</v>
      </c>
    </row>
    <row r="79" spans="1:111" hidden="1" x14ac:dyDescent="0.25">
      <c r="A79" s="370"/>
      <c r="B79" s="839" t="s">
        <v>978</v>
      </c>
      <c r="C79" s="54" t="s">
        <v>984</v>
      </c>
      <c r="D79" s="845" t="s">
        <v>929</v>
      </c>
      <c r="E79" s="841" t="s">
        <v>931</v>
      </c>
      <c r="F79" s="845" t="s">
        <v>982</v>
      </c>
      <c r="G79" s="844">
        <v>9876.6</v>
      </c>
      <c r="H79" s="842">
        <v>9876.6</v>
      </c>
      <c r="I79" s="843"/>
      <c r="J79" s="803"/>
      <c r="K79" s="809"/>
      <c r="L79" s="810"/>
      <c r="M79" s="394"/>
      <c r="N79" s="394"/>
      <c r="O79" s="2"/>
      <c r="P79" s="2"/>
      <c r="Q79" s="2"/>
      <c r="R79" s="2"/>
      <c r="S79" s="2"/>
      <c r="T79" s="2"/>
      <c r="U79" s="2"/>
      <c r="V79" s="2"/>
      <c r="W79" s="2"/>
      <c r="X79" s="2"/>
      <c r="Y79" s="2"/>
      <c r="Z79" s="2"/>
      <c r="AA79" s="828"/>
      <c r="AB79" s="2"/>
      <c r="AC79" s="2"/>
      <c r="AD79" s="2"/>
      <c r="AE79" s="2"/>
      <c r="AF79" s="2"/>
      <c r="AG79" s="2"/>
      <c r="AH79" s="2"/>
      <c r="AI79" s="2"/>
      <c r="AJ79" s="2"/>
      <c r="AK79" s="2"/>
      <c r="AL79" s="2"/>
      <c r="AM79" s="2"/>
      <c r="AN79" s="828"/>
      <c r="AO79" s="828"/>
      <c r="AP79" s="828"/>
      <c r="AQ79" s="828"/>
      <c r="AR79" s="828"/>
      <c r="AS79" s="828"/>
      <c r="AT79" s="828"/>
      <c r="AU79" s="2"/>
      <c r="AV79" s="2"/>
      <c r="AW79" s="2"/>
      <c r="AX79" s="2"/>
      <c r="AY79" s="2"/>
      <c r="AZ79" s="2"/>
      <c r="BA79" s="2"/>
      <c r="BB79" s="2"/>
      <c r="BC79" s="2"/>
      <c r="BD79" s="2"/>
      <c r="BE79" s="2"/>
      <c r="BF79" s="2"/>
      <c r="BG79" s="806">
        <f t="shared" si="34"/>
        <v>0</v>
      </c>
      <c r="BH79" s="807"/>
      <c r="BI79" s="807"/>
      <c r="BJ79" s="807"/>
      <c r="BK79" s="807"/>
      <c r="BL79" s="807"/>
      <c r="BM79" s="807"/>
      <c r="BN79" s="807"/>
      <c r="BO79" s="807"/>
      <c r="BP79" s="807"/>
      <c r="BQ79" s="807"/>
      <c r="BR79" s="807"/>
      <c r="BS79" s="807"/>
      <c r="BT79" s="806">
        <f t="shared" si="35"/>
        <v>0</v>
      </c>
      <c r="CG79" s="806">
        <f t="shared" si="36"/>
        <v>0</v>
      </c>
      <c r="CT79" s="806">
        <f t="shared" si="37"/>
        <v>0</v>
      </c>
      <c r="DG79" s="806">
        <f t="shared" si="56"/>
        <v>0</v>
      </c>
    </row>
    <row r="80" spans="1:111" hidden="1" x14ac:dyDescent="0.25">
      <c r="A80" s="370"/>
      <c r="B80" s="839" t="s">
        <v>978</v>
      </c>
      <c r="C80" s="54" t="s">
        <v>985</v>
      </c>
      <c r="D80" s="845" t="s">
        <v>929</v>
      </c>
      <c r="E80" s="841" t="s">
        <v>931</v>
      </c>
      <c r="F80" s="845" t="s">
        <v>982</v>
      </c>
      <c r="G80" s="844">
        <v>6149.33</v>
      </c>
      <c r="H80" s="842">
        <v>6149.33</v>
      </c>
      <c r="I80" s="843"/>
      <c r="J80" s="803"/>
      <c r="K80" s="809"/>
      <c r="L80" s="810"/>
      <c r="M80" s="394"/>
      <c r="N80" s="394"/>
      <c r="O80" s="2"/>
      <c r="P80" s="2"/>
      <c r="Q80" s="2"/>
      <c r="R80" s="2"/>
      <c r="S80" s="2"/>
      <c r="T80" s="2"/>
      <c r="U80" s="2"/>
      <c r="V80" s="2"/>
      <c r="W80" s="2"/>
      <c r="X80" s="2"/>
      <c r="Y80" s="2"/>
      <c r="Z80" s="2"/>
      <c r="AA80" s="828"/>
      <c r="AB80" s="2"/>
      <c r="AC80" s="2"/>
      <c r="AD80" s="2"/>
      <c r="AE80" s="2"/>
      <c r="AF80" s="2"/>
      <c r="AG80" s="2"/>
      <c r="AH80" s="2"/>
      <c r="AI80" s="2"/>
      <c r="AJ80" s="2"/>
      <c r="AK80" s="2"/>
      <c r="AL80" s="2"/>
      <c r="AM80" s="2"/>
      <c r="AN80" s="828"/>
      <c r="AO80" s="828"/>
      <c r="AP80" s="828"/>
      <c r="AQ80" s="828"/>
      <c r="AR80" s="828"/>
      <c r="AS80" s="828"/>
      <c r="AT80" s="828"/>
      <c r="AU80" s="2"/>
      <c r="AV80" s="2"/>
      <c r="AW80" s="2"/>
      <c r="AX80" s="2"/>
      <c r="AY80" s="2"/>
      <c r="AZ80" s="2"/>
      <c r="BA80" s="2"/>
      <c r="BB80" s="2"/>
      <c r="BC80" s="2"/>
      <c r="BD80" s="2"/>
      <c r="BE80" s="2"/>
      <c r="BF80" s="2"/>
      <c r="BG80" s="806">
        <f t="shared" si="34"/>
        <v>0</v>
      </c>
      <c r="BH80" s="807"/>
      <c r="BI80" s="807"/>
      <c r="BJ80" s="807"/>
      <c r="BK80" s="807"/>
      <c r="BL80" s="807"/>
      <c r="BM80" s="807"/>
      <c r="BN80" s="807"/>
      <c r="BO80" s="807"/>
      <c r="BP80" s="807"/>
      <c r="BQ80" s="807"/>
      <c r="BR80" s="807"/>
      <c r="BS80" s="807"/>
      <c r="BT80" s="806">
        <f t="shared" si="35"/>
        <v>0</v>
      </c>
      <c r="CG80" s="806">
        <f t="shared" si="36"/>
        <v>0</v>
      </c>
      <c r="CT80" s="806">
        <f t="shared" si="37"/>
        <v>0</v>
      </c>
      <c r="DG80" s="806">
        <f t="shared" si="56"/>
        <v>0</v>
      </c>
    </row>
    <row r="81" spans="1:111" hidden="1" x14ac:dyDescent="0.25">
      <c r="A81" s="370"/>
      <c r="B81" s="839" t="s">
        <v>978</v>
      </c>
      <c r="C81" s="54" t="s">
        <v>969</v>
      </c>
      <c r="D81" s="845" t="s">
        <v>929</v>
      </c>
      <c r="E81" s="841" t="s">
        <v>931</v>
      </c>
      <c r="F81" s="845" t="s">
        <v>982</v>
      </c>
      <c r="G81" s="844">
        <v>14814.9</v>
      </c>
      <c r="H81" s="842">
        <v>14814.9</v>
      </c>
      <c r="I81" s="843"/>
      <c r="J81" s="803"/>
      <c r="K81" s="809"/>
      <c r="L81" s="810"/>
      <c r="M81" s="394"/>
      <c r="N81" s="394"/>
      <c r="O81" s="2"/>
      <c r="P81" s="2"/>
      <c r="Q81" s="2"/>
      <c r="R81" s="2"/>
      <c r="S81" s="2"/>
      <c r="T81" s="2"/>
      <c r="U81" s="2"/>
      <c r="V81" s="2"/>
      <c r="W81" s="2"/>
      <c r="X81" s="2"/>
      <c r="Y81" s="2"/>
      <c r="Z81" s="2"/>
      <c r="AA81" s="828"/>
      <c r="AB81" s="2"/>
      <c r="AC81" s="2"/>
      <c r="AD81" s="2"/>
      <c r="AE81" s="2"/>
      <c r="AF81" s="2"/>
      <c r="AG81" s="2"/>
      <c r="AH81" s="2"/>
      <c r="AI81" s="2"/>
      <c r="AJ81" s="2"/>
      <c r="AK81" s="2"/>
      <c r="AL81" s="2"/>
      <c r="AM81" s="2"/>
      <c r="AN81" s="828"/>
      <c r="AO81" s="828"/>
      <c r="AP81" s="828"/>
      <c r="AQ81" s="828"/>
      <c r="AR81" s="828"/>
      <c r="AS81" s="828"/>
      <c r="AT81" s="828"/>
      <c r="AU81" s="2"/>
      <c r="AV81" s="2"/>
      <c r="AW81" s="2"/>
      <c r="AX81" s="2"/>
      <c r="AY81" s="2"/>
      <c r="AZ81" s="2"/>
      <c r="BA81" s="2"/>
      <c r="BB81" s="2"/>
      <c r="BC81" s="2"/>
      <c r="BD81" s="2"/>
      <c r="BE81" s="2"/>
      <c r="BF81" s="2"/>
      <c r="BG81" s="806">
        <f t="shared" si="34"/>
        <v>0</v>
      </c>
      <c r="BH81" s="807"/>
      <c r="BI81" s="807"/>
      <c r="BJ81" s="807"/>
      <c r="BK81" s="807"/>
      <c r="BL81" s="807"/>
      <c r="BM81" s="807"/>
      <c r="BN81" s="807"/>
      <c r="BO81" s="807"/>
      <c r="BP81" s="807"/>
      <c r="BQ81" s="807"/>
      <c r="BR81" s="807"/>
      <c r="BS81" s="807"/>
      <c r="BT81" s="806">
        <f t="shared" si="35"/>
        <v>0</v>
      </c>
      <c r="CG81" s="806">
        <f t="shared" si="36"/>
        <v>0</v>
      </c>
      <c r="CT81" s="806">
        <f t="shared" si="37"/>
        <v>0</v>
      </c>
      <c r="DG81" s="806">
        <f t="shared" si="56"/>
        <v>0</v>
      </c>
    </row>
    <row r="82" spans="1:111" hidden="1" x14ac:dyDescent="0.25">
      <c r="A82" s="370"/>
      <c r="B82" s="839" t="s">
        <v>978</v>
      </c>
      <c r="C82" s="54" t="s">
        <v>986</v>
      </c>
      <c r="D82" s="845" t="s">
        <v>929</v>
      </c>
      <c r="E82" s="841" t="s">
        <v>931</v>
      </c>
      <c r="F82" s="845" t="s">
        <v>982</v>
      </c>
      <c r="G82" s="844">
        <v>6149.33</v>
      </c>
      <c r="H82" s="842">
        <v>6149.33</v>
      </c>
      <c r="I82" s="843"/>
      <c r="J82" s="803"/>
      <c r="K82" s="809"/>
      <c r="L82" s="810"/>
      <c r="M82" s="394"/>
      <c r="N82" s="394"/>
      <c r="O82" s="2"/>
      <c r="P82" s="2"/>
      <c r="Q82" s="2"/>
      <c r="R82" s="2"/>
      <c r="S82" s="2"/>
      <c r="T82" s="2"/>
      <c r="U82" s="2"/>
      <c r="V82" s="2"/>
      <c r="W82" s="2"/>
      <c r="X82" s="2"/>
      <c r="Y82" s="2"/>
      <c r="Z82" s="2"/>
      <c r="AA82" s="828"/>
      <c r="AB82" s="2"/>
      <c r="AC82" s="2"/>
      <c r="AD82" s="2"/>
      <c r="AE82" s="2"/>
      <c r="AF82" s="2"/>
      <c r="AG82" s="2"/>
      <c r="AH82" s="2"/>
      <c r="AI82" s="2"/>
      <c r="AJ82" s="2"/>
      <c r="AK82" s="2"/>
      <c r="AL82" s="2"/>
      <c r="AM82" s="2"/>
      <c r="AN82" s="828"/>
      <c r="AO82" s="828"/>
      <c r="AP82" s="828"/>
      <c r="AQ82" s="828"/>
      <c r="AR82" s="828"/>
      <c r="AS82" s="828"/>
      <c r="AT82" s="828"/>
      <c r="AU82" s="2"/>
      <c r="AV82" s="2"/>
      <c r="AW82" s="2"/>
      <c r="AX82" s="2"/>
      <c r="AY82" s="2"/>
      <c r="AZ82" s="2"/>
      <c r="BA82" s="2"/>
      <c r="BB82" s="2"/>
      <c r="BC82" s="2"/>
      <c r="BD82" s="2"/>
      <c r="BE82" s="2"/>
      <c r="BF82" s="2"/>
      <c r="BG82" s="806">
        <f t="shared" si="34"/>
        <v>0</v>
      </c>
      <c r="BH82" s="807"/>
      <c r="BI82" s="807"/>
      <c r="BJ82" s="807"/>
      <c r="BK82" s="807"/>
      <c r="BL82" s="807"/>
      <c r="BM82" s="807"/>
      <c r="BN82" s="807"/>
      <c r="BO82" s="807"/>
      <c r="BP82" s="807"/>
      <c r="BQ82" s="807"/>
      <c r="BR82" s="807"/>
      <c r="BS82" s="807"/>
      <c r="BT82" s="806">
        <f t="shared" si="35"/>
        <v>0</v>
      </c>
      <c r="CG82" s="806">
        <f t="shared" si="36"/>
        <v>0</v>
      </c>
      <c r="CT82" s="806">
        <f t="shared" si="37"/>
        <v>0</v>
      </c>
      <c r="DG82" s="806">
        <f t="shared" si="56"/>
        <v>0</v>
      </c>
    </row>
    <row r="83" spans="1:111" hidden="1" x14ac:dyDescent="0.25">
      <c r="A83" s="370"/>
      <c r="B83" s="839" t="s">
        <v>978</v>
      </c>
      <c r="C83" s="54" t="s">
        <v>987</v>
      </c>
      <c r="D83" s="845" t="s">
        <v>929</v>
      </c>
      <c r="E83" s="841" t="s">
        <v>931</v>
      </c>
      <c r="F83" s="845" t="s">
        <v>982</v>
      </c>
      <c r="G83" s="844">
        <v>6149.33</v>
      </c>
      <c r="H83" s="842">
        <v>6149.33</v>
      </c>
      <c r="I83" s="843"/>
      <c r="J83" s="803"/>
      <c r="K83" s="809"/>
      <c r="L83" s="810"/>
      <c r="M83" s="394"/>
      <c r="N83" s="394"/>
      <c r="O83" s="2"/>
      <c r="P83" s="2"/>
      <c r="Q83" s="2"/>
      <c r="R83" s="2"/>
      <c r="S83" s="2"/>
      <c r="T83" s="2"/>
      <c r="U83" s="2"/>
      <c r="V83" s="2"/>
      <c r="W83" s="2"/>
      <c r="X83" s="2"/>
      <c r="Y83" s="2"/>
      <c r="Z83" s="2"/>
      <c r="AA83" s="828"/>
      <c r="AB83" s="2"/>
      <c r="AC83" s="2"/>
      <c r="AD83" s="2"/>
      <c r="AE83" s="2"/>
      <c r="AF83" s="2"/>
      <c r="AG83" s="2"/>
      <c r="AH83" s="2"/>
      <c r="AI83" s="2"/>
      <c r="AJ83" s="2"/>
      <c r="AK83" s="2"/>
      <c r="AL83" s="2"/>
      <c r="AM83" s="2"/>
      <c r="AN83" s="828"/>
      <c r="AO83" s="828"/>
      <c r="AP83" s="828"/>
      <c r="AQ83" s="828"/>
      <c r="AR83" s="828"/>
      <c r="AS83" s="828"/>
      <c r="AT83" s="828"/>
      <c r="AU83" s="2"/>
      <c r="AV83" s="2"/>
      <c r="AW83" s="2"/>
      <c r="AX83" s="2"/>
      <c r="AY83" s="2"/>
      <c r="AZ83" s="2"/>
      <c r="BA83" s="2"/>
      <c r="BB83" s="2"/>
      <c r="BC83" s="2"/>
      <c r="BD83" s="2"/>
      <c r="BE83" s="2"/>
      <c r="BF83" s="2"/>
      <c r="BG83" s="806">
        <f t="shared" si="34"/>
        <v>0</v>
      </c>
      <c r="BH83" s="807"/>
      <c r="BI83" s="807"/>
      <c r="BJ83" s="807"/>
      <c r="BK83" s="807"/>
      <c r="BL83" s="807"/>
      <c r="BM83" s="807"/>
      <c r="BN83" s="807"/>
      <c r="BO83" s="807"/>
      <c r="BP83" s="807"/>
      <c r="BQ83" s="807"/>
      <c r="BR83" s="807"/>
      <c r="BS83" s="807"/>
      <c r="BT83" s="806">
        <f t="shared" si="35"/>
        <v>0</v>
      </c>
      <c r="CG83" s="806">
        <f t="shared" si="36"/>
        <v>0</v>
      </c>
      <c r="CT83" s="806">
        <f t="shared" si="37"/>
        <v>0</v>
      </c>
      <c r="DG83" s="806">
        <f t="shared" si="56"/>
        <v>0</v>
      </c>
    </row>
    <row r="84" spans="1:111" hidden="1" x14ac:dyDescent="0.25">
      <c r="A84" s="370"/>
      <c r="B84" s="839" t="s">
        <v>978</v>
      </c>
      <c r="C84" s="54" t="s">
        <v>988</v>
      </c>
      <c r="D84" s="845" t="s">
        <v>929</v>
      </c>
      <c r="E84" s="841" t="s">
        <v>931</v>
      </c>
      <c r="F84" s="845" t="s">
        <v>982</v>
      </c>
      <c r="G84" s="844">
        <v>9876.6</v>
      </c>
      <c r="H84" s="842">
        <v>9876.6</v>
      </c>
      <c r="I84" s="843"/>
      <c r="J84" s="803"/>
      <c r="K84" s="809"/>
      <c r="L84" s="810"/>
      <c r="M84" s="394"/>
      <c r="N84" s="394"/>
      <c r="O84" s="2"/>
      <c r="P84" s="2"/>
      <c r="Q84" s="2"/>
      <c r="R84" s="2"/>
      <c r="S84" s="2"/>
      <c r="T84" s="2"/>
      <c r="U84" s="2"/>
      <c r="V84" s="2"/>
      <c r="W84" s="2"/>
      <c r="X84" s="2"/>
      <c r="Y84" s="2"/>
      <c r="Z84" s="2"/>
      <c r="AA84" s="828"/>
      <c r="AB84" s="2"/>
      <c r="AC84" s="2"/>
      <c r="AD84" s="2"/>
      <c r="AE84" s="2"/>
      <c r="AF84" s="2"/>
      <c r="AG84" s="2"/>
      <c r="AH84" s="2"/>
      <c r="AI84" s="2"/>
      <c r="AJ84" s="2"/>
      <c r="AK84" s="2"/>
      <c r="AL84" s="2"/>
      <c r="AM84" s="2"/>
      <c r="AN84" s="828"/>
      <c r="AO84" s="828"/>
      <c r="AP84" s="828"/>
      <c r="AQ84" s="828"/>
      <c r="AR84" s="828"/>
      <c r="AS84" s="828"/>
      <c r="AT84" s="828"/>
      <c r="AU84" s="2"/>
      <c r="AV84" s="2"/>
      <c r="AW84" s="2"/>
      <c r="AX84" s="2"/>
      <c r="AY84" s="2"/>
      <c r="AZ84" s="2"/>
      <c r="BA84" s="2"/>
      <c r="BB84" s="2"/>
      <c r="BC84" s="2"/>
      <c r="BD84" s="2"/>
      <c r="BE84" s="2"/>
      <c r="BF84" s="2"/>
      <c r="BG84" s="806">
        <f t="shared" si="34"/>
        <v>0</v>
      </c>
      <c r="BH84" s="807"/>
      <c r="BI84" s="807"/>
      <c r="BJ84" s="807"/>
      <c r="BK84" s="807"/>
      <c r="BL84" s="807"/>
      <c r="BM84" s="807"/>
      <c r="BN84" s="807"/>
      <c r="BO84" s="807"/>
      <c r="BP84" s="807"/>
      <c r="BQ84" s="807"/>
      <c r="BR84" s="807"/>
      <c r="BS84" s="807"/>
      <c r="BT84" s="806">
        <f t="shared" si="35"/>
        <v>0</v>
      </c>
      <c r="CG84" s="806">
        <f t="shared" si="36"/>
        <v>0</v>
      </c>
      <c r="CT84" s="806">
        <f t="shared" si="37"/>
        <v>0</v>
      </c>
      <c r="DG84" s="806">
        <f t="shared" si="56"/>
        <v>0</v>
      </c>
    </row>
    <row r="85" spans="1:111" hidden="1" x14ac:dyDescent="0.25">
      <c r="A85" s="370"/>
      <c r="B85" s="839" t="s">
        <v>978</v>
      </c>
      <c r="C85" s="54" t="s">
        <v>972</v>
      </c>
      <c r="D85" s="845" t="s">
        <v>929</v>
      </c>
      <c r="E85" s="841" t="s">
        <v>931</v>
      </c>
      <c r="F85" s="845" t="s">
        <v>982</v>
      </c>
      <c r="G85" s="844">
        <v>9876.6</v>
      </c>
      <c r="H85" s="842">
        <v>9876.6</v>
      </c>
      <c r="I85" s="843"/>
      <c r="J85" s="803"/>
      <c r="K85" s="809"/>
      <c r="L85" s="810"/>
      <c r="M85" s="394"/>
      <c r="N85" s="394"/>
      <c r="O85" s="2"/>
      <c r="P85" s="2"/>
      <c r="Q85" s="2"/>
      <c r="R85" s="2"/>
      <c r="S85" s="2"/>
      <c r="T85" s="2"/>
      <c r="U85" s="2"/>
      <c r="V85" s="2"/>
      <c r="W85" s="2"/>
      <c r="X85" s="2"/>
      <c r="Y85" s="2"/>
      <c r="Z85" s="2"/>
      <c r="AA85" s="828"/>
      <c r="AB85" s="2"/>
      <c r="AC85" s="2"/>
      <c r="AD85" s="2"/>
      <c r="AE85" s="2"/>
      <c r="AF85" s="2"/>
      <c r="AG85" s="2"/>
      <c r="AH85" s="2"/>
      <c r="AI85" s="2"/>
      <c r="AJ85" s="2"/>
      <c r="AK85" s="2"/>
      <c r="AL85" s="2"/>
      <c r="AM85" s="2"/>
      <c r="AN85" s="828"/>
      <c r="AO85" s="828"/>
      <c r="AP85" s="828"/>
      <c r="AQ85" s="828"/>
      <c r="AR85" s="828"/>
      <c r="AS85" s="828"/>
      <c r="AT85" s="828"/>
      <c r="AU85" s="2"/>
      <c r="AV85" s="2"/>
      <c r="AW85" s="2"/>
      <c r="AX85" s="2"/>
      <c r="AY85" s="2"/>
      <c r="AZ85" s="2"/>
      <c r="BA85" s="2"/>
      <c r="BB85" s="2"/>
      <c r="BC85" s="2"/>
      <c r="BD85" s="2"/>
      <c r="BE85" s="2"/>
      <c r="BF85" s="2"/>
      <c r="BG85" s="806">
        <f t="shared" si="34"/>
        <v>0</v>
      </c>
      <c r="BH85" s="807"/>
      <c r="BI85" s="807"/>
      <c r="BJ85" s="807"/>
      <c r="BK85" s="807"/>
      <c r="BL85" s="807"/>
      <c r="BM85" s="807"/>
      <c r="BN85" s="807"/>
      <c r="BO85" s="807"/>
      <c r="BP85" s="807"/>
      <c r="BQ85" s="807"/>
      <c r="BR85" s="807"/>
      <c r="BS85" s="807"/>
      <c r="BT85" s="806">
        <f t="shared" si="35"/>
        <v>0</v>
      </c>
      <c r="CG85" s="806">
        <f t="shared" si="36"/>
        <v>0</v>
      </c>
      <c r="CT85" s="806">
        <f t="shared" si="37"/>
        <v>0</v>
      </c>
      <c r="DG85" s="806">
        <f t="shared" si="56"/>
        <v>0</v>
      </c>
    </row>
    <row r="86" spans="1:111" hidden="1" x14ac:dyDescent="0.25">
      <c r="A86" s="370"/>
      <c r="B86" s="839" t="s">
        <v>978</v>
      </c>
      <c r="C86" s="54" t="s">
        <v>973</v>
      </c>
      <c r="D86" s="845" t="s">
        <v>929</v>
      </c>
      <c r="E86" s="841" t="s">
        <v>931</v>
      </c>
      <c r="F86" s="845" t="s">
        <v>982</v>
      </c>
      <c r="G86" s="844">
        <v>9876.6</v>
      </c>
      <c r="H86" s="842">
        <v>9876.6</v>
      </c>
      <c r="I86" s="843"/>
      <c r="J86" s="803"/>
      <c r="K86" s="809"/>
      <c r="L86" s="810"/>
      <c r="M86" s="394"/>
      <c r="N86" s="394"/>
      <c r="O86" s="2"/>
      <c r="P86" s="2"/>
      <c r="Q86" s="2"/>
      <c r="R86" s="2"/>
      <c r="S86" s="2"/>
      <c r="T86" s="2"/>
      <c r="U86" s="2"/>
      <c r="V86" s="2"/>
      <c r="W86" s="2"/>
      <c r="X86" s="2"/>
      <c r="Y86" s="2"/>
      <c r="Z86" s="2"/>
      <c r="AA86" s="828"/>
      <c r="AB86" s="2"/>
      <c r="AC86" s="2"/>
      <c r="AD86" s="2"/>
      <c r="AE86" s="2"/>
      <c r="AF86" s="2"/>
      <c r="AG86" s="2"/>
      <c r="AH86" s="2"/>
      <c r="AI86" s="2"/>
      <c r="AJ86" s="2"/>
      <c r="AK86" s="2"/>
      <c r="AL86" s="2"/>
      <c r="AM86" s="2"/>
      <c r="AN86" s="828"/>
      <c r="AO86" s="828"/>
      <c r="AP86" s="828"/>
      <c r="AQ86" s="828"/>
      <c r="AR86" s="828"/>
      <c r="AS86" s="828"/>
      <c r="AT86" s="828"/>
      <c r="AU86" s="2"/>
      <c r="AV86" s="2"/>
      <c r="AW86" s="2"/>
      <c r="AX86" s="2"/>
      <c r="AY86" s="2"/>
      <c r="AZ86" s="2"/>
      <c r="BA86" s="2"/>
      <c r="BB86" s="2"/>
      <c r="BC86" s="2"/>
      <c r="BD86" s="2"/>
      <c r="BE86" s="2"/>
      <c r="BF86" s="2"/>
      <c r="BG86" s="806">
        <f t="shared" ref="BG86:BG146" si="57">SUM(AU86:BF86)</f>
        <v>0</v>
      </c>
      <c r="BH86" s="807"/>
      <c r="BI86" s="807"/>
      <c r="BJ86" s="807"/>
      <c r="BK86" s="807"/>
      <c r="BL86" s="807"/>
      <c r="BM86" s="807"/>
      <c r="BN86" s="807"/>
      <c r="BO86" s="807"/>
      <c r="BP86" s="807"/>
      <c r="BQ86" s="807"/>
      <c r="BR86" s="807"/>
      <c r="BS86" s="807"/>
      <c r="BT86" s="806">
        <f t="shared" ref="BT86:BT146" si="58">SUM(BH86:BS86)</f>
        <v>0</v>
      </c>
      <c r="CG86" s="806">
        <f t="shared" ref="CG86:CG140" si="59">SUM(BU86:CF86)</f>
        <v>0</v>
      </c>
      <c r="CT86" s="806">
        <f t="shared" ref="CT86:CT109" si="60">SUM(CH86:CS86)</f>
        <v>0</v>
      </c>
      <c r="DG86" s="806">
        <f t="shared" si="56"/>
        <v>0</v>
      </c>
    </row>
    <row r="87" spans="1:111" hidden="1" x14ac:dyDescent="0.25">
      <c r="A87" s="370"/>
      <c r="B87" s="839" t="s">
        <v>978</v>
      </c>
      <c r="C87" s="54" t="s">
        <v>989</v>
      </c>
      <c r="D87" s="845" t="s">
        <v>929</v>
      </c>
      <c r="E87" s="841" t="s">
        <v>931</v>
      </c>
      <c r="F87" s="845" t="s">
        <v>982</v>
      </c>
      <c r="G87" s="844">
        <v>5000</v>
      </c>
      <c r="H87" s="842">
        <v>5000</v>
      </c>
      <c r="I87" s="843"/>
      <c r="J87" s="803"/>
      <c r="K87" s="809"/>
      <c r="L87" s="810"/>
      <c r="M87" s="394"/>
      <c r="N87" s="394"/>
      <c r="O87" s="2"/>
      <c r="P87" s="2"/>
      <c r="Q87" s="2"/>
      <c r="R87" s="2"/>
      <c r="S87" s="2"/>
      <c r="T87" s="2"/>
      <c r="U87" s="2"/>
      <c r="V87" s="2"/>
      <c r="W87" s="2"/>
      <c r="X87" s="2"/>
      <c r="Y87" s="2"/>
      <c r="Z87" s="2"/>
      <c r="AA87" s="828"/>
      <c r="AB87" s="2"/>
      <c r="AC87" s="2"/>
      <c r="AD87" s="2"/>
      <c r="AE87" s="2"/>
      <c r="AF87" s="2"/>
      <c r="AG87" s="2"/>
      <c r="AH87" s="2"/>
      <c r="AI87" s="2"/>
      <c r="AJ87" s="2"/>
      <c r="AK87" s="2"/>
      <c r="AL87" s="2"/>
      <c r="AM87" s="2"/>
      <c r="AN87" s="828"/>
      <c r="AO87" s="828"/>
      <c r="AP87" s="828"/>
      <c r="AQ87" s="828"/>
      <c r="AR87" s="828"/>
      <c r="AS87" s="828"/>
      <c r="AT87" s="828"/>
      <c r="AU87" s="2"/>
      <c r="AV87" s="2"/>
      <c r="AW87" s="2"/>
      <c r="AX87" s="2"/>
      <c r="AY87" s="2"/>
      <c r="AZ87" s="2"/>
      <c r="BA87" s="2"/>
      <c r="BB87" s="2"/>
      <c r="BC87" s="2"/>
      <c r="BD87" s="2"/>
      <c r="BE87" s="2"/>
      <c r="BF87" s="2"/>
      <c r="BG87" s="806">
        <f t="shared" si="57"/>
        <v>0</v>
      </c>
      <c r="BH87" s="807"/>
      <c r="BI87" s="807"/>
      <c r="BJ87" s="807"/>
      <c r="BK87" s="807"/>
      <c r="BL87" s="807"/>
      <c r="BM87" s="807"/>
      <c r="BN87" s="807"/>
      <c r="BO87" s="807"/>
      <c r="BP87" s="807"/>
      <c r="BQ87" s="807"/>
      <c r="BR87" s="807"/>
      <c r="BS87" s="807"/>
      <c r="BT87" s="806">
        <f t="shared" si="58"/>
        <v>0</v>
      </c>
      <c r="CG87" s="806">
        <f t="shared" si="59"/>
        <v>0</v>
      </c>
      <c r="CT87" s="806">
        <f t="shared" si="60"/>
        <v>0</v>
      </c>
      <c r="DG87" s="806">
        <f t="shared" si="56"/>
        <v>0</v>
      </c>
    </row>
    <row r="88" spans="1:111" hidden="1" x14ac:dyDescent="0.25">
      <c r="A88" s="370"/>
      <c r="B88" s="839" t="s">
        <v>978</v>
      </c>
      <c r="C88" s="54" t="s">
        <v>990</v>
      </c>
      <c r="D88" s="845" t="s">
        <v>929</v>
      </c>
      <c r="E88" s="841" t="s">
        <v>931</v>
      </c>
      <c r="F88" s="845" t="s">
        <v>982</v>
      </c>
      <c r="G88" s="844">
        <v>10000</v>
      </c>
      <c r="H88" s="842">
        <v>10000</v>
      </c>
      <c r="I88" s="843"/>
      <c r="J88" s="803"/>
      <c r="K88" s="809"/>
      <c r="L88" s="810"/>
      <c r="M88" s="394"/>
      <c r="N88" s="394"/>
      <c r="O88" s="2"/>
      <c r="P88" s="2"/>
      <c r="Q88" s="2"/>
      <c r="R88" s="2"/>
      <c r="S88" s="2"/>
      <c r="T88" s="2"/>
      <c r="U88" s="2"/>
      <c r="V88" s="2"/>
      <c r="W88" s="2"/>
      <c r="X88" s="2"/>
      <c r="Y88" s="2"/>
      <c r="Z88" s="2"/>
      <c r="AA88" s="828"/>
      <c r="AB88" s="2"/>
      <c r="AC88" s="2"/>
      <c r="AD88" s="2"/>
      <c r="AE88" s="2"/>
      <c r="AF88" s="2"/>
      <c r="AG88" s="2"/>
      <c r="AH88" s="2"/>
      <c r="AI88" s="2"/>
      <c r="AJ88" s="2"/>
      <c r="AK88" s="2"/>
      <c r="AL88" s="2"/>
      <c r="AM88" s="2"/>
      <c r="AN88" s="828"/>
      <c r="AO88" s="828"/>
      <c r="AP88" s="828"/>
      <c r="AQ88" s="828"/>
      <c r="AR88" s="828"/>
      <c r="AS88" s="828"/>
      <c r="AT88" s="828"/>
      <c r="AU88" s="2"/>
      <c r="AV88" s="2"/>
      <c r="AW88" s="2"/>
      <c r="AX88" s="2"/>
      <c r="AY88" s="2"/>
      <c r="AZ88" s="2"/>
      <c r="BA88" s="2"/>
      <c r="BB88" s="2"/>
      <c r="BC88" s="2"/>
      <c r="BD88" s="2"/>
      <c r="BE88" s="2"/>
      <c r="BF88" s="2"/>
      <c r="BG88" s="806">
        <f t="shared" si="57"/>
        <v>0</v>
      </c>
      <c r="BH88" s="807"/>
      <c r="BI88" s="807"/>
      <c r="BJ88" s="807"/>
      <c r="BK88" s="807"/>
      <c r="BL88" s="807"/>
      <c r="BM88" s="807"/>
      <c r="BN88" s="807"/>
      <c r="BO88" s="807"/>
      <c r="BP88" s="807"/>
      <c r="BQ88" s="807"/>
      <c r="BR88" s="807"/>
      <c r="BS88" s="807"/>
      <c r="BT88" s="806">
        <f t="shared" si="58"/>
        <v>0</v>
      </c>
      <c r="CG88" s="806">
        <f t="shared" si="59"/>
        <v>0</v>
      </c>
      <c r="CT88" s="806">
        <f t="shared" si="60"/>
        <v>0</v>
      </c>
      <c r="DG88" s="806">
        <f t="shared" si="56"/>
        <v>0</v>
      </c>
    </row>
    <row r="89" spans="1:111" hidden="1" x14ac:dyDescent="0.25">
      <c r="A89" s="370"/>
      <c r="B89" s="839" t="s">
        <v>978</v>
      </c>
      <c r="C89" s="54" t="s">
        <v>991</v>
      </c>
      <c r="D89" s="845" t="s">
        <v>929</v>
      </c>
      <c r="E89" s="841" t="s">
        <v>931</v>
      </c>
      <c r="F89" s="845" t="s">
        <v>982</v>
      </c>
      <c r="G89" s="844">
        <v>80000</v>
      </c>
      <c r="H89" s="842">
        <v>80000</v>
      </c>
      <c r="I89" s="843"/>
      <c r="J89" s="803"/>
      <c r="K89" s="809"/>
      <c r="L89" s="810"/>
      <c r="M89" s="394"/>
      <c r="N89" s="394"/>
      <c r="O89" s="2"/>
      <c r="P89" s="2"/>
      <c r="Q89" s="2"/>
      <c r="R89" s="2"/>
      <c r="S89" s="2"/>
      <c r="T89" s="2"/>
      <c r="U89" s="2"/>
      <c r="V89" s="2"/>
      <c r="W89" s="2"/>
      <c r="X89" s="2"/>
      <c r="Y89" s="2"/>
      <c r="Z89" s="2"/>
      <c r="AA89" s="828"/>
      <c r="AB89" s="2"/>
      <c r="AC89" s="2"/>
      <c r="AD89" s="2"/>
      <c r="AE89" s="2"/>
      <c r="AF89" s="2"/>
      <c r="AG89" s="2"/>
      <c r="AH89" s="2"/>
      <c r="AI89" s="2"/>
      <c r="AJ89" s="2"/>
      <c r="AK89" s="2"/>
      <c r="AL89" s="2"/>
      <c r="AM89" s="2"/>
      <c r="AN89" s="828"/>
      <c r="AO89" s="828"/>
      <c r="AP89" s="828"/>
      <c r="AQ89" s="828"/>
      <c r="AR89" s="828"/>
      <c r="AS89" s="828"/>
      <c r="AT89" s="828"/>
      <c r="AU89" s="2"/>
      <c r="AV89" s="2"/>
      <c r="AW89" s="2"/>
      <c r="AX89" s="2"/>
      <c r="AY89" s="2"/>
      <c r="AZ89" s="2"/>
      <c r="BA89" s="2"/>
      <c r="BB89" s="2"/>
      <c r="BC89" s="2"/>
      <c r="BD89" s="2"/>
      <c r="BE89" s="2"/>
      <c r="BF89" s="2"/>
      <c r="BG89" s="806">
        <f t="shared" si="57"/>
        <v>0</v>
      </c>
      <c r="BH89" s="807"/>
      <c r="BI89" s="807"/>
      <c r="BJ89" s="807"/>
      <c r="BK89" s="807"/>
      <c r="BL89" s="807"/>
      <c r="BM89" s="807"/>
      <c r="BN89" s="807"/>
      <c r="BO89" s="807"/>
      <c r="BP89" s="807"/>
      <c r="BQ89" s="807"/>
      <c r="BR89" s="807"/>
      <c r="BS89" s="807"/>
      <c r="BT89" s="806">
        <f t="shared" si="58"/>
        <v>0</v>
      </c>
      <c r="CG89" s="806">
        <f t="shared" si="59"/>
        <v>0</v>
      </c>
      <c r="CT89" s="806">
        <f t="shared" si="60"/>
        <v>0</v>
      </c>
      <c r="DG89" s="806">
        <f t="shared" si="56"/>
        <v>0</v>
      </c>
    </row>
    <row r="90" spans="1:111" x14ac:dyDescent="0.25">
      <c r="A90" s="370"/>
      <c r="B90" s="839" t="s">
        <v>992</v>
      </c>
      <c r="C90" s="54" t="s">
        <v>993</v>
      </c>
      <c r="D90" s="845" t="s">
        <v>929</v>
      </c>
      <c r="E90" s="841" t="s">
        <v>931</v>
      </c>
      <c r="F90" s="845" t="s">
        <v>373</v>
      </c>
      <c r="G90" s="844">
        <v>142700</v>
      </c>
      <c r="H90" s="842"/>
      <c r="I90" s="843"/>
      <c r="J90" s="803"/>
      <c r="K90" s="809"/>
      <c r="L90" s="810">
        <f>+AA90+AN90+AO90+BT90+CG90+CT90+DG90</f>
        <v>142700</v>
      </c>
      <c r="M90" s="394">
        <f>+IF(G90&gt;0,G90-L90,H90-L90)</f>
        <v>0</v>
      </c>
      <c r="N90" s="394"/>
      <c r="O90" s="2"/>
      <c r="P90" s="2"/>
      <c r="Q90" s="2"/>
      <c r="R90" s="2"/>
      <c r="S90" s="2"/>
      <c r="T90" s="2"/>
      <c r="U90" s="2"/>
      <c r="V90" s="2"/>
      <c r="W90" s="2"/>
      <c r="X90" s="2"/>
      <c r="Y90" s="2"/>
      <c r="Z90" s="2"/>
      <c r="AA90" s="806">
        <f t="shared" ref="AA90" si="61">SUM(O90:Z90)</f>
        <v>0</v>
      </c>
      <c r="AB90" s="2"/>
      <c r="AC90" s="2"/>
      <c r="AD90" s="2"/>
      <c r="AE90" s="2"/>
      <c r="AF90" s="2"/>
      <c r="AG90" s="2"/>
      <c r="AH90" s="2"/>
      <c r="AI90" s="2"/>
      <c r="AJ90" s="2"/>
      <c r="AK90" s="2"/>
      <c r="AL90" s="2"/>
      <c r="AM90" s="2"/>
      <c r="AN90" s="806">
        <f t="shared" ref="AN90" si="62">SUM(AB90:AM90)</f>
        <v>0</v>
      </c>
      <c r="AO90" s="806">
        <f>SUM(AU90:BF90)</f>
        <v>0</v>
      </c>
      <c r="AP90" s="806">
        <f>+BT90</f>
        <v>0</v>
      </c>
      <c r="AQ90" s="806">
        <f>+CG90</f>
        <v>142700</v>
      </c>
      <c r="AR90" s="806">
        <f>+CT90</f>
        <v>0</v>
      </c>
      <c r="AS90" s="806">
        <f>+DG90</f>
        <v>0</v>
      </c>
      <c r="AT90" s="806">
        <f>+DH90</f>
        <v>0</v>
      </c>
      <c r="AU90" s="2"/>
      <c r="AV90" s="2"/>
      <c r="AW90" s="2"/>
      <c r="AX90" s="2"/>
      <c r="AY90" s="2"/>
      <c r="AZ90" s="2"/>
      <c r="BA90" s="2"/>
      <c r="BC90" s="2"/>
      <c r="BD90" s="2"/>
      <c r="BE90" s="2"/>
      <c r="BF90" s="2"/>
      <c r="BG90" s="806"/>
      <c r="BH90" s="807"/>
      <c r="BI90" s="807"/>
      <c r="BJ90" s="807"/>
      <c r="BK90" s="807"/>
      <c r="BL90" s="807"/>
      <c r="BM90" s="807"/>
      <c r="BN90" s="807"/>
      <c r="BO90" s="807"/>
      <c r="BP90" s="807"/>
      <c r="BQ90" s="807"/>
      <c r="BR90" s="807"/>
      <c r="BS90" s="807"/>
      <c r="BT90" s="806">
        <f>SUM(BH90:BS90)</f>
        <v>0</v>
      </c>
      <c r="CA90">
        <v>25650</v>
      </c>
      <c r="CB90">
        <v>25650</v>
      </c>
      <c r="CC90">
        <v>25650</v>
      </c>
      <c r="CD90">
        <v>25650</v>
      </c>
      <c r="CE90">
        <v>25650</v>
      </c>
      <c r="CF90">
        <f>25650-11200</f>
        <v>14450</v>
      </c>
      <c r="CG90" s="806">
        <f>SUM(BU90:CF90)</f>
        <v>142700</v>
      </c>
      <c r="CT90" s="806"/>
      <c r="DG90" s="806"/>
    </row>
    <row r="91" spans="1:111" hidden="1" x14ac:dyDescent="0.25">
      <c r="A91" s="370"/>
      <c r="B91" s="839" t="s">
        <v>992</v>
      </c>
      <c r="C91" s="54" t="s">
        <v>994</v>
      </c>
      <c r="D91" s="845" t="s">
        <v>929</v>
      </c>
      <c r="E91" s="841" t="s">
        <v>931</v>
      </c>
      <c r="F91" s="54" t="s">
        <v>995</v>
      </c>
      <c r="G91" s="54"/>
      <c r="H91" s="842">
        <v>14000</v>
      </c>
      <c r="I91" s="843">
        <f t="shared" ref="I91:I108" si="63">+AA91+AN91+AO91</f>
        <v>0</v>
      </c>
      <c r="J91" s="803">
        <f t="shared" ref="J91:J108" si="64">SUM(BH91:BM91)</f>
        <v>0</v>
      </c>
      <c r="K91" s="809">
        <f t="shared" ref="K91:K108" si="65">+H91-I91</f>
        <v>14000</v>
      </c>
      <c r="L91" s="810"/>
      <c r="M91" s="394"/>
      <c r="N91" s="394"/>
      <c r="O91" s="2"/>
      <c r="P91" s="2"/>
      <c r="Q91" s="2"/>
      <c r="R91" s="2"/>
      <c r="S91" s="2"/>
      <c r="T91" s="2"/>
      <c r="U91" s="2"/>
      <c r="V91" s="2"/>
      <c r="W91" s="2"/>
      <c r="X91" s="2"/>
      <c r="Y91" s="2"/>
      <c r="Z91" s="2"/>
      <c r="AA91" s="828"/>
      <c r="AB91" s="2"/>
      <c r="AC91" s="2"/>
      <c r="AD91" s="2"/>
      <c r="AE91" s="2"/>
      <c r="AF91" s="2"/>
      <c r="AG91" s="2"/>
      <c r="AH91" s="2"/>
      <c r="AI91" s="2"/>
      <c r="AJ91" s="2"/>
      <c r="AK91" s="2"/>
      <c r="AL91" s="2"/>
      <c r="AM91" s="2"/>
      <c r="AN91" s="828"/>
      <c r="AO91" s="828"/>
      <c r="AP91" s="828"/>
      <c r="AQ91" s="828"/>
      <c r="AR91" s="828"/>
      <c r="AS91" s="828"/>
      <c r="AT91" s="828"/>
      <c r="AU91" s="2"/>
      <c r="AV91" s="2"/>
      <c r="AW91" s="2"/>
      <c r="AX91" s="2"/>
      <c r="AY91" s="2"/>
      <c r="AZ91" s="2"/>
      <c r="BA91" s="2"/>
      <c r="BB91" s="2"/>
      <c r="BC91" s="2"/>
      <c r="BD91" s="2"/>
      <c r="BE91" s="2"/>
      <c r="BF91" s="2"/>
      <c r="BG91" s="806">
        <f t="shared" si="57"/>
        <v>0</v>
      </c>
      <c r="BH91" s="807"/>
      <c r="BI91" s="807"/>
      <c r="BJ91" s="807"/>
      <c r="BK91" s="807"/>
      <c r="BL91" s="807"/>
      <c r="BM91" s="807"/>
      <c r="BN91" s="807"/>
      <c r="BO91" s="807"/>
      <c r="BP91" s="807"/>
      <c r="BQ91" s="807"/>
      <c r="BR91" s="807"/>
      <c r="BS91" s="807"/>
      <c r="BT91" s="806">
        <f t="shared" si="58"/>
        <v>0</v>
      </c>
      <c r="CG91" s="806">
        <f t="shared" si="59"/>
        <v>0</v>
      </c>
      <c r="CT91" s="806">
        <f t="shared" si="60"/>
        <v>0</v>
      </c>
      <c r="DG91" s="806">
        <f t="shared" si="56"/>
        <v>0</v>
      </c>
    </row>
    <row r="92" spans="1:111" hidden="1" x14ac:dyDescent="0.25">
      <c r="A92" s="370"/>
      <c r="B92" s="839" t="s">
        <v>992</v>
      </c>
      <c r="C92" s="54" t="s">
        <v>996</v>
      </c>
      <c r="D92" s="845" t="s">
        <v>929</v>
      </c>
      <c r="E92" s="841" t="s">
        <v>931</v>
      </c>
      <c r="F92" s="54" t="s">
        <v>995</v>
      </c>
      <c r="G92" s="54"/>
      <c r="H92" s="842">
        <f>5000</f>
        <v>5000</v>
      </c>
      <c r="I92" s="843">
        <f t="shared" si="63"/>
        <v>0</v>
      </c>
      <c r="J92" s="803">
        <f t="shared" si="64"/>
        <v>0</v>
      </c>
      <c r="K92" s="809">
        <f t="shared" si="65"/>
        <v>5000</v>
      </c>
      <c r="L92" s="810"/>
      <c r="M92" s="394"/>
      <c r="N92" s="394"/>
      <c r="O92" s="2"/>
      <c r="P92" s="2"/>
      <c r="Q92" s="2"/>
      <c r="R92" s="2"/>
      <c r="S92" s="2"/>
      <c r="T92" s="2"/>
      <c r="U92" s="2"/>
      <c r="V92" s="2"/>
      <c r="W92" s="2"/>
      <c r="X92" s="2"/>
      <c r="Y92" s="2"/>
      <c r="Z92" s="2"/>
      <c r="AA92" s="828"/>
      <c r="AB92" s="2"/>
      <c r="AC92" s="2"/>
      <c r="AD92" s="2"/>
      <c r="AE92" s="2"/>
      <c r="AF92" s="2"/>
      <c r="AG92" s="2"/>
      <c r="AH92" s="2"/>
      <c r="AI92" s="2"/>
      <c r="AJ92" s="2"/>
      <c r="AK92" s="2"/>
      <c r="AL92" s="2"/>
      <c r="AM92" s="2"/>
      <c r="AN92" s="828"/>
      <c r="AO92" s="828"/>
      <c r="AP92" s="828"/>
      <c r="AQ92" s="828"/>
      <c r="AR92" s="828"/>
      <c r="AS92" s="828"/>
      <c r="AT92" s="828"/>
      <c r="AU92" s="2"/>
      <c r="AV92" s="2"/>
      <c r="AW92" s="2"/>
      <c r="AX92" s="2"/>
      <c r="AY92" s="2"/>
      <c r="AZ92" s="2"/>
      <c r="BA92" s="2"/>
      <c r="BB92" s="2"/>
      <c r="BC92" s="2"/>
      <c r="BD92" s="2"/>
      <c r="BE92" s="2"/>
      <c r="BF92" s="2"/>
      <c r="BG92" s="806">
        <f t="shared" si="57"/>
        <v>0</v>
      </c>
      <c r="BH92" s="807"/>
      <c r="BI92" s="807"/>
      <c r="BJ92" s="807"/>
      <c r="BK92" s="807"/>
      <c r="BL92" s="807"/>
      <c r="BM92" s="807"/>
      <c r="BN92" s="807"/>
      <c r="BO92" s="807"/>
      <c r="BP92" s="807"/>
      <c r="BQ92" s="807"/>
      <c r="BR92" s="807"/>
      <c r="BS92" s="807"/>
      <c r="BT92" s="806">
        <f t="shared" si="58"/>
        <v>0</v>
      </c>
      <c r="CG92" s="806">
        <f t="shared" si="59"/>
        <v>0</v>
      </c>
      <c r="CT92" s="806">
        <f t="shared" si="60"/>
        <v>0</v>
      </c>
      <c r="DG92" s="806">
        <f t="shared" si="56"/>
        <v>0</v>
      </c>
    </row>
    <row r="93" spans="1:111" hidden="1" x14ac:dyDescent="0.25">
      <c r="A93" s="370"/>
      <c r="B93" s="839" t="s">
        <v>992</v>
      </c>
      <c r="C93" s="54" t="s">
        <v>997</v>
      </c>
      <c r="D93" s="845" t="s">
        <v>929</v>
      </c>
      <c r="E93" s="841" t="s">
        <v>931</v>
      </c>
      <c r="F93" s="54" t="s">
        <v>995</v>
      </c>
      <c r="G93" s="54"/>
      <c r="H93" s="842">
        <v>12000</v>
      </c>
      <c r="I93" s="843">
        <f t="shared" si="63"/>
        <v>0</v>
      </c>
      <c r="J93" s="803">
        <f t="shared" si="64"/>
        <v>0</v>
      </c>
      <c r="K93" s="809">
        <f t="shared" si="65"/>
        <v>12000</v>
      </c>
      <c r="L93" s="810"/>
      <c r="M93" s="394"/>
      <c r="N93" s="394"/>
      <c r="O93" s="2"/>
      <c r="P93" s="2"/>
      <c r="Q93" s="2"/>
      <c r="R93" s="2"/>
      <c r="S93" s="2"/>
      <c r="T93" s="2"/>
      <c r="U93" s="2"/>
      <c r="V93" s="2"/>
      <c r="W93" s="2"/>
      <c r="X93" s="2"/>
      <c r="Y93" s="2"/>
      <c r="Z93" s="2"/>
      <c r="AA93" s="828"/>
      <c r="AB93" s="2"/>
      <c r="AC93" s="2"/>
      <c r="AD93" s="2"/>
      <c r="AE93" s="2"/>
      <c r="AF93" s="2"/>
      <c r="AG93" s="2"/>
      <c r="AH93" s="2"/>
      <c r="AI93" s="2"/>
      <c r="AJ93" s="2"/>
      <c r="AK93" s="2"/>
      <c r="AL93" s="2"/>
      <c r="AM93" s="2"/>
      <c r="AN93" s="828"/>
      <c r="AO93" s="828"/>
      <c r="AP93" s="828"/>
      <c r="AQ93" s="828"/>
      <c r="AR93" s="828"/>
      <c r="AS93" s="828"/>
      <c r="AT93" s="828"/>
      <c r="AU93" s="2"/>
      <c r="AV93" s="2"/>
      <c r="AW93" s="2"/>
      <c r="AX93" s="2"/>
      <c r="AY93" s="2"/>
      <c r="AZ93" s="2"/>
      <c r="BA93" s="2"/>
      <c r="BB93" s="2"/>
      <c r="BC93" s="2"/>
      <c r="BD93" s="2"/>
      <c r="BE93" s="2"/>
      <c r="BF93" s="2"/>
      <c r="BG93" s="806">
        <f t="shared" si="57"/>
        <v>0</v>
      </c>
      <c r="BH93" s="807"/>
      <c r="BI93" s="807"/>
      <c r="BJ93" s="807"/>
      <c r="BK93" s="807"/>
      <c r="BL93" s="807"/>
      <c r="BM93" s="807"/>
      <c r="BN93" s="807"/>
      <c r="BO93" s="807"/>
      <c r="BP93" s="807"/>
      <c r="BQ93" s="807"/>
      <c r="BR93" s="807"/>
      <c r="BS93" s="807"/>
      <c r="BT93" s="806">
        <f t="shared" si="58"/>
        <v>0</v>
      </c>
      <c r="CG93" s="806">
        <f t="shared" si="59"/>
        <v>0</v>
      </c>
      <c r="CT93" s="806">
        <f t="shared" si="60"/>
        <v>0</v>
      </c>
      <c r="DG93" s="806">
        <f t="shared" si="56"/>
        <v>0</v>
      </c>
    </row>
    <row r="94" spans="1:111" hidden="1" x14ac:dyDescent="0.25">
      <c r="A94" s="370"/>
      <c r="B94" s="839" t="s">
        <v>992</v>
      </c>
      <c r="C94" s="54" t="s">
        <v>998</v>
      </c>
      <c r="D94" s="845" t="s">
        <v>929</v>
      </c>
      <c r="E94" s="841" t="s">
        <v>931</v>
      </c>
      <c r="F94" s="54" t="s">
        <v>995</v>
      </c>
      <c r="G94" s="54"/>
      <c r="H94" s="842">
        <v>6200</v>
      </c>
      <c r="I94" s="843">
        <f t="shared" si="63"/>
        <v>0</v>
      </c>
      <c r="J94" s="803">
        <f t="shared" si="64"/>
        <v>0</v>
      </c>
      <c r="K94" s="809">
        <f t="shared" si="65"/>
        <v>6200</v>
      </c>
      <c r="L94" s="810"/>
      <c r="M94" s="394"/>
      <c r="N94" s="394"/>
      <c r="O94" s="2"/>
      <c r="P94" s="2"/>
      <c r="Q94" s="2"/>
      <c r="R94" s="2"/>
      <c r="S94" s="2"/>
      <c r="T94" s="2"/>
      <c r="U94" s="2"/>
      <c r="V94" s="2"/>
      <c r="W94" s="2"/>
      <c r="X94" s="2"/>
      <c r="Y94" s="2"/>
      <c r="Z94" s="2"/>
      <c r="AA94" s="828"/>
      <c r="AB94" s="2"/>
      <c r="AC94" s="2"/>
      <c r="AD94" s="2"/>
      <c r="AE94" s="2"/>
      <c r="AF94" s="2"/>
      <c r="AG94" s="2"/>
      <c r="AH94" s="2"/>
      <c r="AI94" s="2"/>
      <c r="AJ94" s="2"/>
      <c r="AK94" s="2"/>
      <c r="AL94" s="2"/>
      <c r="AM94" s="2"/>
      <c r="AN94" s="828"/>
      <c r="AO94" s="828"/>
      <c r="AP94" s="828"/>
      <c r="AQ94" s="828"/>
      <c r="AR94" s="828"/>
      <c r="AS94" s="828"/>
      <c r="AT94" s="828"/>
      <c r="AU94" s="2"/>
      <c r="AV94" s="2"/>
      <c r="AW94" s="2"/>
      <c r="AX94" s="2"/>
      <c r="AY94" s="2"/>
      <c r="AZ94" s="2"/>
      <c r="BA94" s="2"/>
      <c r="BB94" s="2"/>
      <c r="BC94" s="2"/>
      <c r="BD94" s="2"/>
      <c r="BE94" s="2"/>
      <c r="BF94" s="2"/>
      <c r="BG94" s="806">
        <f t="shared" si="57"/>
        <v>0</v>
      </c>
      <c r="BH94" s="807"/>
      <c r="BI94" s="807"/>
      <c r="BJ94" s="807"/>
      <c r="BK94" s="807"/>
      <c r="BL94" s="807"/>
      <c r="BM94" s="807"/>
      <c r="BN94" s="807"/>
      <c r="BO94" s="807"/>
      <c r="BP94" s="807"/>
      <c r="BQ94" s="807"/>
      <c r="BR94" s="807"/>
      <c r="BS94" s="807"/>
      <c r="BT94" s="806">
        <f t="shared" si="58"/>
        <v>0</v>
      </c>
      <c r="CG94" s="806">
        <f t="shared" si="59"/>
        <v>0</v>
      </c>
      <c r="CT94" s="806">
        <f t="shared" si="60"/>
        <v>0</v>
      </c>
      <c r="DG94" s="806">
        <f t="shared" si="56"/>
        <v>0</v>
      </c>
    </row>
    <row r="95" spans="1:111" hidden="1" x14ac:dyDescent="0.25">
      <c r="A95" s="370"/>
      <c r="B95" s="839"/>
      <c r="C95" s="180" t="s">
        <v>999</v>
      </c>
      <c r="D95" s="845"/>
      <c r="E95" s="180" t="s">
        <v>931</v>
      </c>
      <c r="F95" s="54" t="s">
        <v>995</v>
      </c>
      <c r="G95" s="54"/>
      <c r="H95" s="842">
        <v>5000</v>
      </c>
      <c r="I95" s="843">
        <f t="shared" si="63"/>
        <v>0</v>
      </c>
      <c r="J95" s="803">
        <f t="shared" si="64"/>
        <v>0</v>
      </c>
      <c r="K95" s="809">
        <f t="shared" si="65"/>
        <v>5000</v>
      </c>
      <c r="L95" s="810"/>
      <c r="M95" s="394"/>
      <c r="N95" s="394"/>
      <c r="O95" s="2"/>
      <c r="P95" s="2"/>
      <c r="Q95" s="2"/>
      <c r="R95" s="2"/>
      <c r="S95" s="2"/>
      <c r="T95" s="2"/>
      <c r="U95" s="2"/>
      <c r="V95" s="2"/>
      <c r="W95" s="2"/>
      <c r="X95" s="2"/>
      <c r="Y95" s="2"/>
      <c r="Z95" s="2"/>
      <c r="AA95" s="828"/>
      <c r="AB95" s="2"/>
      <c r="AC95" s="2"/>
      <c r="AD95" s="2"/>
      <c r="AE95" s="2"/>
      <c r="AF95" s="2"/>
      <c r="AG95" s="2"/>
      <c r="AH95" s="2"/>
      <c r="AI95" s="2"/>
      <c r="AJ95" s="2"/>
      <c r="AK95" s="2"/>
      <c r="AL95" s="2"/>
      <c r="AM95" s="2"/>
      <c r="AN95" s="828"/>
      <c r="AO95" s="828"/>
      <c r="AP95" s="828"/>
      <c r="AQ95" s="828"/>
      <c r="AR95" s="828"/>
      <c r="AS95" s="828"/>
      <c r="AT95" s="828"/>
      <c r="AU95" s="2"/>
      <c r="AV95" s="2"/>
      <c r="AW95" s="2"/>
      <c r="AX95" s="2"/>
      <c r="AY95" s="2"/>
      <c r="AZ95" s="2"/>
      <c r="BA95" s="2"/>
      <c r="BB95" s="2"/>
      <c r="BC95" s="2"/>
      <c r="BD95" s="2"/>
      <c r="BE95" s="2"/>
      <c r="BF95" s="2"/>
      <c r="BG95" s="806">
        <f t="shared" si="57"/>
        <v>0</v>
      </c>
      <c r="BH95" s="807"/>
      <c r="BI95" s="807"/>
      <c r="BJ95" s="807"/>
      <c r="BK95" s="807"/>
      <c r="BL95" s="807"/>
      <c r="BM95" s="807"/>
      <c r="BN95" s="807"/>
      <c r="BO95" s="807"/>
      <c r="BP95" s="807"/>
      <c r="BQ95" s="807"/>
      <c r="BR95" s="807"/>
      <c r="BS95" s="807"/>
      <c r="BT95" s="806">
        <f t="shared" si="58"/>
        <v>0</v>
      </c>
      <c r="CG95" s="806">
        <f t="shared" si="59"/>
        <v>0</v>
      </c>
      <c r="CT95" s="806">
        <f t="shared" si="60"/>
        <v>0</v>
      </c>
      <c r="DG95" s="806">
        <f t="shared" si="56"/>
        <v>0</v>
      </c>
    </row>
    <row r="96" spans="1:111" hidden="1" x14ac:dyDescent="0.25">
      <c r="A96" s="370"/>
      <c r="B96" s="839" t="s">
        <v>992</v>
      </c>
      <c r="C96" s="180" t="s">
        <v>499</v>
      </c>
      <c r="D96" s="845" t="s">
        <v>929</v>
      </c>
      <c r="E96" s="180" t="s">
        <v>931</v>
      </c>
      <c r="F96" s="54" t="s">
        <v>995</v>
      </c>
      <c r="G96" s="54"/>
      <c r="H96" s="842">
        <v>14500</v>
      </c>
      <c r="I96" s="843">
        <f t="shared" si="63"/>
        <v>0</v>
      </c>
      <c r="J96" s="803">
        <f t="shared" si="64"/>
        <v>0</v>
      </c>
      <c r="K96" s="809">
        <f t="shared" si="65"/>
        <v>14500</v>
      </c>
      <c r="L96" s="810"/>
      <c r="M96" s="394"/>
      <c r="N96" s="394"/>
      <c r="O96" s="2"/>
      <c r="P96" s="2"/>
      <c r="Q96" s="2"/>
      <c r="R96" s="2"/>
      <c r="S96" s="2"/>
      <c r="T96" s="2"/>
      <c r="U96" s="2"/>
      <c r="V96" s="2"/>
      <c r="W96" s="2"/>
      <c r="X96" s="2"/>
      <c r="Y96" s="2"/>
      <c r="Z96" s="2"/>
      <c r="AA96" s="828"/>
      <c r="AB96" s="2"/>
      <c r="AC96" s="2"/>
      <c r="AD96" s="2"/>
      <c r="AE96" s="2"/>
      <c r="AF96" s="2"/>
      <c r="AG96" s="2"/>
      <c r="AH96" s="2"/>
      <c r="AI96" s="2"/>
      <c r="AJ96" s="2"/>
      <c r="AK96" s="2"/>
      <c r="AL96" s="2"/>
      <c r="AM96" s="2"/>
      <c r="AN96" s="828"/>
      <c r="AO96" s="828"/>
      <c r="AP96" s="828"/>
      <c r="AQ96" s="828"/>
      <c r="AR96" s="828"/>
      <c r="AS96" s="828"/>
      <c r="AT96" s="828"/>
      <c r="AU96" s="2"/>
      <c r="AV96" s="2"/>
      <c r="AW96" s="2"/>
      <c r="AX96" s="2"/>
      <c r="AY96" s="2"/>
      <c r="AZ96" s="2"/>
      <c r="BA96" s="2"/>
      <c r="BB96" s="2"/>
      <c r="BC96" s="2"/>
      <c r="BD96" s="2"/>
      <c r="BE96" s="2"/>
      <c r="BF96" s="2"/>
      <c r="BG96" s="806">
        <f t="shared" si="57"/>
        <v>0</v>
      </c>
      <c r="BH96" s="807"/>
      <c r="BI96" s="807"/>
      <c r="BJ96" s="807"/>
      <c r="BK96" s="807"/>
      <c r="BL96" s="807"/>
      <c r="BM96" s="807"/>
      <c r="BN96" s="807"/>
      <c r="BO96" s="807"/>
      <c r="BP96" s="807"/>
      <c r="BQ96" s="807"/>
      <c r="BR96" s="807"/>
      <c r="BS96" s="807"/>
      <c r="BT96" s="806">
        <f t="shared" si="58"/>
        <v>0</v>
      </c>
      <c r="CG96" s="806">
        <f t="shared" si="59"/>
        <v>0</v>
      </c>
      <c r="CT96" s="806">
        <f t="shared" si="60"/>
        <v>0</v>
      </c>
      <c r="DG96" s="806">
        <f t="shared" si="56"/>
        <v>0</v>
      </c>
    </row>
    <row r="97" spans="1:112" hidden="1" x14ac:dyDescent="0.25">
      <c r="A97" s="370"/>
      <c r="B97" s="839" t="s">
        <v>992</v>
      </c>
      <c r="C97" s="54" t="s">
        <v>1000</v>
      </c>
      <c r="D97" s="845" t="s">
        <v>929</v>
      </c>
      <c r="E97" s="841" t="s">
        <v>931</v>
      </c>
      <c r="F97" s="54" t="s">
        <v>995</v>
      </c>
      <c r="G97" s="54"/>
      <c r="H97" s="842">
        <v>5000</v>
      </c>
      <c r="I97" s="843">
        <f t="shared" si="63"/>
        <v>0</v>
      </c>
      <c r="J97" s="803">
        <f t="shared" si="64"/>
        <v>0</v>
      </c>
      <c r="K97" s="809">
        <f t="shared" si="65"/>
        <v>5000</v>
      </c>
      <c r="L97" s="810"/>
      <c r="M97" s="394"/>
      <c r="N97" s="394"/>
      <c r="O97" s="2"/>
      <c r="P97" s="2"/>
      <c r="Q97" s="2"/>
      <c r="R97" s="2"/>
      <c r="S97" s="2"/>
      <c r="T97" s="2"/>
      <c r="U97" s="2"/>
      <c r="V97" s="2"/>
      <c r="W97" s="2"/>
      <c r="X97" s="2"/>
      <c r="Y97" s="2"/>
      <c r="Z97" s="2"/>
      <c r="AA97" s="828"/>
      <c r="AB97" s="2"/>
      <c r="AC97" s="2"/>
      <c r="AD97" s="2"/>
      <c r="AE97" s="2"/>
      <c r="AF97" s="2"/>
      <c r="AG97" s="2"/>
      <c r="AH97" s="2"/>
      <c r="AI97" s="2"/>
      <c r="AJ97" s="2"/>
      <c r="AK97" s="2"/>
      <c r="AL97" s="2"/>
      <c r="AM97" s="2"/>
      <c r="AN97" s="828"/>
      <c r="AO97" s="828"/>
      <c r="AP97" s="828"/>
      <c r="AQ97" s="828"/>
      <c r="AR97" s="828"/>
      <c r="AS97" s="828"/>
      <c r="AT97" s="828"/>
      <c r="AU97" s="2"/>
      <c r="AV97" s="2"/>
      <c r="AW97" s="2"/>
      <c r="AX97" s="2"/>
      <c r="AY97" s="2"/>
      <c r="AZ97" s="2"/>
      <c r="BA97" s="2"/>
      <c r="BB97" s="2"/>
      <c r="BC97" s="2"/>
      <c r="BD97" s="2"/>
      <c r="BE97" s="2"/>
      <c r="BF97" s="2"/>
      <c r="BG97" s="806">
        <f t="shared" si="57"/>
        <v>0</v>
      </c>
      <c r="BH97" s="807"/>
      <c r="BI97" s="807"/>
      <c r="BJ97" s="807"/>
      <c r="BK97" s="807"/>
      <c r="BL97" s="807"/>
      <c r="BM97" s="807"/>
      <c r="BN97" s="807"/>
      <c r="BO97" s="807"/>
      <c r="BP97" s="807"/>
      <c r="BQ97" s="807"/>
      <c r="BR97" s="807"/>
      <c r="BS97" s="807"/>
      <c r="BT97" s="806">
        <f t="shared" si="58"/>
        <v>0</v>
      </c>
      <c r="CG97" s="806">
        <f t="shared" si="59"/>
        <v>0</v>
      </c>
      <c r="CT97" s="806">
        <f t="shared" si="60"/>
        <v>0</v>
      </c>
      <c r="DG97" s="806">
        <f t="shared" si="56"/>
        <v>0</v>
      </c>
    </row>
    <row r="98" spans="1:112" hidden="1" x14ac:dyDescent="0.25">
      <c r="A98" s="370"/>
      <c r="B98" s="839" t="s">
        <v>992</v>
      </c>
      <c r="C98" s="54" t="s">
        <v>1001</v>
      </c>
      <c r="D98" s="845" t="s">
        <v>929</v>
      </c>
      <c r="E98" s="841" t="s">
        <v>931</v>
      </c>
      <c r="F98" s="54" t="s">
        <v>995</v>
      </c>
      <c r="G98" s="54"/>
      <c r="H98" s="842">
        <v>3000</v>
      </c>
      <c r="I98" s="843">
        <f t="shared" si="63"/>
        <v>0</v>
      </c>
      <c r="J98" s="803">
        <f t="shared" si="64"/>
        <v>0</v>
      </c>
      <c r="K98" s="809">
        <f t="shared" si="65"/>
        <v>3000</v>
      </c>
      <c r="L98" s="810"/>
      <c r="M98" s="394"/>
      <c r="N98" s="394"/>
      <c r="O98" s="2"/>
      <c r="P98" s="2"/>
      <c r="Q98" s="2"/>
      <c r="R98" s="2"/>
      <c r="S98" s="2"/>
      <c r="T98" s="2"/>
      <c r="U98" s="2"/>
      <c r="V98" s="2"/>
      <c r="W98" s="2"/>
      <c r="X98" s="2"/>
      <c r="Y98" s="2"/>
      <c r="Z98" s="2"/>
      <c r="AA98" s="828"/>
      <c r="AB98" s="2"/>
      <c r="AC98" s="2"/>
      <c r="AD98" s="2"/>
      <c r="AE98" s="2"/>
      <c r="AF98" s="2"/>
      <c r="AG98" s="2"/>
      <c r="AH98" s="2"/>
      <c r="AI98" s="2"/>
      <c r="AJ98" s="2"/>
      <c r="AK98" s="2"/>
      <c r="AL98" s="2"/>
      <c r="AM98" s="2"/>
      <c r="AN98" s="828"/>
      <c r="AO98" s="828"/>
      <c r="AP98" s="828"/>
      <c r="AQ98" s="828"/>
      <c r="AR98" s="828"/>
      <c r="AS98" s="828"/>
      <c r="AT98" s="828"/>
      <c r="AU98" s="2"/>
      <c r="AV98" s="2"/>
      <c r="AW98" s="2"/>
      <c r="AX98" s="2"/>
      <c r="AY98" s="2"/>
      <c r="AZ98" s="2"/>
      <c r="BA98" s="2"/>
      <c r="BB98" s="2"/>
      <c r="BC98" s="2"/>
      <c r="BD98" s="2"/>
      <c r="BE98" s="2"/>
      <c r="BF98" s="2"/>
      <c r="BG98" s="806">
        <f t="shared" si="57"/>
        <v>0</v>
      </c>
      <c r="BH98" s="807"/>
      <c r="BI98" s="807"/>
      <c r="BJ98" s="807"/>
      <c r="BK98" s="807"/>
      <c r="BL98" s="807"/>
      <c r="BM98" s="807"/>
      <c r="BN98" s="807"/>
      <c r="BO98" s="807"/>
      <c r="BP98" s="807"/>
      <c r="BQ98" s="807"/>
      <c r="BR98" s="807"/>
      <c r="BS98" s="807"/>
      <c r="BT98" s="806">
        <f t="shared" si="58"/>
        <v>0</v>
      </c>
      <c r="CG98" s="806">
        <f t="shared" si="59"/>
        <v>0</v>
      </c>
      <c r="CT98" s="806">
        <f t="shared" si="60"/>
        <v>0</v>
      </c>
      <c r="DG98" s="806">
        <f t="shared" si="56"/>
        <v>0</v>
      </c>
    </row>
    <row r="99" spans="1:112" hidden="1" x14ac:dyDescent="0.25">
      <c r="A99" s="370"/>
      <c r="B99" s="839" t="s">
        <v>992</v>
      </c>
      <c r="C99" s="180" t="s">
        <v>1002</v>
      </c>
      <c r="D99" s="845" t="s">
        <v>929</v>
      </c>
      <c r="E99" s="180" t="s">
        <v>931</v>
      </c>
      <c r="F99" s="54" t="s">
        <v>995</v>
      </c>
      <c r="G99" s="54"/>
      <c r="H99" s="842">
        <v>18500</v>
      </c>
      <c r="I99" s="843">
        <f t="shared" si="63"/>
        <v>0</v>
      </c>
      <c r="J99" s="803">
        <f t="shared" si="64"/>
        <v>0</v>
      </c>
      <c r="K99" s="809">
        <f t="shared" si="65"/>
        <v>18500</v>
      </c>
      <c r="L99" s="810"/>
      <c r="M99" s="394"/>
      <c r="N99" s="394"/>
      <c r="O99" s="2"/>
      <c r="P99" s="2"/>
      <c r="Q99" s="2"/>
      <c r="R99" s="2"/>
      <c r="S99" s="2"/>
      <c r="T99" s="2"/>
      <c r="U99" s="2"/>
      <c r="V99" s="2"/>
      <c r="W99" s="2"/>
      <c r="X99" s="2"/>
      <c r="Y99" s="2"/>
      <c r="Z99" s="2"/>
      <c r="AA99" s="828"/>
      <c r="AB99" s="2"/>
      <c r="AC99" s="2"/>
      <c r="AD99" s="2"/>
      <c r="AE99" s="2"/>
      <c r="AF99" s="2"/>
      <c r="AG99" s="2"/>
      <c r="AH99" s="2"/>
      <c r="AI99" s="2"/>
      <c r="AJ99" s="2"/>
      <c r="AK99" s="2"/>
      <c r="AL99" s="2"/>
      <c r="AM99" s="2"/>
      <c r="AN99" s="828"/>
      <c r="AO99" s="828"/>
      <c r="AP99" s="828"/>
      <c r="AQ99" s="828"/>
      <c r="AR99" s="828"/>
      <c r="AS99" s="828"/>
      <c r="AT99" s="828"/>
      <c r="AU99" s="2"/>
      <c r="AV99" s="2"/>
      <c r="AW99" s="2"/>
      <c r="AX99" s="2"/>
      <c r="AY99" s="2"/>
      <c r="AZ99" s="2"/>
      <c r="BA99" s="2"/>
      <c r="BB99" s="2"/>
      <c r="BC99" s="2"/>
      <c r="BD99" s="2"/>
      <c r="BE99" s="2"/>
      <c r="BF99" s="2"/>
      <c r="BG99" s="806">
        <f t="shared" si="57"/>
        <v>0</v>
      </c>
      <c r="BH99" s="807"/>
      <c r="BI99" s="807"/>
      <c r="BJ99" s="807"/>
      <c r="BK99" s="807"/>
      <c r="BL99" s="807"/>
      <c r="BM99" s="807"/>
      <c r="BN99" s="807"/>
      <c r="BO99" s="807"/>
      <c r="BP99" s="807"/>
      <c r="BQ99" s="807"/>
      <c r="BR99" s="807"/>
      <c r="BS99" s="807"/>
      <c r="BT99" s="806">
        <f t="shared" si="58"/>
        <v>0</v>
      </c>
      <c r="CG99" s="806">
        <f t="shared" si="59"/>
        <v>0</v>
      </c>
      <c r="CT99" s="806">
        <f t="shared" si="60"/>
        <v>0</v>
      </c>
      <c r="DG99" s="806">
        <f t="shared" si="56"/>
        <v>0</v>
      </c>
    </row>
    <row r="100" spans="1:112" hidden="1" x14ac:dyDescent="0.25">
      <c r="A100" s="370"/>
      <c r="B100" s="839" t="s">
        <v>992</v>
      </c>
      <c r="C100" s="180" t="s">
        <v>1003</v>
      </c>
      <c r="D100" s="845" t="s">
        <v>929</v>
      </c>
      <c r="E100" s="180" t="s">
        <v>931</v>
      </c>
      <c r="F100" s="54" t="s">
        <v>995</v>
      </c>
      <c r="G100" s="54"/>
      <c r="H100" s="842">
        <v>6000</v>
      </c>
      <c r="I100" s="843">
        <f t="shared" si="63"/>
        <v>0</v>
      </c>
      <c r="J100" s="803">
        <f t="shared" si="64"/>
        <v>0</v>
      </c>
      <c r="K100" s="809">
        <f t="shared" si="65"/>
        <v>6000</v>
      </c>
      <c r="L100" s="810"/>
      <c r="M100" s="394"/>
      <c r="N100" s="394"/>
      <c r="O100" s="2"/>
      <c r="P100" s="2"/>
      <c r="Q100" s="2"/>
      <c r="R100" s="2"/>
      <c r="S100" s="2"/>
      <c r="T100" s="2"/>
      <c r="U100" s="2"/>
      <c r="V100" s="2"/>
      <c r="W100" s="2"/>
      <c r="X100" s="2"/>
      <c r="Y100" s="2"/>
      <c r="Z100" s="2"/>
      <c r="AA100" s="828"/>
      <c r="AB100" s="2"/>
      <c r="AC100" s="2"/>
      <c r="AD100" s="2"/>
      <c r="AE100" s="2"/>
      <c r="AF100" s="2"/>
      <c r="AG100" s="2"/>
      <c r="AH100" s="2"/>
      <c r="AI100" s="2"/>
      <c r="AJ100" s="2"/>
      <c r="AK100" s="2"/>
      <c r="AL100" s="2"/>
      <c r="AM100" s="2"/>
      <c r="AN100" s="828"/>
      <c r="AO100" s="828"/>
      <c r="AP100" s="828"/>
      <c r="AQ100" s="828"/>
      <c r="AR100" s="828"/>
      <c r="AS100" s="828"/>
      <c r="AT100" s="828"/>
      <c r="AU100" s="2"/>
      <c r="AV100" s="2"/>
      <c r="AW100" s="2"/>
      <c r="AX100" s="2"/>
      <c r="AY100" s="2"/>
      <c r="AZ100" s="2"/>
      <c r="BA100" s="2"/>
      <c r="BB100" s="2"/>
      <c r="BC100" s="2"/>
      <c r="BD100" s="2"/>
      <c r="BE100" s="2"/>
      <c r="BF100" s="2"/>
      <c r="BG100" s="806">
        <f t="shared" si="57"/>
        <v>0</v>
      </c>
      <c r="BH100" s="807"/>
      <c r="BI100" s="807"/>
      <c r="BJ100" s="807"/>
      <c r="BK100" s="807"/>
      <c r="BL100" s="807"/>
      <c r="BM100" s="807"/>
      <c r="BN100" s="807"/>
      <c r="BO100" s="807"/>
      <c r="BP100" s="807"/>
      <c r="BQ100" s="807"/>
      <c r="BR100" s="807"/>
      <c r="BS100" s="807"/>
      <c r="BT100" s="806">
        <f t="shared" si="58"/>
        <v>0</v>
      </c>
      <c r="CG100" s="806">
        <f t="shared" si="59"/>
        <v>0</v>
      </c>
      <c r="CT100" s="806">
        <f t="shared" si="60"/>
        <v>0</v>
      </c>
      <c r="DG100" s="806">
        <f t="shared" si="56"/>
        <v>0</v>
      </c>
    </row>
    <row r="101" spans="1:112" hidden="1" x14ac:dyDescent="0.25">
      <c r="A101" s="370"/>
      <c r="B101" s="839" t="s">
        <v>992</v>
      </c>
      <c r="C101" s="180" t="s">
        <v>1004</v>
      </c>
      <c r="D101" s="845" t="s">
        <v>929</v>
      </c>
      <c r="E101" s="180" t="s">
        <v>931</v>
      </c>
      <c r="F101" s="54" t="s">
        <v>995</v>
      </c>
      <c r="G101" s="54"/>
      <c r="H101" s="842">
        <v>5000</v>
      </c>
      <c r="I101" s="843">
        <f t="shared" si="63"/>
        <v>0</v>
      </c>
      <c r="J101" s="803">
        <f t="shared" si="64"/>
        <v>0</v>
      </c>
      <c r="K101" s="809">
        <f t="shared" si="65"/>
        <v>5000</v>
      </c>
      <c r="L101" s="810"/>
      <c r="M101" s="394"/>
      <c r="N101" s="394"/>
      <c r="O101" s="2"/>
      <c r="P101" s="2"/>
      <c r="Q101" s="2"/>
      <c r="R101" s="2"/>
      <c r="S101" s="2"/>
      <c r="T101" s="2"/>
      <c r="U101" s="2"/>
      <c r="V101" s="2"/>
      <c r="W101" s="2"/>
      <c r="X101" s="2"/>
      <c r="Y101" s="2"/>
      <c r="Z101" s="2"/>
      <c r="AA101" s="828"/>
      <c r="AB101" s="2"/>
      <c r="AC101" s="2"/>
      <c r="AD101" s="2"/>
      <c r="AE101" s="2"/>
      <c r="AF101" s="2"/>
      <c r="AG101" s="2"/>
      <c r="AH101" s="2"/>
      <c r="AI101" s="2"/>
      <c r="AJ101" s="2"/>
      <c r="AK101" s="2"/>
      <c r="AL101" s="2"/>
      <c r="AM101" s="2"/>
      <c r="AN101" s="828"/>
      <c r="AO101" s="828"/>
      <c r="AP101" s="828"/>
      <c r="AQ101" s="828"/>
      <c r="AR101" s="828"/>
      <c r="AS101" s="828"/>
      <c r="AT101" s="828"/>
      <c r="AU101" s="2"/>
      <c r="AV101" s="2"/>
      <c r="AW101" s="2"/>
      <c r="AX101" s="2"/>
      <c r="AY101" s="2"/>
      <c r="AZ101" s="2"/>
      <c r="BA101" s="2"/>
      <c r="BB101" s="2"/>
      <c r="BC101" s="2"/>
      <c r="BD101" s="2"/>
      <c r="BE101" s="2"/>
      <c r="BF101" s="2"/>
      <c r="BG101" s="806">
        <f t="shared" si="57"/>
        <v>0</v>
      </c>
      <c r="BH101" s="807"/>
      <c r="BI101" s="807"/>
      <c r="BJ101" s="807"/>
      <c r="BK101" s="807"/>
      <c r="BL101" s="807"/>
      <c r="BM101" s="807"/>
      <c r="BN101" s="807"/>
      <c r="BO101" s="807"/>
      <c r="BP101" s="807"/>
      <c r="BQ101" s="807"/>
      <c r="BR101" s="807"/>
      <c r="BS101" s="807"/>
      <c r="BT101" s="806">
        <f t="shared" si="58"/>
        <v>0</v>
      </c>
      <c r="CG101" s="806">
        <f t="shared" si="59"/>
        <v>0</v>
      </c>
      <c r="CT101" s="806">
        <f t="shared" si="60"/>
        <v>0</v>
      </c>
      <c r="DG101" s="806">
        <f t="shared" si="56"/>
        <v>0</v>
      </c>
    </row>
    <row r="102" spans="1:112" hidden="1" x14ac:dyDescent="0.25">
      <c r="A102" s="370"/>
      <c r="B102" s="839" t="s">
        <v>992</v>
      </c>
      <c r="C102" s="54" t="s">
        <v>1005</v>
      </c>
      <c r="D102" s="845" t="s">
        <v>929</v>
      </c>
      <c r="E102" s="180" t="s">
        <v>931</v>
      </c>
      <c r="F102" s="54" t="s">
        <v>995</v>
      </c>
      <c r="G102" s="54"/>
      <c r="H102" s="846">
        <v>5000</v>
      </c>
      <c r="I102" s="843">
        <f t="shared" si="63"/>
        <v>0</v>
      </c>
      <c r="J102" s="803">
        <f t="shared" si="64"/>
        <v>0</v>
      </c>
      <c r="K102" s="809">
        <f t="shared" si="65"/>
        <v>5000</v>
      </c>
      <c r="L102" s="810"/>
      <c r="M102" s="394"/>
      <c r="N102" s="394"/>
      <c r="O102" s="2"/>
      <c r="P102" s="2"/>
      <c r="Q102" s="2"/>
      <c r="R102" s="2"/>
      <c r="S102" s="2"/>
      <c r="T102" s="2"/>
      <c r="U102" s="2"/>
      <c r="V102" s="2"/>
      <c r="W102" s="2"/>
      <c r="X102" s="2"/>
      <c r="Y102" s="2"/>
      <c r="Z102" s="2"/>
      <c r="AA102" s="828"/>
      <c r="AB102" s="2"/>
      <c r="AC102" s="2"/>
      <c r="AD102" s="2"/>
      <c r="AE102" s="2"/>
      <c r="AF102" s="2"/>
      <c r="AG102" s="2"/>
      <c r="AH102" s="2"/>
      <c r="AI102" s="2"/>
      <c r="AJ102" s="2"/>
      <c r="AK102" s="2"/>
      <c r="AL102" s="2"/>
      <c r="AM102" s="2"/>
      <c r="AN102" s="828"/>
      <c r="AO102" s="828"/>
      <c r="AP102" s="828"/>
      <c r="AQ102" s="828"/>
      <c r="AR102" s="828"/>
      <c r="AS102" s="828"/>
      <c r="AT102" s="828"/>
      <c r="AU102" s="2"/>
      <c r="AV102" s="2"/>
      <c r="AW102" s="2"/>
      <c r="AX102" s="2"/>
      <c r="AY102" s="2"/>
      <c r="AZ102" s="2"/>
      <c r="BA102" s="2"/>
      <c r="BB102" s="2"/>
      <c r="BC102" s="2"/>
      <c r="BD102" s="2"/>
      <c r="BE102" s="2"/>
      <c r="BF102" s="2"/>
      <c r="BG102" s="806">
        <f t="shared" si="57"/>
        <v>0</v>
      </c>
      <c r="BH102" s="807"/>
      <c r="BI102" s="807"/>
      <c r="BJ102" s="807"/>
      <c r="BK102" s="807"/>
      <c r="BL102" s="807"/>
      <c r="BM102" s="807"/>
      <c r="BN102" s="807"/>
      <c r="BO102" s="807"/>
      <c r="BP102" s="807"/>
      <c r="BQ102" s="807"/>
      <c r="BR102" s="807"/>
      <c r="BS102" s="807"/>
      <c r="BT102" s="806">
        <f t="shared" si="58"/>
        <v>0</v>
      </c>
      <c r="CG102" s="806">
        <f t="shared" si="59"/>
        <v>0</v>
      </c>
      <c r="CT102" s="806">
        <f t="shared" si="60"/>
        <v>0</v>
      </c>
      <c r="DG102" s="806">
        <f t="shared" si="56"/>
        <v>0</v>
      </c>
    </row>
    <row r="103" spans="1:112" hidden="1" x14ac:dyDescent="0.25">
      <c r="A103" s="370"/>
      <c r="B103" s="839" t="s">
        <v>992</v>
      </c>
      <c r="C103" s="180" t="s">
        <v>1006</v>
      </c>
      <c r="D103" s="845" t="s">
        <v>929</v>
      </c>
      <c r="E103" s="180" t="s">
        <v>931</v>
      </c>
      <c r="F103" s="54"/>
      <c r="G103" s="180"/>
      <c r="H103" s="842">
        <v>7000</v>
      </c>
      <c r="I103" s="843">
        <f t="shared" si="63"/>
        <v>0</v>
      </c>
      <c r="J103" s="803">
        <f t="shared" si="64"/>
        <v>0</v>
      </c>
      <c r="K103" s="809">
        <f t="shared" si="65"/>
        <v>7000</v>
      </c>
      <c r="L103" s="810"/>
      <c r="M103" s="394"/>
      <c r="N103" s="394"/>
      <c r="O103" s="2"/>
      <c r="P103" s="2"/>
      <c r="Q103" s="2"/>
      <c r="R103" s="2"/>
      <c r="S103" s="2"/>
      <c r="T103" s="2"/>
      <c r="U103" s="2"/>
      <c r="V103" s="2"/>
      <c r="W103" s="2"/>
      <c r="X103" s="2"/>
      <c r="Y103" s="2"/>
      <c r="Z103" s="2"/>
      <c r="AA103" s="828"/>
      <c r="AB103" s="2"/>
      <c r="AC103" s="2"/>
      <c r="AD103" s="2"/>
      <c r="AE103" s="2"/>
      <c r="AF103" s="2"/>
      <c r="AG103" s="2"/>
      <c r="AH103" s="2"/>
      <c r="AI103" s="2"/>
      <c r="AJ103" s="2"/>
      <c r="AK103" s="2"/>
      <c r="AL103" s="2"/>
      <c r="AM103" s="2"/>
      <c r="AN103" s="828"/>
      <c r="AO103" s="828"/>
      <c r="AP103" s="828"/>
      <c r="AQ103" s="828"/>
      <c r="AR103" s="828"/>
      <c r="AS103" s="828"/>
      <c r="AT103" s="828"/>
      <c r="AU103" s="2"/>
      <c r="AV103" s="2"/>
      <c r="AW103" s="2"/>
      <c r="AX103" s="2"/>
      <c r="AY103" s="2"/>
      <c r="AZ103" s="2"/>
      <c r="BA103" s="2"/>
      <c r="BB103" s="2"/>
      <c r="BC103" s="2"/>
      <c r="BD103" s="2"/>
      <c r="BE103" s="2"/>
      <c r="BF103" s="2"/>
      <c r="BG103" s="806">
        <f t="shared" si="57"/>
        <v>0</v>
      </c>
      <c r="BH103" s="807"/>
      <c r="BI103" s="807"/>
      <c r="BJ103" s="807"/>
      <c r="BK103" s="807"/>
      <c r="BL103" s="807"/>
      <c r="BM103" s="807"/>
      <c r="BN103" s="807"/>
      <c r="BO103" s="807"/>
      <c r="BP103" s="807"/>
      <c r="BQ103" s="807"/>
      <c r="BR103" s="807"/>
      <c r="BS103" s="807"/>
      <c r="BT103" s="806">
        <f t="shared" si="58"/>
        <v>0</v>
      </c>
      <c r="CG103" s="806">
        <f t="shared" si="59"/>
        <v>0</v>
      </c>
      <c r="CT103" s="806">
        <f t="shared" si="60"/>
        <v>0</v>
      </c>
      <c r="DG103" s="806">
        <f t="shared" si="56"/>
        <v>0</v>
      </c>
    </row>
    <row r="104" spans="1:112" hidden="1" x14ac:dyDescent="0.25">
      <c r="A104" s="370"/>
      <c r="B104" s="839" t="s">
        <v>992</v>
      </c>
      <c r="C104" s="180" t="s">
        <v>1007</v>
      </c>
      <c r="D104" s="845" t="s">
        <v>929</v>
      </c>
      <c r="E104" s="180" t="s">
        <v>931</v>
      </c>
      <c r="F104" s="54"/>
      <c r="G104" s="180"/>
      <c r="H104" s="842">
        <v>6000</v>
      </c>
      <c r="I104" s="843">
        <f t="shared" si="63"/>
        <v>0</v>
      </c>
      <c r="J104" s="803">
        <f t="shared" si="64"/>
        <v>0</v>
      </c>
      <c r="K104" s="809">
        <f t="shared" si="65"/>
        <v>6000</v>
      </c>
      <c r="L104" s="810"/>
      <c r="M104" s="394"/>
      <c r="N104" s="394"/>
      <c r="O104" s="2"/>
      <c r="P104" s="2"/>
      <c r="Q104" s="2"/>
      <c r="R104" s="2"/>
      <c r="S104" s="2"/>
      <c r="T104" s="2"/>
      <c r="U104" s="2"/>
      <c r="V104" s="2"/>
      <c r="W104" s="2"/>
      <c r="X104" s="2"/>
      <c r="Y104" s="2"/>
      <c r="Z104" s="2"/>
      <c r="AA104" s="828"/>
      <c r="AB104" s="2"/>
      <c r="AC104" s="2"/>
      <c r="AD104" s="2"/>
      <c r="AE104" s="2"/>
      <c r="AF104" s="2"/>
      <c r="AG104" s="2"/>
      <c r="AH104" s="2"/>
      <c r="AI104" s="2"/>
      <c r="AJ104" s="2"/>
      <c r="AK104" s="2"/>
      <c r="AL104" s="2"/>
      <c r="AM104" s="2"/>
      <c r="AN104" s="828"/>
      <c r="AO104" s="828"/>
      <c r="AP104" s="828"/>
      <c r="AQ104" s="828"/>
      <c r="AR104" s="828"/>
      <c r="AS104" s="828"/>
      <c r="AT104" s="828"/>
      <c r="AU104" s="2"/>
      <c r="AV104" s="2"/>
      <c r="AW104" s="2"/>
      <c r="AX104" s="2"/>
      <c r="AY104" s="2"/>
      <c r="AZ104" s="2"/>
      <c r="BA104" s="2"/>
      <c r="BB104" s="2"/>
      <c r="BC104" s="2"/>
      <c r="BD104" s="2"/>
      <c r="BE104" s="2"/>
      <c r="BF104" s="2"/>
      <c r="BG104" s="806">
        <f t="shared" si="57"/>
        <v>0</v>
      </c>
      <c r="BH104" s="807"/>
      <c r="BI104" s="807"/>
      <c r="BJ104" s="807"/>
      <c r="BK104" s="807"/>
      <c r="BL104" s="807"/>
      <c r="BM104" s="807"/>
      <c r="BN104" s="807"/>
      <c r="BO104" s="807"/>
      <c r="BP104" s="807"/>
      <c r="BQ104" s="807"/>
      <c r="BR104" s="807"/>
      <c r="BS104" s="807"/>
      <c r="BT104" s="806">
        <f t="shared" si="58"/>
        <v>0</v>
      </c>
      <c r="CG104" s="806">
        <f t="shared" si="59"/>
        <v>0</v>
      </c>
      <c r="CT104" s="806">
        <f t="shared" si="60"/>
        <v>0</v>
      </c>
      <c r="DG104" s="806">
        <f t="shared" si="56"/>
        <v>0</v>
      </c>
    </row>
    <row r="105" spans="1:112" ht="30" hidden="1" x14ac:dyDescent="0.25">
      <c r="A105" s="370"/>
      <c r="B105" s="839" t="s">
        <v>992</v>
      </c>
      <c r="C105" s="180" t="s">
        <v>1008</v>
      </c>
      <c r="D105" s="845" t="s">
        <v>929</v>
      </c>
      <c r="E105" s="180" t="s">
        <v>931</v>
      </c>
      <c r="F105" s="54"/>
      <c r="G105" s="180"/>
      <c r="H105" s="846">
        <v>7500</v>
      </c>
      <c r="I105" s="843">
        <f t="shared" si="63"/>
        <v>0</v>
      </c>
      <c r="J105" s="803">
        <f t="shared" si="64"/>
        <v>0</v>
      </c>
      <c r="K105" s="809">
        <f t="shared" si="65"/>
        <v>7500</v>
      </c>
      <c r="L105" s="810"/>
      <c r="M105" s="394"/>
      <c r="N105" s="394"/>
      <c r="O105" s="2"/>
      <c r="P105" s="2"/>
      <c r="Q105" s="2"/>
      <c r="R105" s="2"/>
      <c r="S105" s="2"/>
      <c r="T105" s="2"/>
      <c r="U105" s="2"/>
      <c r="V105" s="2"/>
      <c r="W105" s="2"/>
      <c r="X105" s="2"/>
      <c r="Y105" s="2"/>
      <c r="Z105" s="2"/>
      <c r="AA105" s="828"/>
      <c r="AB105" s="2"/>
      <c r="AC105" s="2"/>
      <c r="AD105" s="2"/>
      <c r="AE105" s="2"/>
      <c r="AF105" s="2"/>
      <c r="AG105" s="2"/>
      <c r="AH105" s="2"/>
      <c r="AI105" s="2"/>
      <c r="AJ105" s="2"/>
      <c r="AK105" s="2"/>
      <c r="AL105" s="2"/>
      <c r="AM105" s="2"/>
      <c r="AN105" s="828"/>
      <c r="AO105" s="828"/>
      <c r="AP105" s="828"/>
      <c r="AQ105" s="828"/>
      <c r="AR105" s="828"/>
      <c r="AS105" s="828"/>
      <c r="AT105" s="828"/>
      <c r="AU105" s="2"/>
      <c r="AV105" s="2"/>
      <c r="AW105" s="2"/>
      <c r="AX105" s="2"/>
      <c r="AY105" s="2"/>
      <c r="AZ105" s="2"/>
      <c r="BA105" s="2"/>
      <c r="BB105" s="2"/>
      <c r="BC105" s="2"/>
      <c r="BD105" s="2"/>
      <c r="BE105" s="2"/>
      <c r="BF105" s="2"/>
      <c r="BG105" s="806">
        <f t="shared" si="57"/>
        <v>0</v>
      </c>
      <c r="BH105" s="807"/>
      <c r="BI105" s="807"/>
      <c r="BJ105" s="807"/>
      <c r="BK105" s="807"/>
      <c r="BL105" s="807"/>
      <c r="BM105" s="807"/>
      <c r="BN105" s="807"/>
      <c r="BO105" s="807"/>
      <c r="BP105" s="807"/>
      <c r="BQ105" s="807"/>
      <c r="BR105" s="807"/>
      <c r="BS105" s="807"/>
      <c r="BT105" s="806">
        <f t="shared" si="58"/>
        <v>0</v>
      </c>
      <c r="CG105" s="806">
        <f t="shared" si="59"/>
        <v>0</v>
      </c>
      <c r="CT105" s="806">
        <f t="shared" si="60"/>
        <v>0</v>
      </c>
      <c r="DG105" s="806">
        <f t="shared" si="56"/>
        <v>0</v>
      </c>
    </row>
    <row r="106" spans="1:112" hidden="1" x14ac:dyDescent="0.25">
      <c r="A106" s="370"/>
      <c r="B106" s="839" t="s">
        <v>992</v>
      </c>
      <c r="C106" s="54" t="s">
        <v>64</v>
      </c>
      <c r="D106" s="845" t="s">
        <v>929</v>
      </c>
      <c r="E106" s="180" t="s">
        <v>931</v>
      </c>
      <c r="F106" s="54"/>
      <c r="G106" s="54"/>
      <c r="H106" s="842">
        <v>23000</v>
      </c>
      <c r="I106" s="843">
        <f t="shared" si="63"/>
        <v>0</v>
      </c>
      <c r="J106" s="803">
        <f t="shared" si="64"/>
        <v>0</v>
      </c>
      <c r="K106" s="809">
        <f t="shared" si="65"/>
        <v>23000</v>
      </c>
      <c r="L106" s="810"/>
      <c r="M106" s="394"/>
      <c r="N106" s="394"/>
      <c r="O106" s="2"/>
      <c r="P106" s="2"/>
      <c r="Q106" s="2"/>
      <c r="R106" s="2"/>
      <c r="S106" s="2"/>
      <c r="T106" s="2"/>
      <c r="U106" s="2"/>
      <c r="V106" s="2"/>
      <c r="W106" s="2"/>
      <c r="X106" s="2"/>
      <c r="Y106" s="2"/>
      <c r="Z106" s="2"/>
      <c r="AA106" s="828"/>
      <c r="AB106" s="2"/>
      <c r="AC106" s="2"/>
      <c r="AD106" s="2"/>
      <c r="AE106" s="2"/>
      <c r="AF106" s="2"/>
      <c r="AG106" s="2"/>
      <c r="AH106" s="2"/>
      <c r="AI106" s="2"/>
      <c r="AJ106" s="2"/>
      <c r="AK106" s="2"/>
      <c r="AL106" s="2"/>
      <c r="AM106" s="2"/>
      <c r="AN106" s="828"/>
      <c r="AO106" s="828"/>
      <c r="AP106" s="828"/>
      <c r="AQ106" s="828"/>
      <c r="AR106" s="828"/>
      <c r="AS106" s="828"/>
      <c r="AT106" s="828"/>
      <c r="AU106" s="2"/>
      <c r="AV106" s="2"/>
      <c r="AW106" s="2"/>
      <c r="AX106" s="2"/>
      <c r="AY106" s="2"/>
      <c r="AZ106" s="2"/>
      <c r="BA106" s="2"/>
      <c r="BB106" s="2"/>
      <c r="BC106" s="2"/>
      <c r="BD106" s="2"/>
      <c r="BE106" s="2"/>
      <c r="BF106" s="2"/>
      <c r="BG106" s="806">
        <f t="shared" si="57"/>
        <v>0</v>
      </c>
      <c r="BH106" s="807"/>
      <c r="BI106" s="807"/>
      <c r="BJ106" s="807"/>
      <c r="BK106" s="807"/>
      <c r="BL106" s="807"/>
      <c r="BM106" s="807"/>
      <c r="BN106" s="807"/>
      <c r="BO106" s="807"/>
      <c r="BP106" s="807"/>
      <c r="BQ106" s="807"/>
      <c r="BR106" s="807"/>
      <c r="BS106" s="807"/>
      <c r="BT106" s="806">
        <f t="shared" si="58"/>
        <v>0</v>
      </c>
      <c r="CG106" s="806">
        <f t="shared" si="59"/>
        <v>0</v>
      </c>
      <c r="CT106" s="806">
        <f t="shared" si="60"/>
        <v>0</v>
      </c>
      <c r="DG106" s="806">
        <f t="shared" si="56"/>
        <v>0</v>
      </c>
    </row>
    <row r="107" spans="1:112" x14ac:dyDescent="0.25">
      <c r="A107" s="370"/>
      <c r="B107" s="839" t="s">
        <v>992</v>
      </c>
      <c r="C107" s="54" t="s">
        <v>1009</v>
      </c>
      <c r="D107" s="845"/>
      <c r="E107" s="841" t="s">
        <v>950</v>
      </c>
      <c r="F107" s="54"/>
      <c r="G107" s="54"/>
      <c r="H107" s="842">
        <v>5000</v>
      </c>
      <c r="I107" s="843">
        <f t="shared" si="63"/>
        <v>0</v>
      </c>
      <c r="J107" s="803">
        <f>SUM(BH107:BM107)</f>
        <v>0</v>
      </c>
      <c r="K107" s="809">
        <f>+H107-I107</f>
        <v>5000</v>
      </c>
      <c r="L107" s="810">
        <f>+AA107+AN107+AO107+BT107+CG107+CT107+DG107</f>
        <v>5000</v>
      </c>
      <c r="M107" s="394">
        <f>+IF(G107&gt;0,G107-L107,H107-L107)</f>
        <v>0</v>
      </c>
      <c r="N107" s="394"/>
      <c r="O107" s="2"/>
      <c r="P107" s="2"/>
      <c r="Q107" s="2"/>
      <c r="R107" s="2"/>
      <c r="S107" s="2"/>
      <c r="T107" s="2"/>
      <c r="U107" s="2"/>
      <c r="V107" s="2"/>
      <c r="W107" s="2"/>
      <c r="X107" s="2"/>
      <c r="Y107" s="2"/>
      <c r="Z107" s="2"/>
      <c r="AA107" s="806">
        <f t="shared" ref="AA107:AA108" si="66">SUM(O107:Z107)</f>
        <v>0</v>
      </c>
      <c r="AB107" s="2"/>
      <c r="AC107" s="2"/>
      <c r="AD107" s="2"/>
      <c r="AE107" s="2"/>
      <c r="AF107" s="2"/>
      <c r="AG107" s="2"/>
      <c r="AH107" s="2"/>
      <c r="AI107" s="2"/>
      <c r="AJ107" s="2"/>
      <c r="AK107" s="2"/>
      <c r="AL107" s="2"/>
      <c r="AM107" s="2"/>
      <c r="AN107" s="806">
        <f t="shared" ref="AN107:AN108" si="67">SUM(AB107:AM107)</f>
        <v>0</v>
      </c>
      <c r="AO107" s="806">
        <f t="shared" ref="AO107:AO108" si="68">SUM(AU107:BF107)</f>
        <v>0</v>
      </c>
      <c r="AP107" s="806">
        <f t="shared" ref="AP107:AP108" si="69">+BT107</f>
        <v>0</v>
      </c>
      <c r="AQ107" s="806">
        <f t="shared" ref="AQ107:AQ108" si="70">+CG107</f>
        <v>5000</v>
      </c>
      <c r="AR107" s="806">
        <f t="shared" ref="AR107:AR108" si="71">+CT107</f>
        <v>0</v>
      </c>
      <c r="AS107" s="806">
        <f t="shared" ref="AS107:AT108" si="72">+DG107</f>
        <v>0</v>
      </c>
      <c r="AT107" s="806">
        <f t="shared" si="72"/>
        <v>0</v>
      </c>
      <c r="AU107" s="2"/>
      <c r="AV107" s="2"/>
      <c r="AW107" s="2"/>
      <c r="AX107" s="2"/>
      <c r="AY107" s="2"/>
      <c r="AZ107" s="2"/>
      <c r="BA107" s="2"/>
      <c r="BC107" s="2"/>
      <c r="BD107" s="2"/>
      <c r="BE107" s="2"/>
      <c r="BF107" s="2"/>
      <c r="BG107" s="806">
        <f>SUM(AU107:BF107)</f>
        <v>0</v>
      </c>
      <c r="BH107" s="807"/>
      <c r="BI107" s="807"/>
      <c r="BJ107" s="807"/>
      <c r="BK107" s="807"/>
      <c r="BL107" s="807"/>
      <c r="BM107" s="807"/>
      <c r="BN107" s="807"/>
      <c r="BO107" s="807"/>
      <c r="BP107" s="807"/>
      <c r="BQ107" s="807"/>
      <c r="BR107" s="807"/>
      <c r="BS107" s="807"/>
      <c r="BT107" s="806">
        <f>SUM(BH107:BS107)</f>
        <v>0</v>
      </c>
      <c r="CF107">
        <v>5000</v>
      </c>
      <c r="CG107" s="806">
        <f>SUM(BU107:CF107)</f>
        <v>5000</v>
      </c>
      <c r="CT107" s="806">
        <f>SUM(CH107:CS107)</f>
        <v>0</v>
      </c>
      <c r="DG107" s="806">
        <f>SUM(CU107:DF107)</f>
        <v>0</v>
      </c>
    </row>
    <row r="108" spans="1:112" x14ac:dyDescent="0.25">
      <c r="A108" s="370"/>
      <c r="B108" s="839"/>
      <c r="C108" s="54" t="s">
        <v>1010</v>
      </c>
      <c r="D108" s="845"/>
      <c r="E108" s="54" t="s">
        <v>279</v>
      </c>
      <c r="F108" s="54"/>
      <c r="G108" s="54"/>
      <c r="H108" s="842">
        <v>200000</v>
      </c>
      <c r="I108" s="843">
        <f t="shared" si="63"/>
        <v>0</v>
      </c>
      <c r="J108" s="803">
        <f t="shared" si="64"/>
        <v>0</v>
      </c>
      <c r="K108" s="809">
        <f t="shared" si="65"/>
        <v>200000</v>
      </c>
      <c r="L108" s="810">
        <f>+AA108+AN108+AO108+BT108+CG108+CT108+DG108</f>
        <v>200000</v>
      </c>
      <c r="M108" s="394">
        <f>+IF(G108&gt;0,G108-L108,H108-L108)</f>
        <v>0</v>
      </c>
      <c r="N108" s="394"/>
      <c r="O108" s="2"/>
      <c r="P108" s="2"/>
      <c r="Q108" s="2"/>
      <c r="R108" s="2"/>
      <c r="S108" s="2"/>
      <c r="T108" s="2"/>
      <c r="U108" s="2"/>
      <c r="V108" s="2"/>
      <c r="W108" s="2"/>
      <c r="X108" s="2"/>
      <c r="Y108" s="2"/>
      <c r="Z108" s="2"/>
      <c r="AA108" s="806">
        <f t="shared" si="66"/>
        <v>0</v>
      </c>
      <c r="AB108" s="2"/>
      <c r="AC108" s="2"/>
      <c r="AD108" s="2"/>
      <c r="AE108" s="2"/>
      <c r="AF108" s="2"/>
      <c r="AG108" s="2"/>
      <c r="AH108" s="2"/>
      <c r="AI108" s="2"/>
      <c r="AJ108" s="2"/>
      <c r="AK108" s="2"/>
      <c r="AL108" s="2"/>
      <c r="AM108" s="2"/>
      <c r="AN108" s="806">
        <f t="shared" si="67"/>
        <v>0</v>
      </c>
      <c r="AO108" s="806">
        <f t="shared" si="68"/>
        <v>0</v>
      </c>
      <c r="AP108" s="806">
        <f t="shared" si="69"/>
        <v>0</v>
      </c>
      <c r="AQ108" s="806">
        <f t="shared" si="70"/>
        <v>160000</v>
      </c>
      <c r="AR108" s="806">
        <f t="shared" si="71"/>
        <v>40000</v>
      </c>
      <c r="AS108" s="806">
        <f t="shared" si="72"/>
        <v>0</v>
      </c>
      <c r="AT108" s="806">
        <f t="shared" si="72"/>
        <v>0</v>
      </c>
      <c r="AU108" s="2"/>
      <c r="AV108" s="2"/>
      <c r="AW108" s="2"/>
      <c r="AX108" s="2"/>
      <c r="AY108" s="2"/>
      <c r="AZ108" s="2"/>
      <c r="BA108" s="2"/>
      <c r="BC108" s="2"/>
      <c r="BD108" s="2"/>
      <c r="BE108" s="2"/>
      <c r="BF108" s="2"/>
      <c r="BG108" s="806">
        <f t="shared" si="57"/>
        <v>0</v>
      </c>
      <c r="BH108" s="807"/>
      <c r="BI108" s="807"/>
      <c r="BJ108" s="807"/>
      <c r="BK108" s="807"/>
      <c r="BL108" s="807"/>
      <c r="BM108" s="807"/>
      <c r="BN108" s="807"/>
      <c r="BO108" s="807"/>
      <c r="BP108" s="807"/>
      <c r="BQ108" s="807"/>
      <c r="BR108" s="807"/>
      <c r="BS108" s="807"/>
      <c r="BT108" s="806">
        <f t="shared" si="58"/>
        <v>0</v>
      </c>
      <c r="BY108">
        <v>20000</v>
      </c>
      <c r="BZ108">
        <v>20000</v>
      </c>
      <c r="CA108">
        <v>20000</v>
      </c>
      <c r="CB108">
        <v>20000</v>
      </c>
      <c r="CC108">
        <v>20000</v>
      </c>
      <c r="CD108">
        <v>20000</v>
      </c>
      <c r="CE108">
        <v>20000</v>
      </c>
      <c r="CF108">
        <v>20000</v>
      </c>
      <c r="CG108" s="806">
        <f t="shared" si="59"/>
        <v>160000</v>
      </c>
      <c r="CH108">
        <v>20000</v>
      </c>
      <c r="CI108">
        <v>20000</v>
      </c>
      <c r="CT108" s="806">
        <f t="shared" si="60"/>
        <v>40000</v>
      </c>
      <c r="DG108" s="806">
        <f t="shared" si="56"/>
        <v>0</v>
      </c>
    </row>
    <row r="109" spans="1:112" s="797" customFormat="1" x14ac:dyDescent="0.25">
      <c r="A109" s="797" t="s">
        <v>1011</v>
      </c>
      <c r="H109" s="813">
        <f t="shared" ref="H109:M109" si="73">SUM(H22:H108)</f>
        <v>2788665.5500000003</v>
      </c>
      <c r="I109" s="813">
        <f t="shared" si="73"/>
        <v>0</v>
      </c>
      <c r="J109" s="813">
        <f t="shared" si="73"/>
        <v>278345</v>
      </c>
      <c r="K109" s="813">
        <f t="shared" si="73"/>
        <v>2515164.98</v>
      </c>
      <c r="L109" s="813">
        <f t="shared" si="73"/>
        <v>2789201</v>
      </c>
      <c r="M109" s="813">
        <f t="shared" si="73"/>
        <v>0</v>
      </c>
      <c r="AA109" s="816">
        <f t="shared" ref="AA109:AS109" si="74">SUM(AA22:AA108)</f>
        <v>0</v>
      </c>
      <c r="AB109" s="816">
        <f t="shared" si="74"/>
        <v>0</v>
      </c>
      <c r="AC109" s="816">
        <f t="shared" si="74"/>
        <v>0</v>
      </c>
      <c r="AD109" s="816">
        <f t="shared" si="74"/>
        <v>0</v>
      </c>
      <c r="AE109" s="816">
        <f t="shared" si="74"/>
        <v>0</v>
      </c>
      <c r="AF109" s="816">
        <f t="shared" si="74"/>
        <v>0</v>
      </c>
      <c r="AG109" s="816">
        <f t="shared" si="74"/>
        <v>0</v>
      </c>
      <c r="AH109" s="816">
        <f t="shared" si="74"/>
        <v>0</v>
      </c>
      <c r="AI109" s="816">
        <f t="shared" si="74"/>
        <v>0</v>
      </c>
      <c r="AJ109" s="816">
        <f t="shared" si="74"/>
        <v>0</v>
      </c>
      <c r="AK109" s="816">
        <f t="shared" si="74"/>
        <v>0</v>
      </c>
      <c r="AL109" s="816">
        <f t="shared" si="74"/>
        <v>0</v>
      </c>
      <c r="AM109" s="816">
        <f t="shared" si="74"/>
        <v>0</v>
      </c>
      <c r="AN109" s="816">
        <f t="shared" si="74"/>
        <v>0</v>
      </c>
      <c r="AO109" s="816">
        <f t="shared" si="74"/>
        <v>0</v>
      </c>
      <c r="AP109" s="816">
        <f t="shared" si="74"/>
        <v>1114157</v>
      </c>
      <c r="AQ109" s="816">
        <f t="shared" si="74"/>
        <v>1535794</v>
      </c>
      <c r="AR109" s="816">
        <f t="shared" si="74"/>
        <v>139250</v>
      </c>
      <c r="AS109" s="816">
        <f t="shared" si="74"/>
        <v>0</v>
      </c>
      <c r="AT109" s="816"/>
      <c r="AU109" s="816">
        <f t="shared" ref="AU109:BF109" si="75">SUM(AU22:AU108)</f>
        <v>0</v>
      </c>
      <c r="AV109" s="816">
        <f t="shared" si="75"/>
        <v>0</v>
      </c>
      <c r="AW109" s="816">
        <f t="shared" si="75"/>
        <v>0</v>
      </c>
      <c r="AX109" s="816">
        <f t="shared" si="75"/>
        <v>0</v>
      </c>
      <c r="AY109" s="816">
        <f t="shared" si="75"/>
        <v>0</v>
      </c>
      <c r="AZ109" s="816">
        <f t="shared" si="75"/>
        <v>0</v>
      </c>
      <c r="BA109" s="816">
        <f t="shared" si="75"/>
        <v>0</v>
      </c>
      <c r="BB109" s="816">
        <f t="shared" si="75"/>
        <v>0</v>
      </c>
      <c r="BC109" s="816">
        <f t="shared" si="75"/>
        <v>0</v>
      </c>
      <c r="BD109" s="816">
        <f t="shared" si="75"/>
        <v>0</v>
      </c>
      <c r="BE109" s="816">
        <f t="shared" si="75"/>
        <v>0</v>
      </c>
      <c r="BF109" s="816">
        <f t="shared" si="75"/>
        <v>0</v>
      </c>
      <c r="BG109" s="806">
        <f t="shared" si="57"/>
        <v>0</v>
      </c>
      <c r="BH109" s="806">
        <f t="shared" ref="BH109:BS109" si="76">SUM(BH22:BH108)</f>
        <v>0</v>
      </c>
      <c r="BI109" s="806">
        <f t="shared" si="76"/>
        <v>0</v>
      </c>
      <c r="BJ109" s="806">
        <f t="shared" si="76"/>
        <v>0</v>
      </c>
      <c r="BK109" s="806">
        <f t="shared" si="76"/>
        <v>24900</v>
      </c>
      <c r="BL109" s="806">
        <f t="shared" si="76"/>
        <v>166900</v>
      </c>
      <c r="BM109" s="806">
        <f t="shared" si="76"/>
        <v>66545</v>
      </c>
      <c r="BN109" s="806">
        <f t="shared" si="76"/>
        <v>41187</v>
      </c>
      <c r="BO109" s="806">
        <f>SUM(BO22:BO108)</f>
        <v>95174</v>
      </c>
      <c r="BP109" s="806">
        <f>SUM(BP22:BP108)</f>
        <v>138500</v>
      </c>
      <c r="BQ109" s="806">
        <f t="shared" si="76"/>
        <v>141326</v>
      </c>
      <c r="BR109" s="806">
        <f t="shared" si="76"/>
        <v>234650</v>
      </c>
      <c r="BS109" s="806">
        <f t="shared" si="76"/>
        <v>204975</v>
      </c>
      <c r="BT109" s="806">
        <f t="shared" si="58"/>
        <v>1114157</v>
      </c>
      <c r="BU109" s="806">
        <f t="shared" ref="BU109:CF109" si="77">SUM(BU22:BU108)</f>
        <v>235700</v>
      </c>
      <c r="BV109" s="806">
        <f t="shared" si="77"/>
        <v>189000</v>
      </c>
      <c r="BW109" s="806">
        <f t="shared" si="77"/>
        <v>151000</v>
      </c>
      <c r="BX109" s="806">
        <f t="shared" si="77"/>
        <v>59000</v>
      </c>
      <c r="BY109" s="806">
        <f t="shared" si="77"/>
        <v>74900</v>
      </c>
      <c r="BZ109" s="806">
        <f t="shared" si="77"/>
        <v>58204</v>
      </c>
      <c r="CA109" s="806">
        <f t="shared" si="77"/>
        <v>107150</v>
      </c>
      <c r="CB109" s="806">
        <f t="shared" si="77"/>
        <v>110150</v>
      </c>
      <c r="CC109" s="806">
        <f t="shared" si="77"/>
        <v>117150</v>
      </c>
      <c r="CD109" s="806">
        <f t="shared" si="77"/>
        <v>134150</v>
      </c>
      <c r="CE109" s="806">
        <f t="shared" si="77"/>
        <v>150150</v>
      </c>
      <c r="CF109" s="806">
        <f t="shared" si="77"/>
        <v>149240</v>
      </c>
      <c r="CG109" s="806">
        <f t="shared" si="59"/>
        <v>1535794</v>
      </c>
      <c r="CH109" s="806">
        <f t="shared" ref="CH109:CS109" si="78">SUM(CH22:CH108)</f>
        <v>57000</v>
      </c>
      <c r="CI109" s="806">
        <f t="shared" si="78"/>
        <v>50250</v>
      </c>
      <c r="CJ109" s="806">
        <f t="shared" si="78"/>
        <v>18000</v>
      </c>
      <c r="CK109" s="806">
        <f t="shared" si="78"/>
        <v>12000</v>
      </c>
      <c r="CL109" s="806">
        <f t="shared" si="78"/>
        <v>0</v>
      </c>
      <c r="CM109" s="806">
        <f t="shared" si="78"/>
        <v>2000</v>
      </c>
      <c r="CN109" s="806">
        <f t="shared" si="78"/>
        <v>0</v>
      </c>
      <c r="CO109" s="806">
        <f t="shared" si="78"/>
        <v>0</v>
      </c>
      <c r="CP109" s="806">
        <f t="shared" si="78"/>
        <v>0</v>
      </c>
      <c r="CQ109" s="806">
        <f t="shared" si="78"/>
        <v>0</v>
      </c>
      <c r="CR109" s="806">
        <f t="shared" si="78"/>
        <v>0</v>
      </c>
      <c r="CS109" s="806">
        <f t="shared" si="78"/>
        <v>0</v>
      </c>
      <c r="CT109" s="806">
        <f t="shared" si="60"/>
        <v>139250</v>
      </c>
      <c r="CU109" s="806">
        <f t="shared" ref="CU109:DF109" si="79">SUM(CU22:CU108)</f>
        <v>0</v>
      </c>
      <c r="CV109" s="806">
        <f t="shared" si="79"/>
        <v>0</v>
      </c>
      <c r="CW109" s="806">
        <f t="shared" si="79"/>
        <v>0</v>
      </c>
      <c r="CX109" s="806">
        <f t="shared" si="79"/>
        <v>0</v>
      </c>
      <c r="CY109" s="806">
        <f t="shared" si="79"/>
        <v>0</v>
      </c>
      <c r="CZ109" s="806">
        <f t="shared" si="79"/>
        <v>0</v>
      </c>
      <c r="DA109" s="806">
        <f t="shared" si="79"/>
        <v>0</v>
      </c>
      <c r="DB109" s="806">
        <f t="shared" si="79"/>
        <v>0</v>
      </c>
      <c r="DC109" s="806">
        <f t="shared" si="79"/>
        <v>0</v>
      </c>
      <c r="DD109" s="806">
        <f t="shared" si="79"/>
        <v>0</v>
      </c>
      <c r="DE109" s="806">
        <f t="shared" si="79"/>
        <v>0</v>
      </c>
      <c r="DF109" s="806">
        <f t="shared" si="79"/>
        <v>0</v>
      </c>
      <c r="DG109" s="806">
        <f t="shared" si="56"/>
        <v>0</v>
      </c>
      <c r="DH109" s="806">
        <f>SUM(DH22:DH108)</f>
        <v>0</v>
      </c>
    </row>
    <row r="110" spans="1:112" x14ac:dyDescent="0.25">
      <c r="A110" s="16" t="s">
        <v>1012</v>
      </c>
      <c r="B110" s="370" t="s">
        <v>1013</v>
      </c>
      <c r="C110" t="s">
        <v>63</v>
      </c>
      <c r="D110" s="370"/>
      <c r="H110" s="802"/>
      <c r="I110" s="796"/>
      <c r="J110" s="810"/>
      <c r="K110" s="810"/>
      <c r="L110" s="848"/>
      <c r="M110" s="394"/>
      <c r="N110" s="394"/>
      <c r="O110" s="2"/>
      <c r="P110" s="2"/>
      <c r="Q110" s="2"/>
      <c r="R110" s="2"/>
      <c r="S110" s="2"/>
      <c r="T110" s="2"/>
      <c r="U110" s="2"/>
      <c r="V110" s="2"/>
      <c r="W110" s="2"/>
      <c r="X110" s="2"/>
      <c r="Y110" s="2"/>
      <c r="Z110" s="2"/>
      <c r="AA110" s="806">
        <f t="shared" ref="AA110:AA128" si="80">SUM(O110:Z110)</f>
        <v>0</v>
      </c>
      <c r="AB110" s="2"/>
      <c r="AC110" s="2"/>
      <c r="AD110" s="2"/>
      <c r="AE110" s="2"/>
      <c r="AF110" s="2"/>
      <c r="AG110" s="2"/>
      <c r="AH110" s="2"/>
      <c r="AI110" s="2"/>
      <c r="AJ110" s="2"/>
      <c r="AK110" s="2"/>
      <c r="AL110" s="2"/>
      <c r="AM110" s="2"/>
      <c r="AN110" s="806">
        <f t="shared" ref="AN110:AN128" si="81">SUM(AB110:AM110)</f>
        <v>0</v>
      </c>
      <c r="AO110" s="806">
        <f t="shared" ref="AO110:AO128" si="82">SUM(AU110:BF110)</f>
        <v>0</v>
      </c>
      <c r="AP110" s="806">
        <f t="shared" ref="AP110:AP128" si="83">+BT110</f>
        <v>0</v>
      </c>
      <c r="AQ110" s="806">
        <f t="shared" ref="AQ110:AQ128" si="84">+CG110</f>
        <v>0</v>
      </c>
      <c r="AR110" s="806">
        <f t="shared" ref="AR110:AR128" si="85">+CT110</f>
        <v>0</v>
      </c>
      <c r="AS110" s="806">
        <f t="shared" ref="AS110:AT128" si="86">+DG110</f>
        <v>0</v>
      </c>
      <c r="AT110" s="806">
        <f t="shared" si="86"/>
        <v>0</v>
      </c>
      <c r="AU110" s="2"/>
      <c r="AV110" s="2"/>
      <c r="AW110" s="2"/>
      <c r="AX110" s="2"/>
      <c r="AY110" s="2"/>
      <c r="AZ110" s="2"/>
      <c r="BA110" s="2"/>
      <c r="BC110" s="2"/>
      <c r="BD110" s="2"/>
      <c r="BE110" s="2"/>
      <c r="BF110" s="2"/>
      <c r="BG110" s="806">
        <f t="shared" si="57"/>
        <v>0</v>
      </c>
      <c r="BH110" s="807"/>
      <c r="BI110" s="807"/>
      <c r="BJ110" s="807"/>
      <c r="BK110" s="807"/>
      <c r="BL110" s="807"/>
      <c r="BM110" s="807"/>
      <c r="BN110" s="807"/>
      <c r="BO110" s="807"/>
      <c r="BP110" s="807"/>
      <c r="BQ110" s="807"/>
      <c r="BR110" s="807"/>
      <c r="BS110" s="807"/>
      <c r="BT110" s="806">
        <f t="shared" si="58"/>
        <v>0</v>
      </c>
      <c r="CG110" s="806">
        <f t="shared" si="59"/>
        <v>0</v>
      </c>
      <c r="CT110" s="828"/>
      <c r="DG110" s="806">
        <f t="shared" si="56"/>
        <v>0</v>
      </c>
    </row>
    <row r="111" spans="1:112" x14ac:dyDescent="0.25">
      <c r="A111" s="16"/>
      <c r="B111" s="370" t="s">
        <v>992</v>
      </c>
      <c r="C111" t="s">
        <v>1014</v>
      </c>
      <c r="D111" s="370"/>
      <c r="E111" t="s">
        <v>279</v>
      </c>
      <c r="H111" s="849">
        <f>14500+(1300*8)</f>
        <v>24900</v>
      </c>
      <c r="I111" s="802">
        <f t="shared" ref="I111:I113" si="87">+AA111+AN111+AO111</f>
        <v>0</v>
      </c>
      <c r="J111" s="802">
        <f t="shared" ref="J111" si="88">SUM(BH111:BM111)</f>
        <v>0</v>
      </c>
      <c r="K111" s="809">
        <f t="shared" ref="K111:K127" si="89">+H111-I111</f>
        <v>24900</v>
      </c>
      <c r="L111" s="810">
        <f t="shared" ref="L111:L113" si="90">+AA111+AN111+AO111+BT111+CG111+CT111+DG111</f>
        <v>24900</v>
      </c>
      <c r="M111" s="394">
        <f t="shared" ref="M111:M127" si="91">+IF(G111&gt;0,G111-L111,H111-L111)</f>
        <v>0</v>
      </c>
      <c r="N111" s="394"/>
      <c r="O111" s="2"/>
      <c r="P111" s="2"/>
      <c r="Q111" s="2"/>
      <c r="R111" s="2"/>
      <c r="S111" s="2"/>
      <c r="T111" s="2"/>
      <c r="U111" s="2"/>
      <c r="V111" s="2"/>
      <c r="W111" s="2"/>
      <c r="X111" s="2"/>
      <c r="Y111" s="2"/>
      <c r="Z111" s="2"/>
      <c r="AA111" s="806">
        <f t="shared" si="80"/>
        <v>0</v>
      </c>
      <c r="AB111" s="2"/>
      <c r="AC111" s="2"/>
      <c r="AD111" s="2"/>
      <c r="AE111" s="2"/>
      <c r="AF111" s="2"/>
      <c r="AG111" s="2"/>
      <c r="AH111" s="2"/>
      <c r="AI111" s="2"/>
      <c r="AJ111" s="2"/>
      <c r="AK111" s="2"/>
      <c r="AL111" s="2"/>
      <c r="AM111" s="2"/>
      <c r="AN111" s="806">
        <f t="shared" si="81"/>
        <v>0</v>
      </c>
      <c r="AO111" s="806">
        <f t="shared" si="82"/>
        <v>0</v>
      </c>
      <c r="AP111" s="806">
        <f t="shared" si="83"/>
        <v>0</v>
      </c>
      <c r="AQ111" s="806">
        <f t="shared" si="84"/>
        <v>7000</v>
      </c>
      <c r="AR111" s="806">
        <f t="shared" si="85"/>
        <v>17900</v>
      </c>
      <c r="AS111" s="806">
        <f t="shared" si="86"/>
        <v>0</v>
      </c>
      <c r="AT111" s="806">
        <f t="shared" si="86"/>
        <v>0</v>
      </c>
      <c r="AU111" s="2"/>
      <c r="AV111" s="2"/>
      <c r="AW111" s="2"/>
      <c r="AX111" s="2"/>
      <c r="AY111" s="2"/>
      <c r="AZ111" s="2"/>
      <c r="BA111" s="2"/>
      <c r="BC111" s="2"/>
      <c r="BD111" s="2"/>
      <c r="BE111" s="2"/>
      <c r="BF111" s="2"/>
      <c r="BG111" s="806">
        <f t="shared" si="57"/>
        <v>0</v>
      </c>
      <c r="BH111" s="807"/>
      <c r="BI111" s="807"/>
      <c r="BJ111" s="807"/>
      <c r="BK111" s="807"/>
      <c r="BL111" s="807"/>
      <c r="BM111" s="807"/>
      <c r="BN111" s="807"/>
      <c r="BO111" s="807"/>
      <c r="BP111" s="807"/>
      <c r="BQ111" s="807"/>
      <c r="BR111" s="807"/>
      <c r="BS111" s="807"/>
      <c r="BT111" s="806">
        <f t="shared" si="58"/>
        <v>0</v>
      </c>
      <c r="CF111">
        <v>7000</v>
      </c>
      <c r="CG111" s="806">
        <f t="shared" si="59"/>
        <v>7000</v>
      </c>
      <c r="CH111">
        <v>7500</v>
      </c>
      <c r="CJ111">
        <v>1300</v>
      </c>
      <c r="CK111">
        <v>1300</v>
      </c>
      <c r="CL111">
        <v>1300</v>
      </c>
      <c r="CO111">
        <v>2600</v>
      </c>
      <c r="CQ111">
        <v>2600</v>
      </c>
      <c r="CR111">
        <v>1300</v>
      </c>
      <c r="CT111" s="806">
        <f t="shared" ref="CT111:CT165" si="92">SUM(CH111:CS111)</f>
        <v>17900</v>
      </c>
      <c r="DG111" s="806">
        <f t="shared" si="56"/>
        <v>0</v>
      </c>
    </row>
    <row r="112" spans="1:112" x14ac:dyDescent="0.25">
      <c r="A112" s="16"/>
      <c r="B112" s="370"/>
      <c r="C112" t="s">
        <v>1015</v>
      </c>
      <c r="D112" s="370"/>
      <c r="E112" t="s">
        <v>279</v>
      </c>
      <c r="H112" s="850">
        <v>550</v>
      </c>
      <c r="I112" s="802">
        <f t="shared" si="87"/>
        <v>0</v>
      </c>
      <c r="J112" s="802">
        <f t="shared" ref="J112:J127" si="93">SUM(BH112:BM112)</f>
        <v>0</v>
      </c>
      <c r="K112" s="809">
        <f t="shared" si="89"/>
        <v>550</v>
      </c>
      <c r="L112" s="810">
        <f t="shared" si="90"/>
        <v>550</v>
      </c>
      <c r="M112" s="394">
        <f t="shared" si="91"/>
        <v>0</v>
      </c>
      <c r="N112" s="2"/>
      <c r="O112" s="2"/>
      <c r="P112" s="2"/>
      <c r="Q112" s="2"/>
      <c r="R112" s="2"/>
      <c r="S112" s="2"/>
      <c r="T112" s="2"/>
      <c r="U112" s="2"/>
      <c r="V112" s="2"/>
      <c r="W112" s="2"/>
      <c r="X112" s="2"/>
      <c r="Y112" s="2"/>
      <c r="Z112" s="2"/>
      <c r="AA112" s="806">
        <f t="shared" si="80"/>
        <v>0</v>
      </c>
      <c r="AB112" s="2"/>
      <c r="AC112" s="2"/>
      <c r="AD112" s="2"/>
      <c r="AE112" s="2"/>
      <c r="AF112" s="2"/>
      <c r="AG112" s="2"/>
      <c r="AH112" s="2"/>
      <c r="AI112" s="2"/>
      <c r="AJ112" s="2"/>
      <c r="AK112" s="2"/>
      <c r="AL112" s="2"/>
      <c r="AM112" s="2"/>
      <c r="AN112" s="806">
        <f t="shared" si="81"/>
        <v>0</v>
      </c>
      <c r="AO112" s="806">
        <f t="shared" si="82"/>
        <v>0</v>
      </c>
      <c r="AP112" s="806">
        <f t="shared" si="83"/>
        <v>550</v>
      </c>
      <c r="AQ112" s="806">
        <f t="shared" si="84"/>
        <v>0</v>
      </c>
      <c r="AR112" s="806">
        <f t="shared" si="85"/>
        <v>0</v>
      </c>
      <c r="AS112" s="806">
        <f t="shared" si="86"/>
        <v>0</v>
      </c>
      <c r="AT112" s="806">
        <f t="shared" si="86"/>
        <v>0</v>
      </c>
      <c r="AU112" s="2"/>
      <c r="AV112" s="2"/>
      <c r="AW112" s="2"/>
      <c r="AX112" s="2"/>
      <c r="AY112" s="2"/>
      <c r="AZ112" s="2"/>
      <c r="BA112" s="2"/>
      <c r="BC112" s="2"/>
      <c r="BD112" s="2"/>
      <c r="BE112" s="2"/>
      <c r="BF112" s="2"/>
      <c r="BG112" s="806">
        <f t="shared" si="57"/>
        <v>0</v>
      </c>
      <c r="BH112" s="807"/>
      <c r="BI112" s="807"/>
      <c r="BJ112" s="807"/>
      <c r="BK112" s="807"/>
      <c r="BL112" s="807"/>
      <c r="BM112" s="807"/>
      <c r="BN112" s="807"/>
      <c r="BO112" s="807"/>
      <c r="BP112" s="807">
        <v>550</v>
      </c>
      <c r="BQ112" s="807"/>
      <c r="BR112" s="807"/>
      <c r="BS112" s="807"/>
      <c r="BT112" s="806">
        <f t="shared" si="58"/>
        <v>550</v>
      </c>
      <c r="CG112" s="806"/>
      <c r="CT112" s="806">
        <f t="shared" si="92"/>
        <v>0</v>
      </c>
      <c r="DG112" s="806"/>
    </row>
    <row r="113" spans="1:111" x14ac:dyDescent="0.25">
      <c r="A113" s="16" t="s">
        <v>1016</v>
      </c>
      <c r="B113" s="370" t="s">
        <v>1013</v>
      </c>
      <c r="C113" t="s">
        <v>46</v>
      </c>
      <c r="D113" s="370"/>
      <c r="E113" t="s">
        <v>279</v>
      </c>
      <c r="H113" s="810">
        <v>63000</v>
      </c>
      <c r="I113" s="802">
        <f t="shared" si="87"/>
        <v>0</v>
      </c>
      <c r="J113" s="802">
        <f t="shared" si="93"/>
        <v>0</v>
      </c>
      <c r="K113" s="809">
        <f t="shared" si="89"/>
        <v>63000</v>
      </c>
      <c r="L113" s="810">
        <f t="shared" si="90"/>
        <v>63000</v>
      </c>
      <c r="M113" s="394">
        <f t="shared" si="91"/>
        <v>0</v>
      </c>
      <c r="N113" s="394"/>
      <c r="O113" s="2"/>
      <c r="P113" s="2"/>
      <c r="Q113" s="2"/>
      <c r="R113" s="2"/>
      <c r="S113" s="2"/>
      <c r="T113" s="2"/>
      <c r="U113" s="2"/>
      <c r="V113" s="2"/>
      <c r="W113" s="2"/>
      <c r="X113" s="2"/>
      <c r="Y113" s="2"/>
      <c r="Z113" s="2"/>
      <c r="AA113" s="806">
        <f t="shared" si="80"/>
        <v>0</v>
      </c>
      <c r="AB113" s="2"/>
      <c r="AC113" s="2"/>
      <c r="AD113" s="2"/>
      <c r="AE113" s="2"/>
      <c r="AF113" s="2"/>
      <c r="AG113" s="2"/>
      <c r="AH113" s="2"/>
      <c r="AI113" s="2"/>
      <c r="AJ113" s="2"/>
      <c r="AK113" s="2"/>
      <c r="AL113" s="2"/>
      <c r="AM113" s="2"/>
      <c r="AN113" s="806">
        <f t="shared" si="81"/>
        <v>0</v>
      </c>
      <c r="AO113" s="806">
        <f t="shared" si="82"/>
        <v>0</v>
      </c>
      <c r="AP113" s="806">
        <f t="shared" si="83"/>
        <v>40000</v>
      </c>
      <c r="AQ113" s="806">
        <f t="shared" si="84"/>
        <v>23000</v>
      </c>
      <c r="AR113" s="806">
        <f t="shared" si="85"/>
        <v>0</v>
      </c>
      <c r="AS113" s="806">
        <f t="shared" si="86"/>
        <v>0</v>
      </c>
      <c r="AT113" s="806">
        <f t="shared" si="86"/>
        <v>0</v>
      </c>
      <c r="AU113" s="2"/>
      <c r="AV113" s="2"/>
      <c r="AW113" s="2"/>
      <c r="AX113" s="2"/>
      <c r="AY113" s="2"/>
      <c r="AZ113" s="2"/>
      <c r="BA113" s="2"/>
      <c r="BC113" s="2"/>
      <c r="BD113" s="2"/>
      <c r="BE113" s="2"/>
      <c r="BF113" s="2"/>
      <c r="BG113" s="806">
        <f t="shared" si="57"/>
        <v>0</v>
      </c>
      <c r="BH113" s="807"/>
      <c r="BI113" s="807"/>
      <c r="BJ113" s="807"/>
      <c r="BK113" s="807"/>
      <c r="BL113" s="807"/>
      <c r="BM113" s="807"/>
      <c r="BN113" s="807"/>
      <c r="BO113" s="807"/>
      <c r="BP113" s="807"/>
      <c r="BQ113" s="807"/>
      <c r="BR113" s="807">
        <v>20000</v>
      </c>
      <c r="BS113" s="807">
        <v>20000</v>
      </c>
      <c r="BT113" s="806">
        <f t="shared" si="58"/>
        <v>40000</v>
      </c>
      <c r="BU113">
        <v>23000</v>
      </c>
      <c r="CG113" s="806">
        <f t="shared" si="59"/>
        <v>23000</v>
      </c>
      <c r="CT113" s="806">
        <f t="shared" si="92"/>
        <v>0</v>
      </c>
      <c r="DG113" s="806">
        <f t="shared" si="56"/>
        <v>0</v>
      </c>
    </row>
    <row r="114" spans="1:111" x14ac:dyDescent="0.25">
      <c r="A114" s="16"/>
      <c r="B114" s="370"/>
      <c r="C114" t="s">
        <v>72</v>
      </c>
      <c r="D114" s="370"/>
      <c r="E114" t="s">
        <v>279</v>
      </c>
      <c r="H114" s="802">
        <v>4000</v>
      </c>
      <c r="I114" s="802">
        <f t="shared" ref="I114:I127" si="94">+AA114+AN114+AO114</f>
        <v>0</v>
      </c>
      <c r="J114" s="802">
        <f t="shared" si="93"/>
        <v>0</v>
      </c>
      <c r="K114" s="809">
        <f t="shared" si="89"/>
        <v>4000</v>
      </c>
      <c r="L114" s="810">
        <f t="shared" ref="L114:L127" si="95">+AA114+AN114+AO114+BT114+CG114+CT114+DG114</f>
        <v>4000</v>
      </c>
      <c r="M114" s="394">
        <f t="shared" si="91"/>
        <v>0</v>
      </c>
      <c r="N114" s="2"/>
      <c r="O114" s="2"/>
      <c r="P114" s="2"/>
      <c r="Q114" s="2"/>
      <c r="R114" s="2"/>
      <c r="S114" s="2"/>
      <c r="T114" s="2"/>
      <c r="U114" s="2"/>
      <c r="V114" s="2"/>
      <c r="W114" s="2"/>
      <c r="X114" s="2"/>
      <c r="Y114" s="2"/>
      <c r="Z114" s="2"/>
      <c r="AA114" s="806">
        <f t="shared" si="80"/>
        <v>0</v>
      </c>
      <c r="AB114" s="2"/>
      <c r="AC114" s="2"/>
      <c r="AD114" s="2"/>
      <c r="AE114" s="2"/>
      <c r="AF114" s="2"/>
      <c r="AG114" s="2"/>
      <c r="AH114" s="2"/>
      <c r="AI114" s="2"/>
      <c r="AJ114" s="2"/>
      <c r="AK114" s="2"/>
      <c r="AL114" s="2"/>
      <c r="AM114" s="2"/>
      <c r="AN114" s="806">
        <f t="shared" si="81"/>
        <v>0</v>
      </c>
      <c r="AO114" s="806">
        <f t="shared" si="82"/>
        <v>0</v>
      </c>
      <c r="AP114" s="806">
        <f t="shared" si="83"/>
        <v>0</v>
      </c>
      <c r="AQ114" s="806">
        <f t="shared" si="84"/>
        <v>4000</v>
      </c>
      <c r="AR114" s="806">
        <f t="shared" si="85"/>
        <v>0</v>
      </c>
      <c r="AS114" s="806">
        <f t="shared" si="86"/>
        <v>0</v>
      </c>
      <c r="AT114" s="806">
        <f t="shared" si="86"/>
        <v>0</v>
      </c>
      <c r="AU114" s="2"/>
      <c r="AV114" s="2"/>
      <c r="AW114" s="2"/>
      <c r="AX114" s="2"/>
      <c r="AY114" s="2"/>
      <c r="AZ114" s="2"/>
      <c r="BA114" s="2"/>
      <c r="BC114" s="2"/>
      <c r="BD114" s="2"/>
      <c r="BE114" s="2"/>
      <c r="BF114" s="2"/>
      <c r="BG114" s="806">
        <f t="shared" si="57"/>
        <v>0</v>
      </c>
      <c r="BH114" s="807"/>
      <c r="BI114" s="807"/>
      <c r="BJ114" s="807"/>
      <c r="BK114" s="807"/>
      <c r="BL114" s="807"/>
      <c r="BM114" s="807"/>
      <c r="BN114" s="807"/>
      <c r="BO114" s="807"/>
      <c r="BP114" s="807"/>
      <c r="BQ114" s="807"/>
      <c r="BR114" s="807"/>
      <c r="BS114" s="807"/>
      <c r="BT114" s="806">
        <f t="shared" si="58"/>
        <v>0</v>
      </c>
      <c r="CB114">
        <v>4000</v>
      </c>
      <c r="CG114" s="806">
        <f t="shared" si="59"/>
        <v>4000</v>
      </c>
      <c r="CT114" s="806">
        <f t="shared" si="92"/>
        <v>0</v>
      </c>
      <c r="DG114" s="806">
        <f t="shared" si="56"/>
        <v>0</v>
      </c>
    </row>
    <row r="115" spans="1:111" x14ac:dyDescent="0.25">
      <c r="A115" s="16"/>
      <c r="B115" s="370"/>
      <c r="C115" t="s">
        <v>77</v>
      </c>
      <c r="D115" s="370"/>
      <c r="E115" t="s">
        <v>279</v>
      </c>
      <c r="H115" s="802">
        <f>40000-23000</f>
        <v>17000</v>
      </c>
      <c r="I115" s="802">
        <f t="shared" si="94"/>
        <v>0</v>
      </c>
      <c r="J115" s="802">
        <f t="shared" si="93"/>
        <v>0</v>
      </c>
      <c r="K115" s="809">
        <f t="shared" si="89"/>
        <v>17000</v>
      </c>
      <c r="L115" s="810">
        <f t="shared" si="95"/>
        <v>17000</v>
      </c>
      <c r="M115" s="394">
        <f t="shared" si="91"/>
        <v>0</v>
      </c>
      <c r="N115" s="2"/>
      <c r="O115" s="2"/>
      <c r="P115" s="2"/>
      <c r="Q115" s="2"/>
      <c r="R115" s="2"/>
      <c r="S115" s="2"/>
      <c r="T115" s="2"/>
      <c r="U115" s="2"/>
      <c r="V115" s="2"/>
      <c r="W115" s="2"/>
      <c r="X115" s="2"/>
      <c r="Y115" s="2"/>
      <c r="Z115" s="2"/>
      <c r="AA115" s="806">
        <f t="shared" si="80"/>
        <v>0</v>
      </c>
      <c r="AB115" s="2"/>
      <c r="AC115" s="2"/>
      <c r="AD115" s="2"/>
      <c r="AE115" s="2"/>
      <c r="AF115" s="2"/>
      <c r="AG115" s="2"/>
      <c r="AH115" s="2"/>
      <c r="AI115" s="2"/>
      <c r="AJ115" s="2"/>
      <c r="AK115" s="2"/>
      <c r="AL115" s="2"/>
      <c r="AM115" s="2"/>
      <c r="AN115" s="806">
        <f t="shared" si="81"/>
        <v>0</v>
      </c>
      <c r="AO115" s="806">
        <f t="shared" si="82"/>
        <v>0</v>
      </c>
      <c r="AP115" s="806">
        <f t="shared" si="83"/>
        <v>0</v>
      </c>
      <c r="AQ115" s="806">
        <f t="shared" si="84"/>
        <v>17000</v>
      </c>
      <c r="AR115" s="806">
        <f t="shared" si="85"/>
        <v>0</v>
      </c>
      <c r="AS115" s="806">
        <f t="shared" si="86"/>
        <v>0</v>
      </c>
      <c r="AT115" s="806">
        <f t="shared" si="86"/>
        <v>0</v>
      </c>
      <c r="AU115" s="2"/>
      <c r="AV115" s="2"/>
      <c r="AW115" s="2"/>
      <c r="AX115" s="2"/>
      <c r="AY115" s="2"/>
      <c r="AZ115" s="2"/>
      <c r="BA115" s="2"/>
      <c r="BC115" s="2"/>
      <c r="BD115" s="2"/>
      <c r="BE115" s="2"/>
      <c r="BF115" s="2"/>
      <c r="BG115" s="806">
        <f t="shared" si="57"/>
        <v>0</v>
      </c>
      <c r="BH115" s="807"/>
      <c r="BI115" s="807"/>
      <c r="BJ115" s="807"/>
      <c r="BK115" s="807"/>
      <c r="BL115" s="807"/>
      <c r="BM115" s="807"/>
      <c r="BN115" s="807"/>
      <c r="BO115" s="807"/>
      <c r="BP115" s="807"/>
      <c r="BQ115" s="807"/>
      <c r="BR115" s="807"/>
      <c r="BS115" s="807"/>
      <c r="BT115" s="806">
        <f t="shared" si="58"/>
        <v>0</v>
      </c>
      <c r="BU115">
        <v>5500</v>
      </c>
      <c r="BV115">
        <v>5500</v>
      </c>
      <c r="BW115">
        <v>3500</v>
      </c>
      <c r="CB115">
        <v>2500</v>
      </c>
      <c r="CG115" s="806">
        <f t="shared" si="59"/>
        <v>17000</v>
      </c>
      <c r="CT115" s="806">
        <f t="shared" si="92"/>
        <v>0</v>
      </c>
      <c r="DG115" s="806">
        <f t="shared" si="56"/>
        <v>0</v>
      </c>
    </row>
    <row r="116" spans="1:111" x14ac:dyDescent="0.25">
      <c r="A116" s="16"/>
      <c r="B116" s="370"/>
      <c r="C116" s="823" t="s">
        <v>1017</v>
      </c>
      <c r="D116" s="831" t="s">
        <v>1018</v>
      </c>
      <c r="E116" s="823" t="s">
        <v>931</v>
      </c>
      <c r="F116" s="811">
        <v>957</v>
      </c>
      <c r="G116" s="851">
        <v>23000</v>
      </c>
      <c r="H116" s="851">
        <v>23000</v>
      </c>
      <c r="I116" s="802">
        <f t="shared" si="94"/>
        <v>0</v>
      </c>
      <c r="J116" s="802">
        <f t="shared" ref="J116" si="96">SUM(BH116:BM116)</f>
        <v>0</v>
      </c>
      <c r="K116" s="809">
        <f t="shared" si="89"/>
        <v>23000</v>
      </c>
      <c r="L116" s="810">
        <f t="shared" si="95"/>
        <v>23000</v>
      </c>
      <c r="M116" s="394">
        <f t="shared" si="91"/>
        <v>0</v>
      </c>
      <c r="N116" s="2"/>
      <c r="O116" s="2"/>
      <c r="P116" s="2"/>
      <c r="Q116" s="2"/>
      <c r="R116" s="2"/>
      <c r="S116" s="2"/>
      <c r="T116" s="2"/>
      <c r="U116" s="2"/>
      <c r="V116" s="2"/>
      <c r="W116" s="2"/>
      <c r="X116" s="2"/>
      <c r="Y116" s="2"/>
      <c r="Z116" s="2"/>
      <c r="AA116" s="806">
        <f t="shared" si="80"/>
        <v>0</v>
      </c>
      <c r="AB116" s="2"/>
      <c r="AC116" s="2"/>
      <c r="AD116" s="2"/>
      <c r="AE116" s="2"/>
      <c r="AF116" s="2"/>
      <c r="AG116" s="2"/>
      <c r="AH116" s="2"/>
      <c r="AI116" s="2"/>
      <c r="AJ116" s="2"/>
      <c r="AK116" s="2"/>
      <c r="AL116" s="2"/>
      <c r="AM116" s="2"/>
      <c r="AN116" s="806">
        <f t="shared" si="81"/>
        <v>0</v>
      </c>
      <c r="AO116" s="806">
        <f t="shared" si="82"/>
        <v>0</v>
      </c>
      <c r="AP116" s="806">
        <f t="shared" si="83"/>
        <v>21000</v>
      </c>
      <c r="AQ116" s="806">
        <f t="shared" si="84"/>
        <v>2000</v>
      </c>
      <c r="AR116" s="806">
        <f t="shared" si="85"/>
        <v>0</v>
      </c>
      <c r="AS116" s="806">
        <f t="shared" si="86"/>
        <v>0</v>
      </c>
      <c r="AT116" s="806">
        <f t="shared" si="86"/>
        <v>0</v>
      </c>
      <c r="AU116" s="2"/>
      <c r="AV116" s="2"/>
      <c r="AW116" s="2"/>
      <c r="AX116" s="2"/>
      <c r="AY116" s="2"/>
      <c r="AZ116" s="2"/>
      <c r="BA116" s="2"/>
      <c r="BC116" s="2"/>
      <c r="BD116" s="2"/>
      <c r="BE116" s="2"/>
      <c r="BF116" s="2"/>
      <c r="BG116" s="806">
        <f t="shared" si="57"/>
        <v>0</v>
      </c>
      <c r="BH116" s="807"/>
      <c r="BI116" s="807"/>
      <c r="BJ116" s="807"/>
      <c r="BK116" s="807"/>
      <c r="BL116" s="807"/>
      <c r="BM116" s="807"/>
      <c r="BN116" s="807"/>
      <c r="BO116" s="807"/>
      <c r="BP116" s="807">
        <v>5500</v>
      </c>
      <c r="BQ116" s="807">
        <v>5500</v>
      </c>
      <c r="BR116" s="807">
        <v>5500</v>
      </c>
      <c r="BS116" s="807">
        <v>4500</v>
      </c>
      <c r="BT116" s="806">
        <f t="shared" si="58"/>
        <v>21000</v>
      </c>
      <c r="BU116" s="807">
        <v>2000</v>
      </c>
      <c r="CG116" s="806">
        <f t="shared" si="59"/>
        <v>2000</v>
      </c>
      <c r="CT116" s="806">
        <f t="shared" si="92"/>
        <v>0</v>
      </c>
      <c r="DG116" s="806">
        <f t="shared" si="56"/>
        <v>0</v>
      </c>
    </row>
    <row r="117" spans="1:111" x14ac:dyDescent="0.25">
      <c r="A117" s="16"/>
      <c r="B117" s="370"/>
      <c r="C117" t="s">
        <v>78</v>
      </c>
      <c r="D117" s="370"/>
      <c r="E117" t="s">
        <v>279</v>
      </c>
      <c r="H117" s="802">
        <v>5000</v>
      </c>
      <c r="I117" s="802">
        <f t="shared" si="94"/>
        <v>0</v>
      </c>
      <c r="J117" s="802">
        <f t="shared" si="93"/>
        <v>0</v>
      </c>
      <c r="K117" s="809">
        <f t="shared" si="89"/>
        <v>5000</v>
      </c>
      <c r="L117" s="810">
        <f t="shared" si="95"/>
        <v>5000</v>
      </c>
      <c r="M117" s="394">
        <f t="shared" si="91"/>
        <v>0</v>
      </c>
      <c r="N117" s="2"/>
      <c r="O117" s="2"/>
      <c r="P117" s="2"/>
      <c r="Q117" s="2"/>
      <c r="R117" s="2"/>
      <c r="S117" s="2"/>
      <c r="T117" s="2"/>
      <c r="U117" s="2"/>
      <c r="V117" s="2"/>
      <c r="W117" s="2"/>
      <c r="X117" s="2"/>
      <c r="Y117" s="2"/>
      <c r="Z117" s="2"/>
      <c r="AA117" s="806">
        <f t="shared" si="80"/>
        <v>0</v>
      </c>
      <c r="AB117" s="2"/>
      <c r="AC117" s="2"/>
      <c r="AD117" s="2"/>
      <c r="AE117" s="2"/>
      <c r="AF117" s="2"/>
      <c r="AG117" s="2"/>
      <c r="AH117" s="2"/>
      <c r="AI117" s="2"/>
      <c r="AJ117" s="2"/>
      <c r="AK117" s="2"/>
      <c r="AL117" s="2"/>
      <c r="AM117" s="2"/>
      <c r="AN117" s="806">
        <f t="shared" si="81"/>
        <v>0</v>
      </c>
      <c r="AO117" s="806">
        <f t="shared" si="82"/>
        <v>0</v>
      </c>
      <c r="AP117" s="806">
        <f t="shared" si="83"/>
        <v>0</v>
      </c>
      <c r="AQ117" s="806">
        <f t="shared" si="84"/>
        <v>5000</v>
      </c>
      <c r="AR117" s="806">
        <f t="shared" si="85"/>
        <v>0</v>
      </c>
      <c r="AS117" s="806">
        <f t="shared" si="86"/>
        <v>0</v>
      </c>
      <c r="AT117" s="806">
        <f t="shared" si="86"/>
        <v>0</v>
      </c>
      <c r="AU117" s="2"/>
      <c r="AV117" s="2"/>
      <c r="AW117" s="2"/>
      <c r="AX117" s="2"/>
      <c r="AY117" s="2"/>
      <c r="AZ117" s="2"/>
      <c r="BA117" s="2"/>
      <c r="BC117" s="2"/>
      <c r="BD117" s="2"/>
      <c r="BE117" s="2"/>
      <c r="BF117" s="2"/>
      <c r="BG117" s="806">
        <f t="shared" si="57"/>
        <v>0</v>
      </c>
      <c r="BH117" s="807"/>
      <c r="BI117" s="807"/>
      <c r="BJ117" s="807"/>
      <c r="BK117" s="807"/>
      <c r="BL117" s="807"/>
      <c r="BM117" s="807"/>
      <c r="BN117" s="807"/>
      <c r="BO117" s="807"/>
      <c r="BP117" s="807"/>
      <c r="BQ117" s="807"/>
      <c r="BR117" s="807"/>
      <c r="BS117" s="807"/>
      <c r="BT117" s="806">
        <f t="shared" si="58"/>
        <v>0</v>
      </c>
      <c r="BW117">
        <v>5000</v>
      </c>
      <c r="CG117" s="806">
        <f t="shared" si="59"/>
        <v>5000</v>
      </c>
      <c r="CT117" s="806">
        <f t="shared" si="92"/>
        <v>0</v>
      </c>
      <c r="DG117" s="806">
        <f t="shared" si="56"/>
        <v>0</v>
      </c>
    </row>
    <row r="118" spans="1:111" x14ac:dyDescent="0.25">
      <c r="A118" s="16"/>
      <c r="B118" s="370"/>
      <c r="C118" t="s">
        <v>1019</v>
      </c>
      <c r="D118" s="370"/>
      <c r="H118" s="802">
        <v>0</v>
      </c>
      <c r="I118" s="802">
        <f t="shared" si="94"/>
        <v>0</v>
      </c>
      <c r="J118" s="802">
        <f t="shared" si="93"/>
        <v>0</v>
      </c>
      <c r="K118" s="809">
        <f t="shared" si="89"/>
        <v>0</v>
      </c>
      <c r="L118" s="810">
        <f t="shared" si="95"/>
        <v>0</v>
      </c>
      <c r="M118" s="394">
        <f t="shared" si="91"/>
        <v>0</v>
      </c>
      <c r="N118" s="2"/>
      <c r="O118" s="2"/>
      <c r="P118" s="2"/>
      <c r="Q118" s="2"/>
      <c r="R118" s="2"/>
      <c r="S118" s="2"/>
      <c r="T118" s="2"/>
      <c r="U118" s="2"/>
      <c r="V118" s="2"/>
      <c r="W118" s="2"/>
      <c r="X118" s="2"/>
      <c r="Y118" s="2"/>
      <c r="Z118" s="2"/>
      <c r="AA118" s="806">
        <f t="shared" si="80"/>
        <v>0</v>
      </c>
      <c r="AB118" s="2"/>
      <c r="AC118" s="2"/>
      <c r="AD118" s="2"/>
      <c r="AE118" s="2"/>
      <c r="AF118" s="2"/>
      <c r="AG118" s="2"/>
      <c r="AH118" s="2"/>
      <c r="AI118" s="2"/>
      <c r="AJ118" s="2"/>
      <c r="AK118" s="2"/>
      <c r="AL118" s="2"/>
      <c r="AM118" s="2"/>
      <c r="AN118" s="806">
        <f t="shared" si="81"/>
        <v>0</v>
      </c>
      <c r="AO118" s="806">
        <f t="shared" si="82"/>
        <v>0</v>
      </c>
      <c r="AP118" s="806">
        <f t="shared" si="83"/>
        <v>0</v>
      </c>
      <c r="AQ118" s="806">
        <f t="shared" si="84"/>
        <v>0</v>
      </c>
      <c r="AR118" s="806">
        <f t="shared" si="85"/>
        <v>0</v>
      </c>
      <c r="AS118" s="806">
        <f t="shared" si="86"/>
        <v>0</v>
      </c>
      <c r="AT118" s="806">
        <f t="shared" si="86"/>
        <v>0</v>
      </c>
      <c r="AU118" s="2"/>
      <c r="AV118" s="2"/>
      <c r="AW118" s="2"/>
      <c r="AX118" s="2"/>
      <c r="AY118" s="2"/>
      <c r="AZ118" s="2"/>
      <c r="BA118" s="2"/>
      <c r="BC118" s="2"/>
      <c r="BD118" s="2"/>
      <c r="BE118" s="2"/>
      <c r="BF118" s="2"/>
      <c r="BG118" s="806">
        <f t="shared" si="57"/>
        <v>0</v>
      </c>
      <c r="BH118" s="807"/>
      <c r="BI118" s="807"/>
      <c r="BJ118" s="807"/>
      <c r="BK118" s="807"/>
      <c r="BL118" s="807"/>
      <c r="BM118" s="807"/>
      <c r="BN118" s="807"/>
      <c r="BO118" s="807"/>
      <c r="BP118" s="807"/>
      <c r="BQ118" s="807"/>
      <c r="BR118" s="807"/>
      <c r="BS118" s="807"/>
      <c r="BT118" s="806">
        <f t="shared" si="58"/>
        <v>0</v>
      </c>
      <c r="CG118" s="806">
        <f t="shared" si="59"/>
        <v>0</v>
      </c>
      <c r="CT118" s="806">
        <f t="shared" si="92"/>
        <v>0</v>
      </c>
      <c r="DG118" s="806">
        <f t="shared" si="56"/>
        <v>0</v>
      </c>
    </row>
    <row r="119" spans="1:111" x14ac:dyDescent="0.25">
      <c r="A119" s="16"/>
      <c r="B119" s="370"/>
      <c r="C119" t="s">
        <v>81</v>
      </c>
      <c r="D119" s="370"/>
      <c r="E119" t="s">
        <v>279</v>
      </c>
      <c r="H119" s="802">
        <v>90000</v>
      </c>
      <c r="I119" s="802">
        <f t="shared" si="94"/>
        <v>0</v>
      </c>
      <c r="J119" s="802">
        <f t="shared" si="93"/>
        <v>0</v>
      </c>
      <c r="K119" s="809">
        <f t="shared" si="89"/>
        <v>90000</v>
      </c>
      <c r="L119" s="810">
        <f t="shared" si="95"/>
        <v>90000</v>
      </c>
      <c r="M119" s="394">
        <f t="shared" si="91"/>
        <v>0</v>
      </c>
      <c r="N119" s="2"/>
      <c r="O119" s="2"/>
      <c r="P119" s="2"/>
      <c r="Q119" s="2"/>
      <c r="R119" s="2"/>
      <c r="S119" s="2"/>
      <c r="T119" s="2"/>
      <c r="U119" s="2"/>
      <c r="V119" s="2"/>
      <c r="W119" s="2"/>
      <c r="X119" s="2"/>
      <c r="Y119" s="2"/>
      <c r="Z119" s="2"/>
      <c r="AA119" s="806">
        <f t="shared" si="80"/>
        <v>0</v>
      </c>
      <c r="AB119" s="2"/>
      <c r="AC119" s="2"/>
      <c r="AD119" s="2"/>
      <c r="AE119" s="2"/>
      <c r="AF119" s="2"/>
      <c r="AG119" s="2"/>
      <c r="AH119" s="2"/>
      <c r="AI119" s="2"/>
      <c r="AJ119" s="2"/>
      <c r="AK119" s="2"/>
      <c r="AL119" s="2"/>
      <c r="AM119" s="2"/>
      <c r="AN119" s="806">
        <f t="shared" si="81"/>
        <v>0</v>
      </c>
      <c r="AO119" s="806">
        <f t="shared" si="82"/>
        <v>0</v>
      </c>
      <c r="AP119" s="806">
        <f t="shared" si="83"/>
        <v>0</v>
      </c>
      <c r="AQ119" s="806">
        <f t="shared" si="84"/>
        <v>40000</v>
      </c>
      <c r="AR119" s="806">
        <f t="shared" si="85"/>
        <v>50000</v>
      </c>
      <c r="AS119" s="806">
        <f t="shared" si="86"/>
        <v>0</v>
      </c>
      <c r="AT119" s="806">
        <f t="shared" si="86"/>
        <v>0</v>
      </c>
      <c r="AU119" s="2"/>
      <c r="AV119" s="2"/>
      <c r="AW119" s="2"/>
      <c r="AX119" s="2"/>
      <c r="AY119" s="2"/>
      <c r="AZ119" s="2"/>
      <c r="BA119" s="2"/>
      <c r="BC119" s="2"/>
      <c r="BD119" s="2"/>
      <c r="BE119" s="2"/>
      <c r="BF119" s="2"/>
      <c r="BG119" s="806">
        <f t="shared" si="57"/>
        <v>0</v>
      </c>
      <c r="BH119" s="807"/>
      <c r="BI119" s="807"/>
      <c r="BJ119" s="807"/>
      <c r="BK119" s="807"/>
      <c r="BL119" s="807"/>
      <c r="BM119" s="807"/>
      <c r="BN119" s="807"/>
      <c r="BO119" s="807"/>
      <c r="BP119" s="807"/>
      <c r="BQ119" s="807"/>
      <c r="BR119" s="807"/>
      <c r="BS119" s="807"/>
      <c r="BT119" s="806">
        <f t="shared" si="58"/>
        <v>0</v>
      </c>
      <c r="BZ119">
        <v>10000</v>
      </c>
      <c r="CA119">
        <v>10000</v>
      </c>
      <c r="CE119">
        <v>10000</v>
      </c>
      <c r="CF119">
        <v>10000</v>
      </c>
      <c r="CG119" s="806">
        <f t="shared" si="59"/>
        <v>40000</v>
      </c>
      <c r="CH119">
        <v>15000</v>
      </c>
      <c r="CI119">
        <v>15000</v>
      </c>
      <c r="CJ119">
        <v>10000</v>
      </c>
      <c r="CK119">
        <v>10000</v>
      </c>
      <c r="CT119" s="806">
        <f t="shared" si="92"/>
        <v>50000</v>
      </c>
      <c r="DG119" s="806">
        <f t="shared" si="56"/>
        <v>0</v>
      </c>
    </row>
    <row r="120" spans="1:111" x14ac:dyDescent="0.25">
      <c r="A120" s="16"/>
      <c r="B120" s="370"/>
      <c r="C120" t="s">
        <v>82</v>
      </c>
      <c r="D120" s="370"/>
      <c r="H120" s="802"/>
      <c r="I120" s="802">
        <f t="shared" si="94"/>
        <v>0</v>
      </c>
      <c r="J120" s="802">
        <f t="shared" si="93"/>
        <v>0</v>
      </c>
      <c r="K120" s="809">
        <f t="shared" si="89"/>
        <v>0</v>
      </c>
      <c r="L120" s="810">
        <f t="shared" si="95"/>
        <v>0</v>
      </c>
      <c r="M120" s="394">
        <f t="shared" si="91"/>
        <v>0</v>
      </c>
      <c r="N120" s="2"/>
      <c r="O120" s="2"/>
      <c r="P120" s="2"/>
      <c r="Q120" s="2"/>
      <c r="R120" s="2"/>
      <c r="S120" s="2"/>
      <c r="T120" s="2"/>
      <c r="U120" s="2"/>
      <c r="V120" s="2"/>
      <c r="W120" s="2"/>
      <c r="X120" s="2"/>
      <c r="Y120" s="2"/>
      <c r="Z120" s="2"/>
      <c r="AA120" s="806">
        <f t="shared" si="80"/>
        <v>0</v>
      </c>
      <c r="AB120" s="2"/>
      <c r="AC120" s="2"/>
      <c r="AD120" s="2"/>
      <c r="AE120" s="2"/>
      <c r="AF120" s="2"/>
      <c r="AG120" s="2"/>
      <c r="AH120" s="2"/>
      <c r="AI120" s="2"/>
      <c r="AJ120" s="2"/>
      <c r="AK120" s="2"/>
      <c r="AL120" s="2"/>
      <c r="AM120" s="2"/>
      <c r="AN120" s="806">
        <f t="shared" si="81"/>
        <v>0</v>
      </c>
      <c r="AO120" s="806">
        <f t="shared" si="82"/>
        <v>0</v>
      </c>
      <c r="AP120" s="806">
        <f t="shared" si="83"/>
        <v>0</v>
      </c>
      <c r="AQ120" s="806">
        <f t="shared" si="84"/>
        <v>0</v>
      </c>
      <c r="AR120" s="806">
        <f t="shared" si="85"/>
        <v>0</v>
      </c>
      <c r="AS120" s="806">
        <f t="shared" si="86"/>
        <v>0</v>
      </c>
      <c r="AT120" s="806">
        <f t="shared" si="86"/>
        <v>0</v>
      </c>
      <c r="AU120" s="2"/>
      <c r="AV120" s="2"/>
      <c r="AW120" s="2"/>
      <c r="AX120" s="2"/>
      <c r="AY120" s="2"/>
      <c r="AZ120" s="2"/>
      <c r="BA120" s="2"/>
      <c r="BC120" s="2"/>
      <c r="BD120" s="2"/>
      <c r="BE120" s="2"/>
      <c r="BF120" s="2"/>
      <c r="BG120" s="806">
        <f t="shared" si="57"/>
        <v>0</v>
      </c>
      <c r="BH120" s="807"/>
      <c r="BI120" s="807"/>
      <c r="BJ120" s="807"/>
      <c r="BK120" s="807"/>
      <c r="BL120" s="807"/>
      <c r="BM120" s="807"/>
      <c r="BN120" s="807"/>
      <c r="BO120" s="807"/>
      <c r="BP120" s="807"/>
      <c r="BQ120" s="807"/>
      <c r="BR120" s="807"/>
      <c r="BS120" s="807"/>
      <c r="BT120" s="806">
        <f t="shared" si="58"/>
        <v>0</v>
      </c>
      <c r="CG120" s="806">
        <f t="shared" si="59"/>
        <v>0</v>
      </c>
      <c r="CT120" s="806">
        <f t="shared" si="92"/>
        <v>0</v>
      </c>
      <c r="DG120" s="806">
        <f t="shared" si="56"/>
        <v>0</v>
      </c>
    </row>
    <row r="121" spans="1:111" x14ac:dyDescent="0.25">
      <c r="A121" s="16"/>
      <c r="B121" s="370"/>
      <c r="C121" t="s">
        <v>1020</v>
      </c>
      <c r="D121" s="370"/>
      <c r="E121" t="s">
        <v>279</v>
      </c>
      <c r="H121" s="802">
        <f>25800-5000</f>
        <v>20800</v>
      </c>
      <c r="I121" s="802">
        <f t="shared" si="94"/>
        <v>0</v>
      </c>
      <c r="J121" s="802">
        <f t="shared" si="93"/>
        <v>0</v>
      </c>
      <c r="K121" s="809">
        <f t="shared" si="89"/>
        <v>20800</v>
      </c>
      <c r="L121" s="810">
        <f t="shared" si="95"/>
        <v>20800</v>
      </c>
      <c r="M121" s="394">
        <f t="shared" si="91"/>
        <v>0</v>
      </c>
      <c r="N121" s="2"/>
      <c r="O121" s="2"/>
      <c r="P121" s="2"/>
      <c r="Q121" s="2"/>
      <c r="R121" s="2"/>
      <c r="S121" s="2"/>
      <c r="T121" s="2"/>
      <c r="U121" s="2"/>
      <c r="V121" s="2"/>
      <c r="W121" s="2"/>
      <c r="X121" s="2"/>
      <c r="Y121" s="2"/>
      <c r="Z121" s="2"/>
      <c r="AA121" s="806">
        <f t="shared" si="80"/>
        <v>0</v>
      </c>
      <c r="AB121" s="2"/>
      <c r="AC121" s="2"/>
      <c r="AD121" s="2"/>
      <c r="AE121" s="2"/>
      <c r="AF121" s="2"/>
      <c r="AG121" s="2"/>
      <c r="AH121" s="2"/>
      <c r="AI121" s="2"/>
      <c r="AJ121" s="2"/>
      <c r="AK121" s="2"/>
      <c r="AL121" s="2"/>
      <c r="AM121" s="2"/>
      <c r="AN121" s="806">
        <f t="shared" si="81"/>
        <v>0</v>
      </c>
      <c r="AO121" s="806">
        <f t="shared" si="82"/>
        <v>0</v>
      </c>
      <c r="AP121" s="806">
        <f t="shared" si="83"/>
        <v>4000</v>
      </c>
      <c r="AQ121" s="806">
        <f t="shared" si="84"/>
        <v>4000</v>
      </c>
      <c r="AR121" s="806">
        <f t="shared" si="85"/>
        <v>12800</v>
      </c>
      <c r="AS121" s="806">
        <f t="shared" si="86"/>
        <v>0</v>
      </c>
      <c r="AT121" s="806">
        <f t="shared" si="86"/>
        <v>0</v>
      </c>
      <c r="AU121" s="2"/>
      <c r="AV121" s="2"/>
      <c r="AW121" s="2"/>
      <c r="AX121" s="2"/>
      <c r="AY121" s="2"/>
      <c r="AZ121" s="2"/>
      <c r="BA121" s="2"/>
      <c r="BC121" s="2"/>
      <c r="BD121" s="2"/>
      <c r="BE121" s="2"/>
      <c r="BF121" s="2"/>
      <c r="BG121" s="806">
        <f t="shared" si="57"/>
        <v>0</v>
      </c>
      <c r="BH121" s="807"/>
      <c r="BI121" s="807"/>
      <c r="BJ121" s="807"/>
      <c r="BK121" s="807"/>
      <c r="BL121" s="807"/>
      <c r="BM121" s="807"/>
      <c r="BN121" s="807"/>
      <c r="BO121" s="807"/>
      <c r="BP121" s="807">
        <v>4000</v>
      </c>
      <c r="BQ121" s="807"/>
      <c r="BR121" s="807"/>
      <c r="BS121" s="807"/>
      <c r="BT121" s="806">
        <f t="shared" si="58"/>
        <v>4000</v>
      </c>
      <c r="BX121">
        <v>4000</v>
      </c>
      <c r="CG121" s="806">
        <f t="shared" si="59"/>
        <v>4000</v>
      </c>
      <c r="CK121">
        <v>4000</v>
      </c>
      <c r="CN121">
        <v>4000</v>
      </c>
      <c r="CQ121">
        <v>4800</v>
      </c>
      <c r="CT121" s="806">
        <f t="shared" si="92"/>
        <v>12800</v>
      </c>
      <c r="DG121" s="806">
        <f t="shared" si="56"/>
        <v>0</v>
      </c>
    </row>
    <row r="122" spans="1:111" x14ac:dyDescent="0.25">
      <c r="A122" s="852"/>
      <c r="B122" s="370"/>
      <c r="C122" s="85" t="s">
        <v>1021</v>
      </c>
      <c r="D122" s="370"/>
      <c r="E122" s="85" t="s">
        <v>279</v>
      </c>
      <c r="F122" s="85"/>
      <c r="G122" s="85"/>
      <c r="H122" s="802">
        <v>50000</v>
      </c>
      <c r="I122" s="802">
        <f t="shared" si="94"/>
        <v>0</v>
      </c>
      <c r="J122" s="802">
        <f t="shared" si="93"/>
        <v>0</v>
      </c>
      <c r="K122" s="809">
        <f t="shared" si="89"/>
        <v>50000</v>
      </c>
      <c r="L122" s="810">
        <f t="shared" si="95"/>
        <v>50000</v>
      </c>
      <c r="M122" s="394">
        <f t="shared" si="91"/>
        <v>0</v>
      </c>
      <c r="N122" s="2"/>
      <c r="O122" s="2"/>
      <c r="P122" s="2"/>
      <c r="Q122" s="2"/>
      <c r="R122" s="2"/>
      <c r="S122" s="2"/>
      <c r="T122" s="2"/>
      <c r="U122" s="2"/>
      <c r="V122" s="2"/>
      <c r="W122" s="2"/>
      <c r="X122" s="2"/>
      <c r="Y122" s="2"/>
      <c r="Z122" s="2"/>
      <c r="AA122" s="806">
        <f t="shared" si="80"/>
        <v>0</v>
      </c>
      <c r="AB122" s="2"/>
      <c r="AC122" s="2"/>
      <c r="AD122" s="2"/>
      <c r="AE122" s="2"/>
      <c r="AF122" s="2"/>
      <c r="AG122" s="2"/>
      <c r="AH122" s="2"/>
      <c r="AI122" s="2"/>
      <c r="AJ122" s="2"/>
      <c r="AK122" s="2"/>
      <c r="AL122" s="2"/>
      <c r="AM122" s="2"/>
      <c r="AN122" s="806">
        <f t="shared" si="81"/>
        <v>0</v>
      </c>
      <c r="AO122" s="806">
        <f t="shared" si="82"/>
        <v>0</v>
      </c>
      <c r="AP122" s="806">
        <f t="shared" si="83"/>
        <v>0</v>
      </c>
      <c r="AQ122" s="806">
        <f t="shared" si="84"/>
        <v>25000</v>
      </c>
      <c r="AR122" s="806">
        <f t="shared" si="85"/>
        <v>25000</v>
      </c>
      <c r="AS122" s="806">
        <f t="shared" si="86"/>
        <v>0</v>
      </c>
      <c r="AT122" s="806">
        <f t="shared" si="86"/>
        <v>0</v>
      </c>
      <c r="AU122" s="2"/>
      <c r="AV122" s="2"/>
      <c r="AW122" s="2"/>
      <c r="AX122" s="2"/>
      <c r="AY122" s="2"/>
      <c r="AZ122" s="2"/>
      <c r="BA122" s="2"/>
      <c r="BC122" s="2"/>
      <c r="BD122" s="2"/>
      <c r="BE122" s="2"/>
      <c r="BF122" s="2"/>
      <c r="BG122" s="806">
        <f t="shared" si="57"/>
        <v>0</v>
      </c>
      <c r="BH122" s="807"/>
      <c r="BI122" s="807"/>
      <c r="BJ122" s="807"/>
      <c r="BK122" s="807"/>
      <c r="BL122" s="807"/>
      <c r="BM122" s="807"/>
      <c r="BN122" s="807"/>
      <c r="BO122" s="807"/>
      <c r="BP122" s="807"/>
      <c r="BQ122" s="807"/>
      <c r="BR122" s="807"/>
      <c r="BS122" s="807"/>
      <c r="BT122" s="806">
        <f t="shared" si="58"/>
        <v>0</v>
      </c>
      <c r="CF122">
        <v>25000</v>
      </c>
      <c r="CG122" s="806">
        <f t="shared" si="59"/>
        <v>25000</v>
      </c>
      <c r="CH122">
        <v>25000</v>
      </c>
      <c r="CT122" s="806">
        <f t="shared" si="92"/>
        <v>25000</v>
      </c>
      <c r="DG122" s="806">
        <f t="shared" si="56"/>
        <v>0</v>
      </c>
    </row>
    <row r="123" spans="1:111" x14ac:dyDescent="0.25">
      <c r="A123" s="16" t="s">
        <v>1022</v>
      </c>
      <c r="B123" s="370" t="s">
        <v>1022</v>
      </c>
      <c r="C123" t="s">
        <v>1023</v>
      </c>
      <c r="D123" s="370"/>
      <c r="E123" s="827" t="s">
        <v>279</v>
      </c>
      <c r="H123" s="802">
        <f>60000-H126</f>
        <v>57867.016666666663</v>
      </c>
      <c r="I123" s="802">
        <f t="shared" si="94"/>
        <v>0</v>
      </c>
      <c r="J123" s="802">
        <f t="shared" si="93"/>
        <v>0</v>
      </c>
      <c r="K123" s="809">
        <f t="shared" si="89"/>
        <v>57867.016666666663</v>
      </c>
      <c r="L123" s="810">
        <f t="shared" si="95"/>
        <v>57867.020000000004</v>
      </c>
      <c r="M123" s="394">
        <f t="shared" si="91"/>
        <v>-3.3333333412883803E-3</v>
      </c>
      <c r="N123" s="394"/>
      <c r="O123" s="2"/>
      <c r="P123" s="2"/>
      <c r="Q123" s="2"/>
      <c r="R123" s="2"/>
      <c r="S123" s="2"/>
      <c r="T123" s="2"/>
      <c r="U123" s="2"/>
      <c r="V123" s="2"/>
      <c r="W123" s="2"/>
      <c r="X123" s="2"/>
      <c r="Y123" s="2"/>
      <c r="Z123" s="2"/>
      <c r="AA123" s="806">
        <f>SUM(O123:Z123)</f>
        <v>0</v>
      </c>
      <c r="AB123" s="2"/>
      <c r="AC123" s="2"/>
      <c r="AD123" s="2"/>
      <c r="AE123" s="2"/>
      <c r="AF123" s="2"/>
      <c r="AG123" s="2"/>
      <c r="AH123" s="2"/>
      <c r="AI123" s="2"/>
      <c r="AJ123" s="2"/>
      <c r="AK123" s="2"/>
      <c r="AL123" s="2"/>
      <c r="AM123" s="2"/>
      <c r="AN123" s="806">
        <f>SUM(AB123:AM123)</f>
        <v>0</v>
      </c>
      <c r="AO123" s="806">
        <f>SUM(AU123:BF123)</f>
        <v>0</v>
      </c>
      <c r="AP123" s="806">
        <f>+BT123</f>
        <v>31000</v>
      </c>
      <c r="AQ123" s="806">
        <f>+CG123</f>
        <v>26867.02</v>
      </c>
      <c r="AR123" s="806">
        <f>+CT123</f>
        <v>0</v>
      </c>
      <c r="AS123" s="806">
        <f t="shared" si="86"/>
        <v>0</v>
      </c>
      <c r="AT123" s="806">
        <f t="shared" si="86"/>
        <v>0</v>
      </c>
      <c r="AU123" s="2"/>
      <c r="AV123" s="2"/>
      <c r="AW123" s="2"/>
      <c r="AX123" s="2"/>
      <c r="AY123" s="2"/>
      <c r="AZ123" s="2"/>
      <c r="BA123" s="2"/>
      <c r="BC123" s="2"/>
      <c r="BD123" s="2"/>
      <c r="BE123" s="2"/>
      <c r="BF123" s="2"/>
      <c r="BG123" s="806">
        <f t="shared" si="57"/>
        <v>0</v>
      </c>
      <c r="BH123" s="807"/>
      <c r="BI123" s="807"/>
      <c r="BJ123" s="807"/>
      <c r="BK123" s="807"/>
      <c r="BL123" s="807"/>
      <c r="BM123" s="807"/>
      <c r="BN123" s="807"/>
      <c r="BO123" s="807"/>
      <c r="BP123" s="807">
        <v>10000</v>
      </c>
      <c r="BQ123" s="807">
        <v>10000</v>
      </c>
      <c r="BR123" s="807">
        <v>10000</v>
      </c>
      <c r="BS123" s="807">
        <v>1000</v>
      </c>
      <c r="BT123" s="806">
        <f t="shared" si="58"/>
        <v>31000</v>
      </c>
      <c r="BV123" s="807">
        <v>10000</v>
      </c>
      <c r="BX123">
        <v>10000</v>
      </c>
      <c r="BY123">
        <v>6867.02</v>
      </c>
      <c r="CG123" s="806">
        <f t="shared" si="59"/>
        <v>26867.02</v>
      </c>
      <c r="CT123" s="806">
        <f t="shared" si="92"/>
        <v>0</v>
      </c>
      <c r="DG123" s="806">
        <f t="shared" si="56"/>
        <v>0</v>
      </c>
    </row>
    <row r="124" spans="1:111" x14ac:dyDescent="0.25">
      <c r="A124" s="16"/>
      <c r="B124" s="370" t="s">
        <v>1022</v>
      </c>
      <c r="C124" t="s">
        <v>71</v>
      </c>
      <c r="D124" s="370"/>
      <c r="E124" t="s">
        <v>279</v>
      </c>
      <c r="H124" s="802">
        <v>18800</v>
      </c>
      <c r="I124" s="802">
        <f t="shared" si="94"/>
        <v>0</v>
      </c>
      <c r="J124" s="802">
        <f>SUM(BH124:BM124)</f>
        <v>0</v>
      </c>
      <c r="K124" s="809">
        <f>+H124-I124</f>
        <v>18800</v>
      </c>
      <c r="L124" s="810">
        <f t="shared" si="95"/>
        <v>18800</v>
      </c>
      <c r="M124" s="394">
        <f t="shared" si="91"/>
        <v>0</v>
      </c>
      <c r="N124" s="2"/>
      <c r="O124" s="2"/>
      <c r="P124" s="2"/>
      <c r="Q124" s="2"/>
      <c r="R124" s="2"/>
      <c r="S124" s="2"/>
      <c r="T124" s="2"/>
      <c r="U124" s="2"/>
      <c r="V124" s="2"/>
      <c r="W124" s="2"/>
      <c r="X124" s="2"/>
      <c r="Y124" s="2"/>
      <c r="Z124" s="2"/>
      <c r="AA124" s="806">
        <f>SUM(O124:Z124)</f>
        <v>0</v>
      </c>
      <c r="AB124" s="2"/>
      <c r="AC124" s="2"/>
      <c r="AD124" s="2"/>
      <c r="AE124" s="2"/>
      <c r="AF124" s="2"/>
      <c r="AG124" s="2"/>
      <c r="AH124" s="2"/>
      <c r="AI124" s="2"/>
      <c r="AJ124" s="2"/>
      <c r="AK124" s="2"/>
      <c r="AL124" s="2"/>
      <c r="AM124" s="2"/>
      <c r="AN124" s="806">
        <f>SUM(AB124:AM124)</f>
        <v>0</v>
      </c>
      <c r="AO124" s="806">
        <f>SUM(AU124:BF124)</f>
        <v>0</v>
      </c>
      <c r="AP124" s="806">
        <f>+BT124</f>
        <v>18800</v>
      </c>
      <c r="AQ124" s="806">
        <f>+CG124</f>
        <v>0</v>
      </c>
      <c r="AR124" s="806">
        <f>+CT124</f>
        <v>0</v>
      </c>
      <c r="AS124" s="806">
        <f t="shared" si="86"/>
        <v>0</v>
      </c>
      <c r="AT124" s="806">
        <f t="shared" si="86"/>
        <v>0</v>
      </c>
      <c r="AU124" s="2"/>
      <c r="AV124" s="2"/>
      <c r="AW124" s="2"/>
      <c r="AX124" s="2"/>
      <c r="AY124" s="2"/>
      <c r="AZ124" s="2"/>
      <c r="BA124" s="2"/>
      <c r="BC124" s="2"/>
      <c r="BD124" s="2"/>
      <c r="BE124" s="2"/>
      <c r="BF124" s="2"/>
      <c r="BG124" s="806">
        <f>SUM(AU124:BF124)</f>
        <v>0</v>
      </c>
      <c r="BH124" s="807"/>
      <c r="BI124" s="807"/>
      <c r="BJ124" s="807"/>
      <c r="BK124" s="807"/>
      <c r="BL124" s="807"/>
      <c r="BM124" s="807"/>
      <c r="BN124" s="807"/>
      <c r="BO124" s="807"/>
      <c r="BP124" s="807">
        <v>18800</v>
      </c>
      <c r="BQ124" s="807"/>
      <c r="BR124" s="807"/>
      <c r="BS124" s="807"/>
      <c r="BT124" s="806">
        <f>SUM(BH124:BS124)</f>
        <v>18800</v>
      </c>
      <c r="CG124" s="806">
        <f>SUM(BU124:CF124)</f>
        <v>0</v>
      </c>
      <c r="CT124" s="806">
        <f>SUM(CH124:CS124)</f>
        <v>0</v>
      </c>
      <c r="DG124" s="806">
        <f>SUM(CU124:DF124)</f>
        <v>0</v>
      </c>
    </row>
    <row r="125" spans="1:111" x14ac:dyDescent="0.25">
      <c r="A125" s="16"/>
      <c r="B125" s="370" t="s">
        <v>1022</v>
      </c>
      <c r="C125" t="s">
        <v>69</v>
      </c>
      <c r="D125" s="370"/>
      <c r="E125" t="s">
        <v>279</v>
      </c>
      <c r="H125" s="802">
        <v>10000</v>
      </c>
      <c r="I125" s="802">
        <f t="shared" si="94"/>
        <v>0</v>
      </c>
      <c r="J125" s="802">
        <f>SUM(BH125:BM125)</f>
        <v>0</v>
      </c>
      <c r="K125" s="809">
        <f>+H125-I125</f>
        <v>10000</v>
      </c>
      <c r="L125" s="810">
        <f t="shared" si="95"/>
        <v>10000</v>
      </c>
      <c r="M125" s="394">
        <f t="shared" si="91"/>
        <v>0</v>
      </c>
      <c r="N125" s="2"/>
      <c r="O125" s="2"/>
      <c r="P125" s="2"/>
      <c r="Q125" s="2"/>
      <c r="R125" s="2"/>
      <c r="S125" s="2"/>
      <c r="T125" s="2"/>
      <c r="U125" s="2"/>
      <c r="V125" s="2"/>
      <c r="W125" s="2"/>
      <c r="X125" s="2"/>
      <c r="Y125" s="2"/>
      <c r="Z125" s="2"/>
      <c r="AA125" s="806">
        <f>SUM(O125:Z125)</f>
        <v>0</v>
      </c>
      <c r="AB125" s="2"/>
      <c r="AC125" s="2"/>
      <c r="AD125" s="2"/>
      <c r="AE125" s="2"/>
      <c r="AF125" s="2"/>
      <c r="AG125" s="2"/>
      <c r="AH125" s="2"/>
      <c r="AI125" s="2"/>
      <c r="AJ125" s="2"/>
      <c r="AK125" s="2"/>
      <c r="AL125" s="2"/>
      <c r="AM125" s="2"/>
      <c r="AN125" s="806">
        <f>SUM(AB125:AM125)</f>
        <v>0</v>
      </c>
      <c r="AO125" s="806">
        <f>SUM(AU125:BF125)</f>
        <v>0</v>
      </c>
      <c r="AP125" s="806">
        <f>+BT125</f>
        <v>10000</v>
      </c>
      <c r="AQ125" s="806">
        <f>+CG125</f>
        <v>0</v>
      </c>
      <c r="AR125" s="806">
        <f>+CT125</f>
        <v>0</v>
      </c>
      <c r="AS125" s="806">
        <f t="shared" si="86"/>
        <v>0</v>
      </c>
      <c r="AT125" s="806">
        <f t="shared" si="86"/>
        <v>0</v>
      </c>
      <c r="AU125" s="2"/>
      <c r="AV125" s="2"/>
      <c r="AW125" s="2"/>
      <c r="AX125" s="2"/>
      <c r="AY125" s="2"/>
      <c r="AZ125" s="2"/>
      <c r="BA125" s="2"/>
      <c r="BC125" s="2"/>
      <c r="BD125" s="2"/>
      <c r="BE125" s="2"/>
      <c r="BF125" s="2"/>
      <c r="BG125" s="806">
        <f>SUM(AU125:BF125)</f>
        <v>0</v>
      </c>
      <c r="BH125" s="807"/>
      <c r="BI125" s="807"/>
      <c r="BJ125" s="807"/>
      <c r="BK125" s="807"/>
      <c r="BL125" s="807"/>
      <c r="BM125" s="807"/>
      <c r="BN125" s="807"/>
      <c r="BO125" s="807"/>
      <c r="BP125" s="807">
        <v>10000</v>
      </c>
      <c r="BQ125" s="807"/>
      <c r="BR125" s="807"/>
      <c r="BS125" s="807"/>
      <c r="BT125" s="806">
        <f>SUM(BH125:BS125)</f>
        <v>10000</v>
      </c>
      <c r="CG125" s="806">
        <f>SUM(BU125:CF125)</f>
        <v>0</v>
      </c>
      <c r="CT125" s="806">
        <f>SUM(CH125:CS125)</f>
        <v>0</v>
      </c>
      <c r="DG125" s="806">
        <f>SUM(CU125:DF125)</f>
        <v>0</v>
      </c>
    </row>
    <row r="126" spans="1:111" x14ac:dyDescent="0.25">
      <c r="A126" s="16"/>
      <c r="B126" s="370" t="s">
        <v>1022</v>
      </c>
      <c r="C126" s="823" t="s">
        <v>544</v>
      </c>
      <c r="D126" s="831" t="s">
        <v>1024</v>
      </c>
      <c r="E126" s="824" t="s">
        <v>931</v>
      </c>
      <c r="F126" s="811">
        <v>958</v>
      </c>
      <c r="G126" s="851">
        <f>2559.58/1.2</f>
        <v>2132.9833333333336</v>
      </c>
      <c r="H126" s="851">
        <f>2559.58/1.2</f>
        <v>2132.9833333333336</v>
      </c>
      <c r="I126" s="802">
        <f t="shared" si="94"/>
        <v>0</v>
      </c>
      <c r="J126" s="802">
        <f t="shared" ref="J126" si="97">SUM(BH126:BM126)</f>
        <v>0</v>
      </c>
      <c r="K126" s="809">
        <f t="shared" ref="K126" si="98">+H126-I126</f>
        <v>2132.9833333333336</v>
      </c>
      <c r="L126" s="810">
        <f t="shared" si="95"/>
        <v>2132.98</v>
      </c>
      <c r="M126" s="394">
        <f t="shared" si="91"/>
        <v>3.3333333335576754E-3</v>
      </c>
      <c r="N126" s="2"/>
      <c r="O126" s="2"/>
      <c r="P126" s="2"/>
      <c r="Q126" s="2"/>
      <c r="R126" s="2"/>
      <c r="S126" s="2"/>
      <c r="T126" s="2"/>
      <c r="U126" s="2"/>
      <c r="V126" s="2"/>
      <c r="W126" s="2"/>
      <c r="X126" s="2"/>
      <c r="Y126" s="2"/>
      <c r="Z126" s="2"/>
      <c r="AA126" s="806">
        <f>SUM(O126:Z126)</f>
        <v>0</v>
      </c>
      <c r="AB126" s="2"/>
      <c r="AC126" s="2"/>
      <c r="AD126" s="2"/>
      <c r="AE126" s="2"/>
      <c r="AF126" s="2"/>
      <c r="AG126" s="2"/>
      <c r="AH126" s="2"/>
      <c r="AI126" s="2"/>
      <c r="AJ126" s="2"/>
      <c r="AK126" s="2"/>
      <c r="AL126" s="2"/>
      <c r="AM126" s="2"/>
      <c r="AN126" s="806">
        <f>SUM(AB126:AM126)</f>
        <v>0</v>
      </c>
      <c r="AO126" s="806">
        <f>SUM(AU126:BF126)</f>
        <v>0</v>
      </c>
      <c r="AP126" s="806">
        <f>+BT126</f>
        <v>2132.98</v>
      </c>
      <c r="AQ126" s="806">
        <f>+CG126</f>
        <v>0</v>
      </c>
      <c r="AR126" s="806">
        <f>+CT126</f>
        <v>0</v>
      </c>
      <c r="AS126" s="806">
        <f t="shared" si="86"/>
        <v>0</v>
      </c>
      <c r="AT126" s="806">
        <f t="shared" si="86"/>
        <v>0</v>
      </c>
      <c r="AU126" s="2"/>
      <c r="AV126" s="2"/>
      <c r="AW126" s="2"/>
      <c r="AX126" s="2"/>
      <c r="AY126" s="2"/>
      <c r="AZ126" s="2"/>
      <c r="BA126" s="2"/>
      <c r="BC126" s="2"/>
      <c r="BD126" s="2"/>
      <c r="BE126" s="2"/>
      <c r="BF126" s="2"/>
      <c r="BG126" s="806">
        <f t="shared" ref="BG126" si="99">SUM(AU126:BF126)</f>
        <v>0</v>
      </c>
      <c r="BH126" s="807"/>
      <c r="BI126" s="807"/>
      <c r="BJ126" s="807"/>
      <c r="BK126" s="807"/>
      <c r="BL126" s="807"/>
      <c r="BM126" s="807"/>
      <c r="BN126" s="807"/>
      <c r="BO126" s="807">
        <v>2132.98</v>
      </c>
      <c r="BP126" s="807"/>
      <c r="BQ126" s="807"/>
      <c r="BR126" s="807"/>
      <c r="BS126" s="807"/>
      <c r="BT126" s="806">
        <f t="shared" si="58"/>
        <v>2132.98</v>
      </c>
      <c r="CG126" s="806"/>
      <c r="CT126" s="806"/>
      <c r="DG126" s="806"/>
    </row>
    <row r="127" spans="1:111" x14ac:dyDescent="0.25">
      <c r="A127" s="16"/>
      <c r="B127" s="370" t="s">
        <v>1022</v>
      </c>
      <c r="C127" t="s">
        <v>86</v>
      </c>
      <c r="D127" s="370"/>
      <c r="E127" t="s">
        <v>279</v>
      </c>
      <c r="H127" s="802"/>
      <c r="I127" s="802">
        <f t="shared" si="94"/>
        <v>0</v>
      </c>
      <c r="J127" s="802">
        <f t="shared" si="93"/>
        <v>0</v>
      </c>
      <c r="K127" s="809">
        <f t="shared" si="89"/>
        <v>0</v>
      </c>
      <c r="L127" s="810">
        <f t="shared" si="95"/>
        <v>0</v>
      </c>
      <c r="M127" s="394">
        <f t="shared" si="91"/>
        <v>0</v>
      </c>
      <c r="N127" s="2"/>
      <c r="O127" s="2"/>
      <c r="P127" s="2"/>
      <c r="Q127" s="2"/>
      <c r="R127" s="2"/>
      <c r="S127" s="2"/>
      <c r="T127" s="2"/>
      <c r="U127" s="2"/>
      <c r="V127" s="2"/>
      <c r="W127" s="2"/>
      <c r="X127" s="2"/>
      <c r="Y127" s="2"/>
      <c r="Z127" s="2"/>
      <c r="AA127" s="806">
        <f t="shared" si="80"/>
        <v>0</v>
      </c>
      <c r="AB127" s="2"/>
      <c r="AC127" s="2"/>
      <c r="AD127" s="2"/>
      <c r="AE127" s="2"/>
      <c r="AF127" s="2"/>
      <c r="AG127" s="2"/>
      <c r="AH127" s="2"/>
      <c r="AI127" s="2"/>
      <c r="AJ127" s="2"/>
      <c r="AK127" s="2"/>
      <c r="AL127" s="2"/>
      <c r="AM127" s="2"/>
      <c r="AN127" s="806">
        <f t="shared" si="81"/>
        <v>0</v>
      </c>
      <c r="AO127" s="806">
        <f t="shared" si="82"/>
        <v>0</v>
      </c>
      <c r="AP127" s="806">
        <f t="shared" si="83"/>
        <v>0</v>
      </c>
      <c r="AQ127" s="806">
        <f t="shared" si="84"/>
        <v>0</v>
      </c>
      <c r="AR127" s="806">
        <f t="shared" si="85"/>
        <v>0</v>
      </c>
      <c r="AS127" s="806">
        <f t="shared" si="86"/>
        <v>0</v>
      </c>
      <c r="AT127" s="806">
        <f t="shared" si="86"/>
        <v>0</v>
      </c>
      <c r="AU127" s="2"/>
      <c r="AV127" s="2"/>
      <c r="AW127" s="2"/>
      <c r="AX127" s="2"/>
      <c r="AY127" s="2"/>
      <c r="AZ127" s="2"/>
      <c r="BA127" s="2"/>
      <c r="BC127" s="2"/>
      <c r="BD127" s="2"/>
      <c r="BE127" s="2"/>
      <c r="BF127" s="2"/>
      <c r="BG127" s="806">
        <f t="shared" si="57"/>
        <v>0</v>
      </c>
      <c r="BH127" s="807"/>
      <c r="BI127" s="807"/>
      <c r="BJ127" s="807"/>
      <c r="BK127" s="807"/>
      <c r="BL127" s="807"/>
      <c r="BM127" s="807"/>
      <c r="BN127" s="807"/>
      <c r="BO127" s="807"/>
      <c r="BP127" s="807"/>
      <c r="BQ127" s="807"/>
      <c r="BR127" s="807"/>
      <c r="BS127" s="807"/>
      <c r="BT127" s="806">
        <f t="shared" si="58"/>
        <v>0</v>
      </c>
      <c r="CG127" s="806">
        <f t="shared" si="59"/>
        <v>0</v>
      </c>
      <c r="CT127" s="806">
        <f t="shared" si="92"/>
        <v>0</v>
      </c>
      <c r="DG127" s="806">
        <f t="shared" si="56"/>
        <v>0</v>
      </c>
    </row>
    <row r="128" spans="1:111" x14ac:dyDescent="0.25">
      <c r="A128" s="370"/>
      <c r="B128" s="370"/>
      <c r="D128" s="370"/>
      <c r="H128" s="796"/>
      <c r="I128" s="796"/>
      <c r="J128" s="796"/>
      <c r="K128" s="796"/>
      <c r="L128" s="796"/>
      <c r="M128" s="2"/>
      <c r="N128" s="2"/>
      <c r="O128" s="2"/>
      <c r="P128" s="2"/>
      <c r="Q128" s="2"/>
      <c r="R128" s="2"/>
      <c r="S128" s="2"/>
      <c r="T128" s="2"/>
      <c r="U128" s="2"/>
      <c r="V128" s="2"/>
      <c r="W128" s="2"/>
      <c r="X128" s="2"/>
      <c r="Y128" s="2"/>
      <c r="Z128" s="2"/>
      <c r="AA128" s="806">
        <f t="shared" si="80"/>
        <v>0</v>
      </c>
      <c r="AB128" s="2"/>
      <c r="AC128" s="2"/>
      <c r="AD128" s="2"/>
      <c r="AE128" s="2"/>
      <c r="AF128" s="2"/>
      <c r="AG128" s="2"/>
      <c r="AH128" s="2"/>
      <c r="AI128" s="2"/>
      <c r="AJ128" s="2"/>
      <c r="AK128" s="2"/>
      <c r="AL128" s="2"/>
      <c r="AM128" s="2"/>
      <c r="AN128" s="806">
        <f t="shared" si="81"/>
        <v>0</v>
      </c>
      <c r="AO128" s="806">
        <f t="shared" si="82"/>
        <v>0</v>
      </c>
      <c r="AP128" s="806">
        <f t="shared" si="83"/>
        <v>0</v>
      </c>
      <c r="AQ128" s="806">
        <f t="shared" si="84"/>
        <v>0</v>
      </c>
      <c r="AR128" s="806">
        <f t="shared" si="85"/>
        <v>0</v>
      </c>
      <c r="AS128" s="806">
        <f t="shared" si="86"/>
        <v>0</v>
      </c>
      <c r="AT128" s="806">
        <f t="shared" si="86"/>
        <v>0</v>
      </c>
      <c r="AU128" s="2"/>
      <c r="AV128" s="2"/>
      <c r="AW128" s="2"/>
      <c r="AX128" s="2"/>
      <c r="AY128" s="2"/>
      <c r="AZ128" s="2"/>
      <c r="BA128" s="2"/>
      <c r="BC128" s="2"/>
      <c r="BD128" s="2"/>
      <c r="BE128" s="2"/>
      <c r="BF128" s="2"/>
      <c r="BG128" s="806">
        <f t="shared" si="57"/>
        <v>0</v>
      </c>
      <c r="BH128" s="807"/>
      <c r="BI128" s="807"/>
      <c r="BJ128" s="807"/>
      <c r="BK128" s="807"/>
      <c r="BL128" s="807"/>
      <c r="BM128" s="807"/>
      <c r="BN128" s="807"/>
      <c r="BO128" s="807"/>
      <c r="BP128" s="807"/>
      <c r="BQ128" s="807"/>
      <c r="BR128" s="807"/>
      <c r="BS128" s="807"/>
      <c r="BT128" s="806">
        <f t="shared" si="58"/>
        <v>0</v>
      </c>
      <c r="CG128" s="806">
        <f t="shared" si="59"/>
        <v>0</v>
      </c>
      <c r="CT128" s="806">
        <f t="shared" si="92"/>
        <v>0</v>
      </c>
      <c r="DG128" s="806">
        <f t="shared" si="56"/>
        <v>0</v>
      </c>
    </row>
    <row r="129" spans="1:112" s="797" customFormat="1" x14ac:dyDescent="0.25">
      <c r="A129" s="797" t="s">
        <v>1025</v>
      </c>
      <c r="H129" s="813">
        <f t="shared" ref="H129:M129" si="100">SUM(H110:H128)</f>
        <v>387050</v>
      </c>
      <c r="I129" s="813">
        <f t="shared" si="100"/>
        <v>0</v>
      </c>
      <c r="J129" s="813">
        <f t="shared" si="100"/>
        <v>0</v>
      </c>
      <c r="K129" s="813">
        <f t="shared" si="100"/>
        <v>387050</v>
      </c>
      <c r="L129" s="813">
        <f t="shared" si="100"/>
        <v>387050</v>
      </c>
      <c r="M129" s="813">
        <f t="shared" si="100"/>
        <v>-7.73070496506989E-12</v>
      </c>
      <c r="AA129" s="814">
        <f t="shared" ref="AA129:BF129" si="101">SUM(AA110:AA128)</f>
        <v>0</v>
      </c>
      <c r="AB129" s="814">
        <f t="shared" si="101"/>
        <v>0</v>
      </c>
      <c r="AC129" s="814">
        <f t="shared" si="101"/>
        <v>0</v>
      </c>
      <c r="AD129" s="814">
        <f t="shared" si="101"/>
        <v>0</v>
      </c>
      <c r="AE129" s="814">
        <f t="shared" si="101"/>
        <v>0</v>
      </c>
      <c r="AF129" s="814">
        <f t="shared" si="101"/>
        <v>0</v>
      </c>
      <c r="AG129" s="814">
        <f t="shared" si="101"/>
        <v>0</v>
      </c>
      <c r="AH129" s="814">
        <f t="shared" si="101"/>
        <v>0</v>
      </c>
      <c r="AI129" s="814">
        <f t="shared" si="101"/>
        <v>0</v>
      </c>
      <c r="AJ129" s="814">
        <f t="shared" si="101"/>
        <v>0</v>
      </c>
      <c r="AK129" s="814">
        <f t="shared" si="101"/>
        <v>0</v>
      </c>
      <c r="AL129" s="814">
        <f t="shared" si="101"/>
        <v>0</v>
      </c>
      <c r="AM129" s="814">
        <f t="shared" si="101"/>
        <v>0</v>
      </c>
      <c r="AN129" s="814">
        <f t="shared" si="101"/>
        <v>0</v>
      </c>
      <c r="AO129" s="814">
        <f t="shared" si="101"/>
        <v>0</v>
      </c>
      <c r="AP129" s="814">
        <f t="shared" si="101"/>
        <v>127482.98</v>
      </c>
      <c r="AQ129" s="814">
        <f t="shared" si="101"/>
        <v>153867.01999999999</v>
      </c>
      <c r="AR129" s="814">
        <f t="shared" si="101"/>
        <v>105700</v>
      </c>
      <c r="AS129" s="814">
        <f t="shared" si="101"/>
        <v>0</v>
      </c>
      <c r="AT129" s="814">
        <f t="shared" si="101"/>
        <v>0</v>
      </c>
      <c r="AU129" s="814">
        <f t="shared" si="101"/>
        <v>0</v>
      </c>
      <c r="AV129" s="814">
        <f t="shared" si="101"/>
        <v>0</v>
      </c>
      <c r="AW129" s="814">
        <f t="shared" si="101"/>
        <v>0</v>
      </c>
      <c r="AX129" s="814">
        <f t="shared" si="101"/>
        <v>0</v>
      </c>
      <c r="AY129" s="814">
        <f t="shared" si="101"/>
        <v>0</v>
      </c>
      <c r="AZ129" s="814">
        <f t="shared" si="101"/>
        <v>0</v>
      </c>
      <c r="BA129" s="814">
        <f t="shared" si="101"/>
        <v>0</v>
      </c>
      <c r="BB129" s="814">
        <f t="shared" si="101"/>
        <v>0</v>
      </c>
      <c r="BC129" s="814">
        <f t="shared" si="101"/>
        <v>0</v>
      </c>
      <c r="BD129" s="814">
        <f t="shared" si="101"/>
        <v>0</v>
      </c>
      <c r="BE129" s="814">
        <f t="shared" si="101"/>
        <v>0</v>
      </c>
      <c r="BF129" s="814">
        <f t="shared" si="101"/>
        <v>0</v>
      </c>
      <c r="BG129" s="816">
        <f t="shared" si="57"/>
        <v>0</v>
      </c>
      <c r="BH129" s="813">
        <f t="shared" ref="BH129:BS129" si="102">SUM(BH110:BH128)</f>
        <v>0</v>
      </c>
      <c r="BI129" s="813">
        <f t="shared" si="102"/>
        <v>0</v>
      </c>
      <c r="BJ129" s="813">
        <f t="shared" si="102"/>
        <v>0</v>
      </c>
      <c r="BK129" s="813">
        <f t="shared" si="102"/>
        <v>0</v>
      </c>
      <c r="BL129" s="813">
        <f t="shared" si="102"/>
        <v>0</v>
      </c>
      <c r="BM129" s="813">
        <f t="shared" si="102"/>
        <v>0</v>
      </c>
      <c r="BN129" s="813">
        <f t="shared" si="102"/>
        <v>0</v>
      </c>
      <c r="BO129" s="813">
        <f t="shared" si="102"/>
        <v>2132.98</v>
      </c>
      <c r="BP129" s="813">
        <f t="shared" si="102"/>
        <v>48850</v>
      </c>
      <c r="BQ129" s="813">
        <f t="shared" si="102"/>
        <v>15500</v>
      </c>
      <c r="BR129" s="813">
        <f t="shared" si="102"/>
        <v>35500</v>
      </c>
      <c r="BS129" s="813">
        <f t="shared" si="102"/>
        <v>25500</v>
      </c>
      <c r="BT129" s="816">
        <f t="shared" si="58"/>
        <v>127482.98000000001</v>
      </c>
      <c r="BU129" s="813">
        <f t="shared" ref="BU129:CF129" si="103">SUM(BU110:BU128)</f>
        <v>30500</v>
      </c>
      <c r="BV129" s="813">
        <f t="shared" si="103"/>
        <v>15500</v>
      </c>
      <c r="BW129" s="813">
        <f t="shared" si="103"/>
        <v>8500</v>
      </c>
      <c r="BX129" s="813">
        <f t="shared" si="103"/>
        <v>14000</v>
      </c>
      <c r="BY129" s="813">
        <f t="shared" si="103"/>
        <v>6867.02</v>
      </c>
      <c r="BZ129" s="813">
        <f t="shared" si="103"/>
        <v>10000</v>
      </c>
      <c r="CA129" s="813">
        <f t="shared" si="103"/>
        <v>10000</v>
      </c>
      <c r="CB129" s="813">
        <f t="shared" si="103"/>
        <v>6500</v>
      </c>
      <c r="CC129" s="813">
        <f t="shared" si="103"/>
        <v>0</v>
      </c>
      <c r="CD129" s="813">
        <f t="shared" si="103"/>
        <v>0</v>
      </c>
      <c r="CE129" s="813">
        <f t="shared" si="103"/>
        <v>10000</v>
      </c>
      <c r="CF129" s="813">
        <f t="shared" si="103"/>
        <v>42000</v>
      </c>
      <c r="CG129" s="816">
        <f t="shared" si="59"/>
        <v>153867.02000000002</v>
      </c>
      <c r="CH129" s="813">
        <f t="shared" ref="CH129:CS129" si="104">SUM(CH110:CH128)</f>
        <v>47500</v>
      </c>
      <c r="CI129" s="813">
        <f t="shared" si="104"/>
        <v>15000</v>
      </c>
      <c r="CJ129" s="813">
        <f t="shared" si="104"/>
        <v>11300</v>
      </c>
      <c r="CK129" s="813">
        <f t="shared" si="104"/>
        <v>15300</v>
      </c>
      <c r="CL129" s="813">
        <f t="shared" si="104"/>
        <v>1300</v>
      </c>
      <c r="CM129" s="813">
        <f t="shared" si="104"/>
        <v>0</v>
      </c>
      <c r="CN129" s="813">
        <f t="shared" si="104"/>
        <v>4000</v>
      </c>
      <c r="CO129" s="813">
        <f t="shared" si="104"/>
        <v>2600</v>
      </c>
      <c r="CP129" s="813">
        <f t="shared" si="104"/>
        <v>0</v>
      </c>
      <c r="CQ129" s="813">
        <f t="shared" si="104"/>
        <v>7400</v>
      </c>
      <c r="CR129" s="813">
        <f t="shared" si="104"/>
        <v>1300</v>
      </c>
      <c r="CS129" s="813">
        <f t="shared" si="104"/>
        <v>0</v>
      </c>
      <c r="CT129" s="816">
        <f t="shared" si="92"/>
        <v>105700</v>
      </c>
      <c r="CU129" s="813">
        <f t="shared" ref="CU129:DF129" si="105">SUM(CU110:CU128)</f>
        <v>0</v>
      </c>
      <c r="CV129" s="813">
        <f t="shared" si="105"/>
        <v>0</v>
      </c>
      <c r="CW129" s="813">
        <f t="shared" si="105"/>
        <v>0</v>
      </c>
      <c r="CX129" s="813">
        <f t="shared" si="105"/>
        <v>0</v>
      </c>
      <c r="CY129" s="813">
        <f t="shared" si="105"/>
        <v>0</v>
      </c>
      <c r="CZ129" s="813">
        <f t="shared" si="105"/>
        <v>0</v>
      </c>
      <c r="DA129" s="813">
        <f t="shared" si="105"/>
        <v>0</v>
      </c>
      <c r="DB129" s="813">
        <f t="shared" si="105"/>
        <v>0</v>
      </c>
      <c r="DC129" s="813">
        <f t="shared" si="105"/>
        <v>0</v>
      </c>
      <c r="DD129" s="813">
        <f t="shared" si="105"/>
        <v>0</v>
      </c>
      <c r="DE129" s="813">
        <f t="shared" si="105"/>
        <v>0</v>
      </c>
      <c r="DF129" s="813">
        <f t="shared" si="105"/>
        <v>0</v>
      </c>
      <c r="DG129" s="816">
        <f t="shared" si="56"/>
        <v>0</v>
      </c>
      <c r="DH129" s="813">
        <f>SUM(DH110:DH128)</f>
        <v>0</v>
      </c>
    </row>
    <row r="130" spans="1:112" x14ac:dyDescent="0.25">
      <c r="A130" s="257" t="s">
        <v>1026</v>
      </c>
      <c r="B130" s="371"/>
      <c r="C130" s="3" t="s">
        <v>723</v>
      </c>
      <c r="D130" s="371" t="s">
        <v>131</v>
      </c>
      <c r="E130" s="3" t="s">
        <v>1027</v>
      </c>
      <c r="F130" s="3"/>
      <c r="G130" s="3"/>
      <c r="H130" s="821">
        <f>6872*18+700</f>
        <v>124396</v>
      </c>
      <c r="I130" s="803">
        <f t="shared" ref="I130:I138" si="106">+AA130+AN130+AO130</f>
        <v>0</v>
      </c>
      <c r="J130" s="803">
        <f t="shared" ref="J130:J138" si="107">SUM(BH130:BM130)</f>
        <v>0</v>
      </c>
      <c r="K130" s="809">
        <f t="shared" ref="K130:K138" si="108">+H130-I130</f>
        <v>124396</v>
      </c>
      <c r="L130" s="810">
        <f t="shared" ref="L130:L138" si="109">+AA130+AN130+AO130+BT130+CG130+CT130+DG130</f>
        <v>124396</v>
      </c>
      <c r="M130" s="394">
        <f t="shared" ref="M130:M138" si="110">+IF(G130&gt;0,G130-L130,H130-L130)</f>
        <v>0</v>
      </c>
      <c r="N130" s="2"/>
      <c r="O130" s="2"/>
      <c r="P130" s="2"/>
      <c r="Q130" s="2"/>
      <c r="R130" s="2"/>
      <c r="S130" s="2"/>
      <c r="T130" s="2"/>
      <c r="U130" s="2"/>
      <c r="V130" s="2"/>
      <c r="W130" s="2"/>
      <c r="X130" s="2"/>
      <c r="Y130" s="2"/>
      <c r="Z130" s="2"/>
      <c r="AA130" s="806">
        <f t="shared" ref="AA130:AA138" si="111">SUM(O130:Z130)</f>
        <v>0</v>
      </c>
      <c r="AB130" s="2"/>
      <c r="AC130" s="2"/>
      <c r="AD130" s="2"/>
      <c r="AE130" s="2"/>
      <c r="AF130" s="2"/>
      <c r="AG130" s="2"/>
      <c r="AH130" s="2"/>
      <c r="AI130" s="2"/>
      <c r="AJ130" s="2"/>
      <c r="AK130" s="2"/>
      <c r="AL130" s="2"/>
      <c r="AM130" s="2"/>
      <c r="AN130" s="806">
        <f t="shared" ref="AN130:AN138" si="112">SUM(AB130:AM130)</f>
        <v>0</v>
      </c>
      <c r="AO130" s="806">
        <f t="shared" ref="AO130:AO138" si="113">SUM(AU130:BF130)</f>
        <v>0</v>
      </c>
      <c r="AP130" s="806">
        <f t="shared" ref="AP130:AP138" si="114">+BT130</f>
        <v>13600</v>
      </c>
      <c r="AQ130" s="806">
        <f t="shared" ref="AQ130:AQ138" si="115">+CG130</f>
        <v>81600</v>
      </c>
      <c r="AR130" s="806">
        <f t="shared" ref="AR130:AR138" si="116">+CT130</f>
        <v>29196</v>
      </c>
      <c r="AS130" s="806">
        <f t="shared" ref="AS130:AT138" si="117">+DG130</f>
        <v>0</v>
      </c>
      <c r="AT130" s="806">
        <f t="shared" si="117"/>
        <v>0</v>
      </c>
      <c r="AU130" s="2"/>
      <c r="AV130" s="2"/>
      <c r="AW130" s="2"/>
      <c r="AX130" s="2"/>
      <c r="AY130" s="2"/>
      <c r="AZ130" s="2"/>
      <c r="BA130" s="2"/>
      <c r="BB130" s="2"/>
      <c r="BC130" s="2"/>
      <c r="BD130" s="2"/>
      <c r="BE130" s="2"/>
      <c r="BF130" s="2"/>
      <c r="BG130" s="806">
        <f t="shared" si="57"/>
        <v>0</v>
      </c>
      <c r="BH130" s="807"/>
      <c r="BI130" s="807"/>
      <c r="BJ130" s="807"/>
      <c r="BK130" s="807"/>
      <c r="BL130" s="807"/>
      <c r="BM130" s="807"/>
      <c r="BN130" s="807"/>
      <c r="BO130" s="807"/>
      <c r="BP130" s="807"/>
      <c r="BQ130" s="807"/>
      <c r="BR130" s="807">
        <v>6800</v>
      </c>
      <c r="BS130" s="807">
        <v>6800</v>
      </c>
      <c r="BT130" s="806">
        <f t="shared" si="58"/>
        <v>13600</v>
      </c>
      <c r="BU130">
        <v>6800</v>
      </c>
      <c r="BV130">
        <v>6800</v>
      </c>
      <c r="BW130">
        <v>6800</v>
      </c>
      <c r="BX130">
        <v>6800</v>
      </c>
      <c r="BY130">
        <v>6800</v>
      </c>
      <c r="BZ130">
        <v>6800</v>
      </c>
      <c r="CA130">
        <v>6800</v>
      </c>
      <c r="CB130">
        <v>6800</v>
      </c>
      <c r="CC130">
        <v>6800</v>
      </c>
      <c r="CD130">
        <v>6800</v>
      </c>
      <c r="CE130">
        <v>6800</v>
      </c>
      <c r="CF130">
        <v>6800</v>
      </c>
      <c r="CG130" s="806">
        <f t="shared" si="59"/>
        <v>81600</v>
      </c>
      <c r="CH130">
        <v>6800</v>
      </c>
      <c r="CI130">
        <v>6800</v>
      </c>
      <c r="CJ130">
        <v>6800</v>
      </c>
      <c r="CK130">
        <v>6800</v>
      </c>
      <c r="CL130">
        <v>1996</v>
      </c>
      <c r="CT130" s="806">
        <f t="shared" si="92"/>
        <v>29196</v>
      </c>
      <c r="DG130" s="806">
        <f t="shared" si="56"/>
        <v>0</v>
      </c>
    </row>
    <row r="131" spans="1:112" x14ac:dyDescent="0.25">
      <c r="A131" s="16"/>
      <c r="B131" s="370"/>
      <c r="C131" s="823" t="s">
        <v>1028</v>
      </c>
      <c r="D131" s="831" t="s">
        <v>131</v>
      </c>
      <c r="E131" s="824" t="s">
        <v>931</v>
      </c>
      <c r="F131" s="811">
        <v>986</v>
      </c>
      <c r="G131" s="851">
        <v>22731</v>
      </c>
      <c r="H131" s="851">
        <v>22731</v>
      </c>
      <c r="I131" s="803">
        <f t="shared" si="106"/>
        <v>0</v>
      </c>
      <c r="J131" s="803">
        <f t="shared" si="107"/>
        <v>0</v>
      </c>
      <c r="K131" s="809">
        <f t="shared" si="108"/>
        <v>22731</v>
      </c>
      <c r="L131" s="810">
        <f t="shared" si="109"/>
        <v>22731</v>
      </c>
      <c r="M131" s="394">
        <f t="shared" si="110"/>
        <v>0</v>
      </c>
      <c r="N131" s="2"/>
      <c r="O131" s="2"/>
      <c r="P131" s="2"/>
      <c r="Q131" s="2"/>
      <c r="R131" s="2"/>
      <c r="S131" s="2"/>
      <c r="T131" s="2"/>
      <c r="U131" s="2"/>
      <c r="V131" s="2"/>
      <c r="W131" s="2"/>
      <c r="X131" s="2"/>
      <c r="Y131" s="2"/>
      <c r="Z131" s="2"/>
      <c r="AA131" s="806">
        <f t="shared" si="111"/>
        <v>0</v>
      </c>
      <c r="AB131" s="2"/>
      <c r="AC131" s="2"/>
      <c r="AD131" s="2"/>
      <c r="AE131" s="2"/>
      <c r="AF131" s="2"/>
      <c r="AG131" s="2"/>
      <c r="AH131" s="2"/>
      <c r="AI131" s="2"/>
      <c r="AJ131" s="2"/>
      <c r="AK131" s="2"/>
      <c r="AL131" s="2"/>
      <c r="AM131" s="2"/>
      <c r="AN131" s="806">
        <f t="shared" si="112"/>
        <v>0</v>
      </c>
      <c r="AO131" s="806">
        <f t="shared" si="113"/>
        <v>0</v>
      </c>
      <c r="AP131" s="806">
        <f t="shared" si="114"/>
        <v>22731</v>
      </c>
      <c r="AQ131" s="806">
        <f t="shared" si="115"/>
        <v>0</v>
      </c>
      <c r="AR131" s="806">
        <f t="shared" si="116"/>
        <v>0</v>
      </c>
      <c r="AS131" s="806">
        <f t="shared" si="117"/>
        <v>0</v>
      </c>
      <c r="AT131" s="806">
        <f t="shared" si="117"/>
        <v>0</v>
      </c>
      <c r="AU131" s="2"/>
      <c r="AV131" s="2"/>
      <c r="AW131" s="2"/>
      <c r="AX131" s="2"/>
      <c r="AY131" s="2"/>
      <c r="AZ131" s="2"/>
      <c r="BA131" s="2"/>
      <c r="BB131" s="2"/>
      <c r="BC131" s="2"/>
      <c r="BD131" s="2"/>
      <c r="BE131" s="2"/>
      <c r="BF131" s="2"/>
      <c r="BG131" s="806">
        <f t="shared" si="57"/>
        <v>0</v>
      </c>
      <c r="BH131" s="807"/>
      <c r="BI131" s="807"/>
      <c r="BJ131" s="807"/>
      <c r="BK131" s="807"/>
      <c r="BL131" s="807"/>
      <c r="BM131" s="807"/>
      <c r="BN131" s="807"/>
      <c r="BO131" s="820">
        <v>8599.4</v>
      </c>
      <c r="BP131" s="807">
        <f>11000-8599.4</f>
        <v>2400.6000000000004</v>
      </c>
      <c r="BQ131" s="807">
        <v>5500</v>
      </c>
      <c r="BR131" s="807">
        <v>6231</v>
      </c>
      <c r="BS131" s="807"/>
      <c r="BT131" s="806">
        <f t="shared" si="58"/>
        <v>22731</v>
      </c>
      <c r="CG131" s="806">
        <f t="shared" si="59"/>
        <v>0</v>
      </c>
      <c r="CT131" s="806">
        <f t="shared" si="92"/>
        <v>0</v>
      </c>
      <c r="DG131" s="806">
        <f t="shared" si="56"/>
        <v>0</v>
      </c>
    </row>
    <row r="132" spans="1:112" x14ac:dyDescent="0.25">
      <c r="A132" s="16"/>
      <c r="B132" s="370"/>
      <c r="C132" s="823" t="s">
        <v>1029</v>
      </c>
      <c r="D132" s="831" t="s">
        <v>131</v>
      </c>
      <c r="E132" s="824" t="s">
        <v>931</v>
      </c>
      <c r="F132" s="811">
        <v>986</v>
      </c>
      <c r="G132" s="851">
        <v>14856</v>
      </c>
      <c r="H132" s="851">
        <v>14856</v>
      </c>
      <c r="I132" s="803">
        <f t="shared" si="106"/>
        <v>0</v>
      </c>
      <c r="J132" s="803">
        <f t="shared" si="107"/>
        <v>0</v>
      </c>
      <c r="K132" s="809">
        <f t="shared" si="108"/>
        <v>14856</v>
      </c>
      <c r="L132" s="810">
        <f t="shared" si="109"/>
        <v>14856</v>
      </c>
      <c r="M132" s="394">
        <f t="shared" si="110"/>
        <v>0</v>
      </c>
      <c r="N132" s="2"/>
      <c r="O132" s="2"/>
      <c r="P132" s="2"/>
      <c r="Q132" s="2"/>
      <c r="R132" s="2"/>
      <c r="S132" s="2"/>
      <c r="T132" s="2"/>
      <c r="U132" s="2"/>
      <c r="V132" s="2"/>
      <c r="W132" s="2"/>
      <c r="X132" s="2"/>
      <c r="Y132" s="2"/>
      <c r="Z132" s="2"/>
      <c r="AA132" s="806">
        <f t="shared" si="111"/>
        <v>0</v>
      </c>
      <c r="AB132" s="2"/>
      <c r="AC132" s="2"/>
      <c r="AD132" s="2"/>
      <c r="AE132" s="2"/>
      <c r="AF132" s="2"/>
      <c r="AG132" s="2"/>
      <c r="AH132" s="2"/>
      <c r="AI132" s="2"/>
      <c r="AJ132" s="2"/>
      <c r="AK132" s="2"/>
      <c r="AL132" s="2"/>
      <c r="AM132" s="2"/>
      <c r="AN132" s="806">
        <f t="shared" si="112"/>
        <v>0</v>
      </c>
      <c r="AO132" s="806">
        <f t="shared" si="113"/>
        <v>0</v>
      </c>
      <c r="AP132" s="806">
        <f t="shared" si="114"/>
        <v>14856</v>
      </c>
      <c r="AQ132" s="806">
        <f t="shared" si="115"/>
        <v>0</v>
      </c>
      <c r="AR132" s="806">
        <f t="shared" si="116"/>
        <v>0</v>
      </c>
      <c r="AS132" s="806">
        <f t="shared" si="117"/>
        <v>0</v>
      </c>
      <c r="AT132" s="806">
        <f t="shared" si="117"/>
        <v>0</v>
      </c>
      <c r="AU132" s="2"/>
      <c r="AV132" s="2"/>
      <c r="AW132" s="2"/>
      <c r="AX132" s="2"/>
      <c r="AY132" s="2"/>
      <c r="AZ132" s="2"/>
      <c r="BA132" s="2"/>
      <c r="BB132" s="2"/>
      <c r="BC132" s="2"/>
      <c r="BD132" s="2"/>
      <c r="BE132" s="2"/>
      <c r="BF132" s="2"/>
      <c r="BG132" s="806">
        <f t="shared" si="57"/>
        <v>0</v>
      </c>
      <c r="BH132" s="807"/>
      <c r="BI132" s="807"/>
      <c r="BJ132" s="807"/>
      <c r="BK132" s="807"/>
      <c r="BL132" s="807"/>
      <c r="BM132" s="807"/>
      <c r="BN132" s="807"/>
      <c r="BO132" s="807"/>
      <c r="BP132" s="807">
        <v>5000</v>
      </c>
      <c r="BQ132" s="807">
        <v>5000</v>
      </c>
      <c r="BR132" s="807">
        <v>4856</v>
      </c>
      <c r="BS132" s="807"/>
      <c r="BT132" s="806">
        <f t="shared" si="58"/>
        <v>14856</v>
      </c>
      <c r="CG132" s="806">
        <f t="shared" si="59"/>
        <v>0</v>
      </c>
      <c r="CT132" s="806">
        <f t="shared" si="92"/>
        <v>0</v>
      </c>
      <c r="DG132" s="806">
        <f t="shared" si="56"/>
        <v>0</v>
      </c>
    </row>
    <row r="133" spans="1:112" x14ac:dyDescent="0.25">
      <c r="A133" s="16"/>
      <c r="B133" s="370"/>
      <c r="C133" t="s">
        <v>1030</v>
      </c>
      <c r="D133" s="370"/>
      <c r="E133" t="s">
        <v>1027</v>
      </c>
      <c r="H133" s="802">
        <v>55557</v>
      </c>
      <c r="I133" s="803">
        <f t="shared" si="106"/>
        <v>0</v>
      </c>
      <c r="J133" s="803">
        <f t="shared" si="107"/>
        <v>0</v>
      </c>
      <c r="K133" s="809">
        <f t="shared" si="108"/>
        <v>55557</v>
      </c>
      <c r="L133" s="810">
        <f t="shared" si="109"/>
        <v>55557</v>
      </c>
      <c r="M133" s="394">
        <f t="shared" si="110"/>
        <v>0</v>
      </c>
      <c r="N133" s="2"/>
      <c r="O133" s="2"/>
      <c r="P133" s="2"/>
      <c r="Q133" s="2"/>
      <c r="R133" s="2"/>
      <c r="S133" s="2"/>
      <c r="T133" s="2"/>
      <c r="U133" s="2"/>
      <c r="V133" s="2"/>
      <c r="W133" s="2"/>
      <c r="X133" s="2"/>
      <c r="Y133" s="2"/>
      <c r="Z133" s="2"/>
      <c r="AA133" s="806">
        <f t="shared" si="111"/>
        <v>0</v>
      </c>
      <c r="AB133" s="2"/>
      <c r="AC133" s="2"/>
      <c r="AD133" s="2"/>
      <c r="AE133" s="2"/>
      <c r="AF133" s="2"/>
      <c r="AG133" s="2"/>
      <c r="AH133" s="2"/>
      <c r="AI133" s="2"/>
      <c r="AJ133" s="2"/>
      <c r="AK133" s="2"/>
      <c r="AL133" s="2"/>
      <c r="AM133" s="2"/>
      <c r="AN133" s="806">
        <f t="shared" si="112"/>
        <v>0</v>
      </c>
      <c r="AO133" s="806">
        <f t="shared" si="113"/>
        <v>0</v>
      </c>
      <c r="AP133" s="806">
        <f t="shared" si="114"/>
        <v>45000</v>
      </c>
      <c r="AQ133" s="806">
        <f t="shared" si="115"/>
        <v>10557</v>
      </c>
      <c r="AR133" s="806">
        <f t="shared" si="116"/>
        <v>0</v>
      </c>
      <c r="AS133" s="806">
        <f t="shared" si="117"/>
        <v>0</v>
      </c>
      <c r="AT133" s="806">
        <f t="shared" si="117"/>
        <v>0</v>
      </c>
      <c r="AU133" s="2"/>
      <c r="AV133" s="2"/>
      <c r="AW133" s="2"/>
      <c r="AX133" s="2"/>
      <c r="AY133" s="2"/>
      <c r="AZ133" s="2"/>
      <c r="BA133" s="2"/>
      <c r="BB133" s="2"/>
      <c r="BC133" s="2"/>
      <c r="BD133" s="2"/>
      <c r="BE133" s="2"/>
      <c r="BF133" s="2"/>
      <c r="BG133" s="806">
        <f t="shared" si="57"/>
        <v>0</v>
      </c>
      <c r="BH133" s="807"/>
      <c r="BI133" s="807"/>
      <c r="BJ133" s="807"/>
      <c r="BK133" s="807"/>
      <c r="BL133" s="807"/>
      <c r="BM133" s="807"/>
      <c r="BN133" s="807"/>
      <c r="BO133" s="807"/>
      <c r="BP133" s="807"/>
      <c r="BQ133" s="807">
        <v>5000</v>
      </c>
      <c r="BR133" s="807">
        <v>20000</v>
      </c>
      <c r="BS133" s="807">
        <v>20000</v>
      </c>
      <c r="BT133" s="806">
        <f t="shared" si="58"/>
        <v>45000</v>
      </c>
      <c r="BU133" s="807">
        <v>10557</v>
      </c>
      <c r="CG133" s="806">
        <f t="shared" si="59"/>
        <v>10557</v>
      </c>
      <c r="CT133" s="806">
        <f t="shared" si="92"/>
        <v>0</v>
      </c>
      <c r="DG133" s="806">
        <f t="shared" ref="DG133:DG165" si="118">SUM(CU133:DF133)</f>
        <v>0</v>
      </c>
    </row>
    <row r="134" spans="1:112" x14ac:dyDescent="0.25">
      <c r="A134" s="16"/>
      <c r="B134" s="370"/>
      <c r="C134" t="s">
        <v>1031</v>
      </c>
      <c r="D134" s="370"/>
      <c r="E134" t="s">
        <v>1027</v>
      </c>
      <c r="H134" s="802">
        <v>45699</v>
      </c>
      <c r="I134" s="803">
        <f t="shared" si="106"/>
        <v>0</v>
      </c>
      <c r="J134" s="803">
        <f t="shared" si="107"/>
        <v>0</v>
      </c>
      <c r="K134" s="809">
        <f t="shared" si="108"/>
        <v>45699</v>
      </c>
      <c r="L134" s="810">
        <f t="shared" si="109"/>
        <v>45699</v>
      </c>
      <c r="M134" s="394">
        <f t="shared" si="110"/>
        <v>0</v>
      </c>
      <c r="N134" s="2"/>
      <c r="O134" s="2"/>
      <c r="P134" s="2"/>
      <c r="Q134" s="2"/>
      <c r="R134" s="2"/>
      <c r="S134" s="2"/>
      <c r="T134" s="2"/>
      <c r="U134" s="2"/>
      <c r="V134" s="2"/>
      <c r="W134" s="2"/>
      <c r="X134" s="2"/>
      <c r="Y134" s="2"/>
      <c r="Z134" s="2"/>
      <c r="AA134" s="806">
        <f t="shared" si="111"/>
        <v>0</v>
      </c>
      <c r="AB134" s="2"/>
      <c r="AC134" s="2"/>
      <c r="AD134" s="2"/>
      <c r="AE134" s="2"/>
      <c r="AF134" s="2"/>
      <c r="AG134" s="2"/>
      <c r="AH134" s="2"/>
      <c r="AI134" s="2"/>
      <c r="AJ134" s="2"/>
      <c r="AK134" s="2"/>
      <c r="AL134" s="2"/>
      <c r="AM134" s="2"/>
      <c r="AN134" s="806">
        <f t="shared" si="112"/>
        <v>0</v>
      </c>
      <c r="AO134" s="806">
        <f t="shared" si="113"/>
        <v>0</v>
      </c>
      <c r="AP134" s="806">
        <f t="shared" si="114"/>
        <v>0</v>
      </c>
      <c r="AQ134" s="806">
        <f t="shared" si="115"/>
        <v>45699</v>
      </c>
      <c r="AR134" s="806">
        <f t="shared" si="116"/>
        <v>0</v>
      </c>
      <c r="AS134" s="806">
        <f t="shared" si="117"/>
        <v>0</v>
      </c>
      <c r="AT134" s="806">
        <f t="shared" si="117"/>
        <v>0</v>
      </c>
      <c r="AU134" s="2"/>
      <c r="AV134" s="2"/>
      <c r="AW134" s="2"/>
      <c r="AX134" s="2"/>
      <c r="AY134" s="2"/>
      <c r="AZ134" s="2"/>
      <c r="BA134" s="2"/>
      <c r="BB134" s="2"/>
      <c r="BC134" s="2"/>
      <c r="BD134" s="2"/>
      <c r="BE134" s="2"/>
      <c r="BF134" s="2"/>
      <c r="BG134" s="806">
        <f t="shared" si="57"/>
        <v>0</v>
      </c>
      <c r="BH134" s="807"/>
      <c r="BI134" s="807"/>
      <c r="BJ134" s="807"/>
      <c r="BK134" s="807"/>
      <c r="BL134" s="807"/>
      <c r="BM134" s="807"/>
      <c r="BN134" s="807"/>
      <c r="BO134" s="807"/>
      <c r="BP134" s="807"/>
      <c r="BQ134" s="807"/>
      <c r="BR134" s="807"/>
      <c r="BS134" s="807"/>
      <c r="BT134" s="806">
        <f t="shared" si="58"/>
        <v>0</v>
      </c>
      <c r="BV134">
        <v>15000</v>
      </c>
      <c r="BW134">
        <v>15000</v>
      </c>
      <c r="BX134">
        <v>15699</v>
      </c>
      <c r="CG134" s="806">
        <f t="shared" si="59"/>
        <v>45699</v>
      </c>
      <c r="CT134" s="806">
        <f t="shared" si="92"/>
        <v>0</v>
      </c>
      <c r="DG134" s="806">
        <f t="shared" si="118"/>
        <v>0</v>
      </c>
    </row>
    <row r="135" spans="1:112" x14ac:dyDescent="0.25">
      <c r="A135" s="16"/>
      <c r="B135" s="370"/>
      <c r="C135" t="s">
        <v>1032</v>
      </c>
      <c r="D135" s="370"/>
      <c r="E135" t="s">
        <v>1027</v>
      </c>
      <c r="H135" s="802">
        <v>56156</v>
      </c>
      <c r="I135" s="803">
        <f t="shared" si="106"/>
        <v>0</v>
      </c>
      <c r="J135" s="803">
        <f t="shared" si="107"/>
        <v>0</v>
      </c>
      <c r="K135" s="809">
        <f t="shared" si="108"/>
        <v>56156</v>
      </c>
      <c r="L135" s="810">
        <f t="shared" si="109"/>
        <v>56156</v>
      </c>
      <c r="M135" s="394">
        <f t="shared" si="110"/>
        <v>0</v>
      </c>
      <c r="N135" s="2"/>
      <c r="O135" s="2"/>
      <c r="P135" s="2"/>
      <c r="Q135" s="2"/>
      <c r="R135" s="2"/>
      <c r="S135" s="2"/>
      <c r="T135" s="2"/>
      <c r="U135" s="2"/>
      <c r="V135" s="2"/>
      <c r="W135" s="2"/>
      <c r="X135" s="2"/>
      <c r="Y135" s="2"/>
      <c r="Z135" s="2"/>
      <c r="AA135" s="806">
        <f t="shared" si="111"/>
        <v>0</v>
      </c>
      <c r="AB135" s="2"/>
      <c r="AC135" s="2"/>
      <c r="AD135" s="2"/>
      <c r="AE135" s="2"/>
      <c r="AF135" s="2"/>
      <c r="AG135" s="2"/>
      <c r="AH135" s="2"/>
      <c r="AI135" s="2"/>
      <c r="AJ135" s="2"/>
      <c r="AK135" s="2"/>
      <c r="AL135" s="2"/>
      <c r="AM135" s="2"/>
      <c r="AN135" s="806">
        <f t="shared" si="112"/>
        <v>0</v>
      </c>
      <c r="AO135" s="806">
        <f t="shared" si="113"/>
        <v>0</v>
      </c>
      <c r="AP135" s="806">
        <f t="shared" si="114"/>
        <v>0</v>
      </c>
      <c r="AQ135" s="806">
        <f t="shared" si="115"/>
        <v>56156</v>
      </c>
      <c r="AR135" s="806">
        <f t="shared" si="116"/>
        <v>0</v>
      </c>
      <c r="AS135" s="806">
        <f t="shared" si="117"/>
        <v>0</v>
      </c>
      <c r="AT135" s="806">
        <f t="shared" si="117"/>
        <v>0</v>
      </c>
      <c r="AU135" s="2"/>
      <c r="AV135" s="2"/>
      <c r="AW135" s="2"/>
      <c r="AX135" s="2"/>
      <c r="AY135" s="2"/>
      <c r="AZ135" s="2"/>
      <c r="BA135" s="2"/>
      <c r="BB135" s="2"/>
      <c r="BC135" s="2"/>
      <c r="BD135" s="2"/>
      <c r="BE135" s="2"/>
      <c r="BF135" s="2"/>
      <c r="BG135" s="806">
        <f t="shared" si="57"/>
        <v>0</v>
      </c>
      <c r="BH135" s="807"/>
      <c r="BI135" s="807"/>
      <c r="BJ135" s="807"/>
      <c r="BK135" s="807"/>
      <c r="BL135" s="807"/>
      <c r="BM135" s="807"/>
      <c r="BN135" s="807"/>
      <c r="BO135" s="807"/>
      <c r="BP135" s="807"/>
      <c r="BQ135" s="807"/>
      <c r="BR135" s="807"/>
      <c r="BS135" s="807"/>
      <c r="BT135" s="806">
        <f t="shared" si="58"/>
        <v>0</v>
      </c>
      <c r="BY135">
        <v>15000</v>
      </c>
      <c r="BZ135">
        <v>15000</v>
      </c>
      <c r="CA135">
        <v>15000</v>
      </c>
      <c r="CB135">
        <v>11156</v>
      </c>
      <c r="CG135" s="806">
        <f t="shared" si="59"/>
        <v>56156</v>
      </c>
      <c r="CT135" s="806">
        <f t="shared" si="92"/>
        <v>0</v>
      </c>
      <c r="DG135" s="806">
        <f t="shared" si="118"/>
        <v>0</v>
      </c>
    </row>
    <row r="136" spans="1:112" x14ac:dyDescent="0.25">
      <c r="A136" s="16"/>
      <c r="B136" s="370"/>
      <c r="C136" t="s">
        <v>1033</v>
      </c>
      <c r="D136" s="370"/>
      <c r="E136" t="s">
        <v>1027</v>
      </c>
      <c r="H136" s="802">
        <v>29688</v>
      </c>
      <c r="I136" s="803">
        <f t="shared" si="106"/>
        <v>0</v>
      </c>
      <c r="J136" s="803">
        <f t="shared" si="107"/>
        <v>0</v>
      </c>
      <c r="K136" s="809">
        <f t="shared" si="108"/>
        <v>29688</v>
      </c>
      <c r="L136" s="810">
        <f t="shared" si="109"/>
        <v>29688</v>
      </c>
      <c r="M136" s="394">
        <f t="shared" si="110"/>
        <v>0</v>
      </c>
      <c r="N136" s="2"/>
      <c r="O136" s="2"/>
      <c r="P136" s="2"/>
      <c r="Q136" s="2"/>
      <c r="R136" s="2"/>
      <c r="S136" s="2"/>
      <c r="T136" s="2"/>
      <c r="U136" s="2"/>
      <c r="V136" s="2"/>
      <c r="W136" s="2"/>
      <c r="X136" s="2"/>
      <c r="Y136" s="2"/>
      <c r="Z136" s="2"/>
      <c r="AA136" s="806">
        <f t="shared" si="111"/>
        <v>0</v>
      </c>
      <c r="AB136" s="2"/>
      <c r="AC136" s="2"/>
      <c r="AD136" s="2"/>
      <c r="AE136" s="2"/>
      <c r="AF136" s="2"/>
      <c r="AG136" s="2"/>
      <c r="AH136" s="2"/>
      <c r="AI136" s="2"/>
      <c r="AJ136" s="2"/>
      <c r="AK136" s="2"/>
      <c r="AL136" s="2"/>
      <c r="AM136" s="2"/>
      <c r="AN136" s="806">
        <f t="shared" si="112"/>
        <v>0</v>
      </c>
      <c r="AO136" s="806">
        <f t="shared" si="113"/>
        <v>0</v>
      </c>
      <c r="AP136" s="806">
        <f t="shared" si="114"/>
        <v>0</v>
      </c>
      <c r="AQ136" s="806">
        <f t="shared" si="115"/>
        <v>15000</v>
      </c>
      <c r="AR136" s="806">
        <f t="shared" si="116"/>
        <v>14688</v>
      </c>
      <c r="AS136" s="806">
        <f t="shared" si="117"/>
        <v>0</v>
      </c>
      <c r="AT136" s="806">
        <f t="shared" si="117"/>
        <v>0</v>
      </c>
      <c r="AU136" s="2"/>
      <c r="AV136" s="2"/>
      <c r="AW136" s="2"/>
      <c r="AX136" s="2"/>
      <c r="AY136" s="2"/>
      <c r="AZ136" s="2"/>
      <c r="BA136" s="2"/>
      <c r="BB136" s="2"/>
      <c r="BC136" s="2"/>
      <c r="BD136" s="2"/>
      <c r="BE136" s="2"/>
      <c r="BF136" s="2"/>
      <c r="BG136" s="806">
        <f t="shared" si="57"/>
        <v>0</v>
      </c>
      <c r="BH136" s="807"/>
      <c r="BI136" s="807"/>
      <c r="BJ136" s="807"/>
      <c r="BK136" s="807"/>
      <c r="BL136" s="807"/>
      <c r="BM136" s="807"/>
      <c r="BN136" s="807"/>
      <c r="BO136" s="807"/>
      <c r="BP136" s="807"/>
      <c r="BQ136" s="807"/>
      <c r="BR136" s="807"/>
      <c r="BS136" s="807"/>
      <c r="BT136" s="806">
        <f t="shared" si="58"/>
        <v>0</v>
      </c>
      <c r="CF136">
        <v>15000</v>
      </c>
      <c r="CG136" s="806">
        <f t="shared" si="59"/>
        <v>15000</v>
      </c>
      <c r="CH136">
        <v>14688</v>
      </c>
      <c r="CT136" s="806">
        <f t="shared" si="92"/>
        <v>14688</v>
      </c>
      <c r="DG136" s="806">
        <f t="shared" si="118"/>
        <v>0</v>
      </c>
    </row>
    <row r="137" spans="1:112" x14ac:dyDescent="0.25">
      <c r="A137" s="16"/>
      <c r="B137" s="370"/>
      <c r="C137" t="s">
        <v>1034</v>
      </c>
      <c r="D137" s="370"/>
      <c r="E137" t="s">
        <v>279</v>
      </c>
      <c r="H137" s="802">
        <v>40000</v>
      </c>
      <c r="I137" s="803">
        <f t="shared" si="106"/>
        <v>0</v>
      </c>
      <c r="J137" s="803">
        <f t="shared" si="107"/>
        <v>0</v>
      </c>
      <c r="K137" s="809">
        <f t="shared" si="108"/>
        <v>40000</v>
      </c>
      <c r="L137" s="810">
        <f t="shared" si="109"/>
        <v>40000</v>
      </c>
      <c r="M137" s="394">
        <f t="shared" si="110"/>
        <v>0</v>
      </c>
      <c r="N137" s="2"/>
      <c r="O137" s="2"/>
      <c r="P137" s="2"/>
      <c r="Q137" s="2"/>
      <c r="R137" s="2"/>
      <c r="S137" s="2"/>
      <c r="T137" s="2"/>
      <c r="U137" s="2"/>
      <c r="V137" s="2"/>
      <c r="W137" s="2"/>
      <c r="X137" s="2"/>
      <c r="Y137" s="2"/>
      <c r="Z137" s="2"/>
      <c r="AA137" s="806">
        <f t="shared" si="111"/>
        <v>0</v>
      </c>
      <c r="AB137" s="2"/>
      <c r="AC137" s="2"/>
      <c r="AD137" s="2"/>
      <c r="AE137" s="2"/>
      <c r="AF137" s="2"/>
      <c r="AG137" s="2"/>
      <c r="AH137" s="2"/>
      <c r="AI137" s="2"/>
      <c r="AJ137" s="2"/>
      <c r="AK137" s="2"/>
      <c r="AL137" s="2"/>
      <c r="AM137" s="2"/>
      <c r="AN137" s="806">
        <f t="shared" si="112"/>
        <v>0</v>
      </c>
      <c r="AO137" s="806">
        <f t="shared" si="113"/>
        <v>0</v>
      </c>
      <c r="AP137" s="806">
        <f t="shared" si="114"/>
        <v>10000</v>
      </c>
      <c r="AQ137" s="806">
        <f t="shared" si="115"/>
        <v>30000</v>
      </c>
      <c r="AR137" s="806">
        <f t="shared" si="116"/>
        <v>0</v>
      </c>
      <c r="AS137" s="806">
        <f t="shared" si="117"/>
        <v>0</v>
      </c>
      <c r="AT137" s="806">
        <f t="shared" si="117"/>
        <v>0</v>
      </c>
      <c r="AU137" s="2"/>
      <c r="AV137" s="2"/>
      <c r="AW137" s="2"/>
      <c r="AX137" s="2"/>
      <c r="AY137" s="2"/>
      <c r="AZ137" s="2"/>
      <c r="BA137" s="2"/>
      <c r="BB137" s="2"/>
      <c r="BC137" s="2"/>
      <c r="BD137" s="2"/>
      <c r="BE137" s="2"/>
      <c r="BF137" s="2"/>
      <c r="BG137" s="806">
        <f t="shared" si="57"/>
        <v>0</v>
      </c>
      <c r="BH137" s="807"/>
      <c r="BI137" s="807"/>
      <c r="BJ137" s="807"/>
      <c r="BK137" s="807"/>
      <c r="BL137" s="807"/>
      <c r="BM137" s="807"/>
      <c r="BN137" s="807"/>
      <c r="BO137" s="807"/>
      <c r="BP137" s="807"/>
      <c r="BQ137" s="807"/>
      <c r="BR137" s="807"/>
      <c r="BS137" s="807">
        <v>10000</v>
      </c>
      <c r="BT137" s="806">
        <f t="shared" si="58"/>
        <v>10000</v>
      </c>
      <c r="BU137">
        <v>10000</v>
      </c>
      <c r="BZ137">
        <v>10000</v>
      </c>
      <c r="CA137">
        <v>10000</v>
      </c>
      <c r="CG137" s="806">
        <f t="shared" si="59"/>
        <v>30000</v>
      </c>
      <c r="CT137" s="806">
        <f t="shared" si="92"/>
        <v>0</v>
      </c>
      <c r="DG137" s="806">
        <f t="shared" si="118"/>
        <v>0</v>
      </c>
    </row>
    <row r="138" spans="1:112" x14ac:dyDescent="0.25">
      <c r="A138" s="16"/>
      <c r="B138" s="370"/>
      <c r="C138" t="s">
        <v>1035</v>
      </c>
      <c r="D138" s="370"/>
      <c r="E138" t="s">
        <v>279</v>
      </c>
      <c r="H138" s="802">
        <v>20000</v>
      </c>
      <c r="I138" s="803">
        <f t="shared" si="106"/>
        <v>0</v>
      </c>
      <c r="J138" s="803">
        <f t="shared" si="107"/>
        <v>0</v>
      </c>
      <c r="K138" s="809">
        <f t="shared" si="108"/>
        <v>20000</v>
      </c>
      <c r="L138" s="810">
        <f t="shared" si="109"/>
        <v>20000</v>
      </c>
      <c r="M138" s="394">
        <f t="shared" si="110"/>
        <v>0</v>
      </c>
      <c r="N138" s="2"/>
      <c r="O138" s="2"/>
      <c r="P138" s="2"/>
      <c r="Q138" s="2"/>
      <c r="R138" s="2"/>
      <c r="S138" s="2"/>
      <c r="T138" s="2"/>
      <c r="U138" s="2"/>
      <c r="V138" s="2"/>
      <c r="W138" s="2"/>
      <c r="X138" s="2"/>
      <c r="Y138" s="2"/>
      <c r="Z138" s="2"/>
      <c r="AA138" s="806">
        <f t="shared" si="111"/>
        <v>0</v>
      </c>
      <c r="AB138" s="2"/>
      <c r="AC138" s="2"/>
      <c r="AD138" s="2"/>
      <c r="AE138" s="2"/>
      <c r="AF138" s="2"/>
      <c r="AG138" s="2"/>
      <c r="AH138" s="2"/>
      <c r="AI138" s="2"/>
      <c r="AJ138" s="2"/>
      <c r="AK138" s="2"/>
      <c r="AL138" s="2"/>
      <c r="AM138" s="2"/>
      <c r="AN138" s="806">
        <f t="shared" si="112"/>
        <v>0</v>
      </c>
      <c r="AO138" s="806">
        <f t="shared" si="113"/>
        <v>0</v>
      </c>
      <c r="AP138" s="806">
        <f t="shared" si="114"/>
        <v>0</v>
      </c>
      <c r="AQ138" s="806">
        <f t="shared" si="115"/>
        <v>0</v>
      </c>
      <c r="AR138" s="806">
        <f t="shared" si="116"/>
        <v>20000</v>
      </c>
      <c r="AS138" s="806">
        <f t="shared" si="117"/>
        <v>0</v>
      </c>
      <c r="AT138" s="806">
        <f t="shared" si="117"/>
        <v>0</v>
      </c>
      <c r="AU138" s="2"/>
      <c r="AV138" s="2"/>
      <c r="AW138" s="2"/>
      <c r="AX138" s="2"/>
      <c r="AY138" s="2"/>
      <c r="AZ138" s="2"/>
      <c r="BA138" s="2"/>
      <c r="BB138" s="2"/>
      <c r="BC138" s="2"/>
      <c r="BD138" s="2"/>
      <c r="BE138" s="2"/>
      <c r="BF138" s="2"/>
      <c r="BG138" s="806">
        <f t="shared" si="57"/>
        <v>0</v>
      </c>
      <c r="BH138" s="807"/>
      <c r="BI138" s="807"/>
      <c r="BJ138" s="807"/>
      <c r="BK138" s="807"/>
      <c r="BL138" s="807"/>
      <c r="BM138" s="807"/>
      <c r="BN138" s="807"/>
      <c r="BO138" s="807"/>
      <c r="BP138" s="807"/>
      <c r="BQ138" s="807"/>
      <c r="BR138" s="807"/>
      <c r="BS138" s="807"/>
      <c r="BT138" s="806">
        <f t="shared" si="58"/>
        <v>0</v>
      </c>
      <c r="CG138" s="806">
        <f t="shared" si="59"/>
        <v>0</v>
      </c>
      <c r="CI138">
        <v>7000</v>
      </c>
      <c r="CJ138">
        <v>7000</v>
      </c>
      <c r="CK138">
        <v>6000</v>
      </c>
      <c r="CT138" s="806">
        <f t="shared" si="92"/>
        <v>20000</v>
      </c>
      <c r="DG138" s="806">
        <f t="shared" si="118"/>
        <v>0</v>
      </c>
    </row>
    <row r="139" spans="1:112" s="797" customFormat="1" x14ac:dyDescent="0.25">
      <c r="A139" s="797" t="s">
        <v>1036</v>
      </c>
      <c r="H139" s="813">
        <f>SUM(H130:H138)</f>
        <v>409083</v>
      </c>
      <c r="I139" s="813">
        <f t="shared" ref="I139:M139" si="119">SUM(I130:I138)</f>
        <v>0</v>
      </c>
      <c r="J139" s="813">
        <f t="shared" si="119"/>
        <v>0</v>
      </c>
      <c r="K139" s="813">
        <f t="shared" si="119"/>
        <v>409083</v>
      </c>
      <c r="L139" s="813">
        <f t="shared" si="119"/>
        <v>409083</v>
      </c>
      <c r="M139" s="813">
        <f t="shared" si="119"/>
        <v>0</v>
      </c>
      <c r="AA139" s="814">
        <f t="shared" ref="AA139:CL139" si="120">SUM(AA130:AA138)</f>
        <v>0</v>
      </c>
      <c r="AB139" s="814">
        <f t="shared" si="120"/>
        <v>0</v>
      </c>
      <c r="AC139" s="814">
        <f t="shared" si="120"/>
        <v>0</v>
      </c>
      <c r="AD139" s="814">
        <f t="shared" si="120"/>
        <v>0</v>
      </c>
      <c r="AE139" s="814">
        <f t="shared" si="120"/>
        <v>0</v>
      </c>
      <c r="AF139" s="814">
        <f t="shared" si="120"/>
        <v>0</v>
      </c>
      <c r="AG139" s="814">
        <f t="shared" si="120"/>
        <v>0</v>
      </c>
      <c r="AH139" s="814">
        <f t="shared" si="120"/>
        <v>0</v>
      </c>
      <c r="AI139" s="814">
        <f t="shared" si="120"/>
        <v>0</v>
      </c>
      <c r="AJ139" s="814">
        <f t="shared" si="120"/>
        <v>0</v>
      </c>
      <c r="AK139" s="814">
        <f t="shared" si="120"/>
        <v>0</v>
      </c>
      <c r="AL139" s="814">
        <f t="shared" si="120"/>
        <v>0</v>
      </c>
      <c r="AM139" s="814">
        <f t="shared" si="120"/>
        <v>0</v>
      </c>
      <c r="AN139" s="814">
        <f t="shared" si="120"/>
        <v>0</v>
      </c>
      <c r="AO139" s="814">
        <f t="shared" si="120"/>
        <v>0</v>
      </c>
      <c r="AP139" s="814">
        <f t="shared" si="120"/>
        <v>106187</v>
      </c>
      <c r="AQ139" s="814">
        <f t="shared" si="120"/>
        <v>239012</v>
      </c>
      <c r="AR139" s="814">
        <f t="shared" si="120"/>
        <v>63884</v>
      </c>
      <c r="AS139" s="814">
        <f t="shared" si="120"/>
        <v>0</v>
      </c>
      <c r="AT139" s="814">
        <f t="shared" si="120"/>
        <v>0</v>
      </c>
      <c r="AU139" s="814">
        <f t="shared" si="120"/>
        <v>0</v>
      </c>
      <c r="AV139" s="814">
        <f t="shared" si="120"/>
        <v>0</v>
      </c>
      <c r="AW139" s="814">
        <f t="shared" si="120"/>
        <v>0</v>
      </c>
      <c r="AX139" s="814">
        <f t="shared" si="120"/>
        <v>0</v>
      </c>
      <c r="AY139" s="814">
        <f t="shared" si="120"/>
        <v>0</v>
      </c>
      <c r="AZ139" s="814">
        <f t="shared" si="120"/>
        <v>0</v>
      </c>
      <c r="BA139" s="814">
        <f t="shared" si="120"/>
        <v>0</v>
      </c>
      <c r="BB139" s="814">
        <f t="shared" si="120"/>
        <v>0</v>
      </c>
      <c r="BC139" s="814">
        <f t="shared" si="120"/>
        <v>0</v>
      </c>
      <c r="BD139" s="814">
        <f t="shared" si="120"/>
        <v>0</v>
      </c>
      <c r="BE139" s="814">
        <f t="shared" si="120"/>
        <v>0</v>
      </c>
      <c r="BF139" s="814">
        <f t="shared" si="120"/>
        <v>0</v>
      </c>
      <c r="BG139" s="814">
        <f t="shared" si="120"/>
        <v>0</v>
      </c>
      <c r="BH139" s="813">
        <f t="shared" si="120"/>
        <v>0</v>
      </c>
      <c r="BI139" s="813">
        <f t="shared" si="120"/>
        <v>0</v>
      </c>
      <c r="BJ139" s="813">
        <f t="shared" si="120"/>
        <v>0</v>
      </c>
      <c r="BK139" s="813">
        <f t="shared" si="120"/>
        <v>0</v>
      </c>
      <c r="BL139" s="813">
        <f t="shared" si="120"/>
        <v>0</v>
      </c>
      <c r="BM139" s="813">
        <f t="shared" si="120"/>
        <v>0</v>
      </c>
      <c r="BN139" s="813">
        <f t="shared" si="120"/>
        <v>0</v>
      </c>
      <c r="BO139" s="813">
        <f t="shared" si="120"/>
        <v>8599.4</v>
      </c>
      <c r="BP139" s="813">
        <f t="shared" si="120"/>
        <v>7400.6</v>
      </c>
      <c r="BQ139" s="813">
        <f t="shared" si="120"/>
        <v>15500</v>
      </c>
      <c r="BR139" s="813">
        <f t="shared" si="120"/>
        <v>37887</v>
      </c>
      <c r="BS139" s="813">
        <f t="shared" si="120"/>
        <v>36800</v>
      </c>
      <c r="BT139" s="814">
        <f t="shared" si="120"/>
        <v>106187</v>
      </c>
      <c r="BU139" s="813">
        <f t="shared" si="120"/>
        <v>27357</v>
      </c>
      <c r="BV139" s="813">
        <f t="shared" si="120"/>
        <v>21800</v>
      </c>
      <c r="BW139" s="813">
        <f t="shared" si="120"/>
        <v>21800</v>
      </c>
      <c r="BX139" s="813">
        <f t="shared" si="120"/>
        <v>22499</v>
      </c>
      <c r="BY139" s="813">
        <f t="shared" si="120"/>
        <v>21800</v>
      </c>
      <c r="BZ139" s="813">
        <f t="shared" si="120"/>
        <v>31800</v>
      </c>
      <c r="CA139" s="813">
        <f t="shared" si="120"/>
        <v>31800</v>
      </c>
      <c r="CB139" s="813">
        <f t="shared" si="120"/>
        <v>17956</v>
      </c>
      <c r="CC139" s="813">
        <f t="shared" si="120"/>
        <v>6800</v>
      </c>
      <c r="CD139" s="813">
        <f t="shared" si="120"/>
        <v>6800</v>
      </c>
      <c r="CE139" s="813">
        <f t="shared" si="120"/>
        <v>6800</v>
      </c>
      <c r="CF139" s="813">
        <f t="shared" si="120"/>
        <v>21800</v>
      </c>
      <c r="CG139" s="814">
        <f t="shared" si="120"/>
        <v>239012</v>
      </c>
      <c r="CH139" s="813">
        <f t="shared" si="120"/>
        <v>21488</v>
      </c>
      <c r="CI139" s="813">
        <f t="shared" si="120"/>
        <v>13800</v>
      </c>
      <c r="CJ139" s="813">
        <f t="shared" si="120"/>
        <v>13800</v>
      </c>
      <c r="CK139" s="813">
        <f t="shared" si="120"/>
        <v>12800</v>
      </c>
      <c r="CL139" s="813">
        <f t="shared" si="120"/>
        <v>1996</v>
      </c>
      <c r="CM139" s="813">
        <f t="shared" ref="CM139:DH139" si="121">SUM(CM130:CM138)</f>
        <v>0</v>
      </c>
      <c r="CN139" s="813">
        <f t="shared" si="121"/>
        <v>0</v>
      </c>
      <c r="CO139" s="813">
        <f t="shared" si="121"/>
        <v>0</v>
      </c>
      <c r="CP139" s="813">
        <f t="shared" si="121"/>
        <v>0</v>
      </c>
      <c r="CQ139" s="813">
        <f t="shared" si="121"/>
        <v>0</v>
      </c>
      <c r="CR139" s="813">
        <f t="shared" si="121"/>
        <v>0</v>
      </c>
      <c r="CS139" s="813">
        <f t="shared" si="121"/>
        <v>0</v>
      </c>
      <c r="CT139" s="814">
        <f t="shared" si="121"/>
        <v>63884</v>
      </c>
      <c r="CU139" s="813">
        <f t="shared" si="121"/>
        <v>0</v>
      </c>
      <c r="CV139" s="813">
        <f t="shared" si="121"/>
        <v>0</v>
      </c>
      <c r="CW139" s="813">
        <f t="shared" si="121"/>
        <v>0</v>
      </c>
      <c r="CX139" s="813">
        <f t="shared" si="121"/>
        <v>0</v>
      </c>
      <c r="CY139" s="813">
        <f t="shared" si="121"/>
        <v>0</v>
      </c>
      <c r="CZ139" s="813">
        <f t="shared" si="121"/>
        <v>0</v>
      </c>
      <c r="DA139" s="813">
        <f t="shared" si="121"/>
        <v>0</v>
      </c>
      <c r="DB139" s="813">
        <f t="shared" si="121"/>
        <v>0</v>
      </c>
      <c r="DC139" s="813">
        <f t="shared" si="121"/>
        <v>0</v>
      </c>
      <c r="DD139" s="813">
        <f t="shared" si="121"/>
        <v>0</v>
      </c>
      <c r="DE139" s="813">
        <f t="shared" si="121"/>
        <v>0</v>
      </c>
      <c r="DF139" s="813">
        <f t="shared" si="121"/>
        <v>0</v>
      </c>
      <c r="DG139" s="814">
        <f t="shared" si="121"/>
        <v>0</v>
      </c>
      <c r="DH139" s="813">
        <f t="shared" si="121"/>
        <v>0</v>
      </c>
    </row>
    <row r="140" spans="1:112" x14ac:dyDescent="0.25">
      <c r="A140" s="24" t="s">
        <v>1037</v>
      </c>
      <c r="B140" s="8" t="s">
        <v>41</v>
      </c>
      <c r="C140" s="3"/>
      <c r="D140" s="3"/>
      <c r="E140" s="3" t="s">
        <v>279</v>
      </c>
      <c r="F140" s="3"/>
      <c r="G140" s="3" t="s">
        <v>1038</v>
      </c>
      <c r="H140" s="821"/>
      <c r="I140" s="853"/>
      <c r="J140" s="853"/>
      <c r="K140" s="854"/>
      <c r="L140" s="810"/>
      <c r="M140" s="394"/>
      <c r="N140" s="394"/>
      <c r="O140" s="2"/>
      <c r="P140" s="2"/>
      <c r="Q140" s="2"/>
      <c r="R140" s="2"/>
      <c r="S140" s="2"/>
      <c r="T140" s="2"/>
      <c r="U140" s="2"/>
      <c r="V140" s="2"/>
      <c r="W140" s="2"/>
      <c r="X140" s="2"/>
      <c r="Y140" s="2"/>
      <c r="Z140" s="2"/>
      <c r="AA140" s="806">
        <f t="shared" ref="AA140:AA141" si="122">SUM(O140:Z140)</f>
        <v>0</v>
      </c>
      <c r="AB140" s="2"/>
      <c r="AC140" s="2"/>
      <c r="AD140" s="2"/>
      <c r="AE140" s="2"/>
      <c r="AF140" s="2"/>
      <c r="AG140" s="2"/>
      <c r="AH140" s="2"/>
      <c r="AI140" s="2"/>
      <c r="AJ140" s="2"/>
      <c r="AK140" s="2"/>
      <c r="AL140" s="2"/>
      <c r="AM140" s="2"/>
      <c r="AN140" s="806">
        <f t="shared" ref="AN140:AN141" si="123">SUM(AB140:AM140)</f>
        <v>0</v>
      </c>
      <c r="AO140" s="806">
        <f>SUM(AU140:BF140)</f>
        <v>0</v>
      </c>
      <c r="AP140" s="806">
        <f>+BT140</f>
        <v>0</v>
      </c>
      <c r="AQ140" s="806">
        <f>+CG140</f>
        <v>0</v>
      </c>
      <c r="AR140" s="806">
        <f>+CT140</f>
        <v>0</v>
      </c>
      <c r="AS140" s="806">
        <f>+DG140</f>
        <v>0</v>
      </c>
      <c r="AT140" s="806">
        <f>+DH140</f>
        <v>0</v>
      </c>
      <c r="AU140" s="2"/>
      <c r="AV140" s="2"/>
      <c r="AW140" s="2"/>
      <c r="AX140" s="2"/>
      <c r="AY140" s="2"/>
      <c r="AZ140" s="2"/>
      <c r="BA140" s="2"/>
      <c r="BB140" s="2"/>
      <c r="BC140" s="2"/>
      <c r="BD140" s="2"/>
      <c r="BE140" s="2"/>
      <c r="BF140" s="2"/>
      <c r="BG140" s="806">
        <f t="shared" si="57"/>
        <v>0</v>
      </c>
      <c r="BH140" s="807"/>
      <c r="BI140" s="807"/>
      <c r="BJ140" s="807"/>
      <c r="BK140" s="807"/>
      <c r="BL140" s="807"/>
      <c r="BM140" s="807"/>
      <c r="BN140" s="807"/>
      <c r="BO140" s="807"/>
      <c r="BP140" s="807"/>
      <c r="BQ140" s="807"/>
      <c r="BR140" s="807"/>
      <c r="BS140" s="807"/>
      <c r="BT140" s="806">
        <f t="shared" si="58"/>
        <v>0</v>
      </c>
      <c r="CG140" s="806">
        <f t="shared" si="59"/>
        <v>0</v>
      </c>
      <c r="CT140" s="806">
        <f t="shared" si="92"/>
        <v>0</v>
      </c>
      <c r="DG140" s="806">
        <f t="shared" si="118"/>
        <v>0</v>
      </c>
    </row>
    <row r="141" spans="1:112" x14ac:dyDescent="0.25">
      <c r="A141" s="16"/>
      <c r="B141" s="370" t="s">
        <v>1039</v>
      </c>
      <c r="C141" t="s">
        <v>65</v>
      </c>
      <c r="D141" s="370" t="s">
        <v>1040</v>
      </c>
      <c r="E141" t="s">
        <v>279</v>
      </c>
      <c r="F141" s="811">
        <v>1014</v>
      </c>
      <c r="H141" s="802">
        <v>1000000</v>
      </c>
      <c r="I141" s="803">
        <f>+AA141+AN141+AO141</f>
        <v>0</v>
      </c>
      <c r="J141" s="803">
        <f t="shared" ref="J141" si="124">SUM(BH141:BM141)</f>
        <v>0</v>
      </c>
      <c r="K141" s="809">
        <f t="shared" ref="K141" si="125">+H141-I141</f>
        <v>1000000</v>
      </c>
      <c r="L141" s="810">
        <f>+AA141+AN141+AO141+BT141+CG141+CT141+DG141+DH141</f>
        <v>1000000</v>
      </c>
      <c r="M141" s="394">
        <f>+IF(G141&gt;0,G141-L141,H141-L141)</f>
        <v>0</v>
      </c>
      <c r="N141" s="2"/>
      <c r="O141" s="2"/>
      <c r="P141" s="2"/>
      <c r="Q141" s="2"/>
      <c r="R141" s="2"/>
      <c r="S141" s="2"/>
      <c r="T141" s="2"/>
      <c r="U141" s="2"/>
      <c r="V141" s="2"/>
      <c r="W141" s="2"/>
      <c r="X141" s="2"/>
      <c r="Y141" s="2"/>
      <c r="Z141" s="2"/>
      <c r="AA141" s="806">
        <f t="shared" si="122"/>
        <v>0</v>
      </c>
      <c r="AB141" s="2"/>
      <c r="AC141" s="2"/>
      <c r="AD141" s="2"/>
      <c r="AE141" s="2"/>
      <c r="AF141" s="2"/>
      <c r="AG141" s="2"/>
      <c r="AH141" s="2"/>
      <c r="AI141" s="2"/>
      <c r="AJ141" s="2"/>
      <c r="AK141" s="2"/>
      <c r="AL141" s="2"/>
      <c r="AM141" s="2"/>
      <c r="AN141" s="806">
        <f t="shared" si="123"/>
        <v>0</v>
      </c>
      <c r="AO141" s="806">
        <f>SUM(AU141:BF141)</f>
        <v>0</v>
      </c>
      <c r="AP141" s="806">
        <f>+BT141</f>
        <v>30000</v>
      </c>
      <c r="AQ141" s="806">
        <f>+CG141</f>
        <v>260000</v>
      </c>
      <c r="AR141" s="806">
        <f>+CT141</f>
        <v>110000</v>
      </c>
      <c r="AS141" s="806">
        <f>+DG141</f>
        <v>0</v>
      </c>
      <c r="AT141" s="806">
        <f>+DH141</f>
        <v>600000</v>
      </c>
      <c r="AU141" s="2"/>
      <c r="AV141" s="2"/>
      <c r="AW141" s="2"/>
      <c r="AX141" s="2"/>
      <c r="AY141" s="2"/>
      <c r="AZ141" s="2"/>
      <c r="BA141" s="2"/>
      <c r="BB141" s="2"/>
      <c r="BC141" s="2"/>
      <c r="BD141" s="2"/>
      <c r="BE141" s="2"/>
      <c r="BF141" s="2"/>
      <c r="BG141" s="806">
        <f t="shared" si="57"/>
        <v>0</v>
      </c>
      <c r="BH141" s="807"/>
      <c r="BI141" s="807"/>
      <c r="BJ141" s="807"/>
      <c r="BK141" s="807"/>
      <c r="BL141" s="807"/>
      <c r="BM141" s="807"/>
      <c r="BN141" s="807"/>
      <c r="BO141" s="807">
        <v>5000</v>
      </c>
      <c r="BP141" s="807">
        <v>5000</v>
      </c>
      <c r="BQ141" s="807">
        <v>5000</v>
      </c>
      <c r="BR141" s="807">
        <v>7000</v>
      </c>
      <c r="BS141" s="807">
        <v>8000</v>
      </c>
      <c r="BT141" s="806">
        <f t="shared" si="58"/>
        <v>30000</v>
      </c>
      <c r="BU141">
        <v>8000</v>
      </c>
      <c r="BV141">
        <v>5000</v>
      </c>
      <c r="BW141">
        <v>5000</v>
      </c>
      <c r="BX141">
        <v>10000</v>
      </c>
      <c r="BY141">
        <v>10000</v>
      </c>
      <c r="BZ141">
        <v>25000</v>
      </c>
      <c r="CB141">
        <v>22000</v>
      </c>
      <c r="CC141">
        <v>25000</v>
      </c>
      <c r="CD141">
        <v>50000</v>
      </c>
      <c r="CE141">
        <v>50000</v>
      </c>
      <c r="CF141">
        <v>50000</v>
      </c>
      <c r="CG141" s="806">
        <f t="shared" ref="CG141:CG165" si="126">SUM(BU141:CF141)</f>
        <v>260000</v>
      </c>
      <c r="CH141">
        <v>30000</v>
      </c>
      <c r="CI141">
        <v>30000</v>
      </c>
      <c r="CJ141">
        <v>30000</v>
      </c>
      <c r="CK141">
        <v>20000</v>
      </c>
      <c r="CT141" s="806">
        <f t="shared" si="92"/>
        <v>110000</v>
      </c>
      <c r="DG141" s="806">
        <f t="shared" si="118"/>
        <v>0</v>
      </c>
      <c r="DH141">
        <v>600000</v>
      </c>
    </row>
    <row r="142" spans="1:112" s="797" customFormat="1" x14ac:dyDescent="0.25">
      <c r="A142" s="797" t="s">
        <v>1041</v>
      </c>
      <c r="H142" s="813">
        <f>SUM(H140:H141)</f>
        <v>1000000</v>
      </c>
      <c r="I142" s="813">
        <f t="shared" ref="I142:M142" si="127">SUM(I140:I141)</f>
        <v>0</v>
      </c>
      <c r="J142" s="813">
        <f t="shared" si="127"/>
        <v>0</v>
      </c>
      <c r="K142" s="813">
        <f t="shared" si="127"/>
        <v>1000000</v>
      </c>
      <c r="L142" s="813">
        <f t="shared" si="127"/>
        <v>1000000</v>
      </c>
      <c r="M142" s="813">
        <f t="shared" si="127"/>
        <v>0</v>
      </c>
      <c r="AA142" s="816">
        <f>SUM(AA140:AA141)</f>
        <v>0</v>
      </c>
      <c r="AB142" s="816">
        <f t="shared" ref="AB142:AM142" si="128">SUM(P142:AA142)</f>
        <v>0</v>
      </c>
      <c r="AC142" s="816">
        <f t="shared" si="128"/>
        <v>0</v>
      </c>
      <c r="AD142" s="816">
        <f t="shared" si="128"/>
        <v>0</v>
      </c>
      <c r="AE142" s="816">
        <f t="shared" si="128"/>
        <v>0</v>
      </c>
      <c r="AF142" s="816">
        <f t="shared" si="128"/>
        <v>0</v>
      </c>
      <c r="AG142" s="816">
        <f t="shared" si="128"/>
        <v>0</v>
      </c>
      <c r="AH142" s="816">
        <f t="shared" si="128"/>
        <v>0</v>
      </c>
      <c r="AI142" s="816">
        <f t="shared" si="128"/>
        <v>0</v>
      </c>
      <c r="AJ142" s="816">
        <f t="shared" si="128"/>
        <v>0</v>
      </c>
      <c r="AK142" s="816">
        <f t="shared" si="128"/>
        <v>0</v>
      </c>
      <c r="AL142" s="816">
        <f t="shared" si="128"/>
        <v>0</v>
      </c>
      <c r="AM142" s="816">
        <f t="shared" si="128"/>
        <v>0</v>
      </c>
      <c r="AN142" s="816">
        <f t="shared" ref="AN142:AT142" si="129">SUM(AN140:AN141)</f>
        <v>0</v>
      </c>
      <c r="AO142" s="816">
        <f t="shared" si="129"/>
        <v>0</v>
      </c>
      <c r="AP142" s="816">
        <f t="shared" si="129"/>
        <v>30000</v>
      </c>
      <c r="AQ142" s="816">
        <f t="shared" si="129"/>
        <v>260000</v>
      </c>
      <c r="AR142" s="816">
        <f t="shared" si="129"/>
        <v>110000</v>
      </c>
      <c r="AS142" s="816">
        <f t="shared" si="129"/>
        <v>0</v>
      </c>
      <c r="AT142" s="816">
        <f t="shared" si="129"/>
        <v>600000</v>
      </c>
      <c r="BG142" s="816">
        <f t="shared" si="57"/>
        <v>0</v>
      </c>
      <c r="BH142" s="813">
        <f t="shared" ref="BH142" si="130">SUM(BH140:BH141)</f>
        <v>0</v>
      </c>
      <c r="BI142" s="806">
        <f>SUM(BI140:BI141)</f>
        <v>0</v>
      </c>
      <c r="BJ142" s="806">
        <f t="shared" ref="BJ142:BS142" si="131">SUM(BJ140:BJ141)</f>
        <v>0</v>
      </c>
      <c r="BK142" s="806">
        <f t="shared" si="131"/>
        <v>0</v>
      </c>
      <c r="BL142" s="806">
        <f t="shared" si="131"/>
        <v>0</v>
      </c>
      <c r="BM142" s="806">
        <f t="shared" si="131"/>
        <v>0</v>
      </c>
      <c r="BN142" s="806">
        <f t="shared" si="131"/>
        <v>0</v>
      </c>
      <c r="BO142" s="806">
        <f t="shared" si="131"/>
        <v>5000</v>
      </c>
      <c r="BP142" s="806">
        <f t="shared" si="131"/>
        <v>5000</v>
      </c>
      <c r="BQ142" s="806">
        <f t="shared" si="131"/>
        <v>5000</v>
      </c>
      <c r="BR142" s="806">
        <f t="shared" si="131"/>
        <v>7000</v>
      </c>
      <c r="BS142" s="806">
        <f t="shared" si="131"/>
        <v>8000</v>
      </c>
      <c r="BT142" s="816">
        <f t="shared" si="58"/>
        <v>30000</v>
      </c>
      <c r="BU142" s="813">
        <f t="shared" ref="BU142" si="132">SUM(BU140:BU141)</f>
        <v>8000</v>
      </c>
      <c r="BV142" s="806">
        <f>SUM(BV140:BV141)</f>
        <v>5000</v>
      </c>
      <c r="BW142" s="806">
        <f t="shared" ref="BW142:CF142" si="133">SUM(BW140:BW141)</f>
        <v>5000</v>
      </c>
      <c r="BX142" s="806">
        <f t="shared" si="133"/>
        <v>10000</v>
      </c>
      <c r="BY142" s="806">
        <f t="shared" si="133"/>
        <v>10000</v>
      </c>
      <c r="BZ142" s="806">
        <f t="shared" si="133"/>
        <v>25000</v>
      </c>
      <c r="CA142" s="806">
        <f t="shared" si="133"/>
        <v>0</v>
      </c>
      <c r="CB142" s="806">
        <f t="shared" si="133"/>
        <v>22000</v>
      </c>
      <c r="CC142" s="806">
        <f t="shared" si="133"/>
        <v>25000</v>
      </c>
      <c r="CD142" s="806">
        <f t="shared" si="133"/>
        <v>50000</v>
      </c>
      <c r="CE142" s="806">
        <f t="shared" si="133"/>
        <v>50000</v>
      </c>
      <c r="CF142" s="806">
        <f t="shared" si="133"/>
        <v>50000</v>
      </c>
      <c r="CG142" s="816">
        <f t="shared" si="126"/>
        <v>260000</v>
      </c>
      <c r="CH142" s="813">
        <f t="shared" ref="CH142" si="134">SUM(CH140:CH141)</f>
        <v>30000</v>
      </c>
      <c r="CI142" s="806">
        <f>SUM(CI140:CI141)</f>
        <v>30000</v>
      </c>
      <c r="CJ142" s="806">
        <f t="shared" ref="CJ142:CS142" si="135">SUM(CJ140:CJ141)</f>
        <v>30000</v>
      </c>
      <c r="CK142" s="806">
        <f t="shared" si="135"/>
        <v>20000</v>
      </c>
      <c r="CL142" s="806">
        <f t="shared" si="135"/>
        <v>0</v>
      </c>
      <c r="CM142" s="806">
        <f t="shared" si="135"/>
        <v>0</v>
      </c>
      <c r="CN142" s="806">
        <f t="shared" si="135"/>
        <v>0</v>
      </c>
      <c r="CO142" s="806">
        <f t="shared" si="135"/>
        <v>0</v>
      </c>
      <c r="CP142" s="806">
        <f t="shared" si="135"/>
        <v>0</v>
      </c>
      <c r="CQ142" s="806">
        <f t="shared" si="135"/>
        <v>0</v>
      </c>
      <c r="CR142" s="806">
        <f t="shared" si="135"/>
        <v>0</v>
      </c>
      <c r="CS142" s="806">
        <f t="shared" si="135"/>
        <v>0</v>
      </c>
      <c r="CT142" s="816">
        <f t="shared" si="92"/>
        <v>110000</v>
      </c>
      <c r="CU142" s="813">
        <f t="shared" ref="CU142" si="136">SUM(CU140:CU141)</f>
        <v>0</v>
      </c>
      <c r="CV142" s="806">
        <f>SUM(CV140:CV141)</f>
        <v>0</v>
      </c>
      <c r="CW142" s="806">
        <f t="shared" ref="CW142:DH142" si="137">SUM(CW140:CW141)</f>
        <v>0</v>
      </c>
      <c r="CX142" s="806">
        <f t="shared" si="137"/>
        <v>0</v>
      </c>
      <c r="CY142" s="806">
        <f t="shared" si="137"/>
        <v>0</v>
      </c>
      <c r="CZ142" s="806">
        <f t="shared" si="137"/>
        <v>0</v>
      </c>
      <c r="DA142" s="806">
        <f t="shared" si="137"/>
        <v>0</v>
      </c>
      <c r="DB142" s="806">
        <f t="shared" si="137"/>
        <v>0</v>
      </c>
      <c r="DC142" s="806">
        <f t="shared" si="137"/>
        <v>0</v>
      </c>
      <c r="DD142" s="806">
        <f t="shared" si="137"/>
        <v>0</v>
      </c>
      <c r="DE142" s="806">
        <f t="shared" si="137"/>
        <v>0</v>
      </c>
      <c r="DF142" s="806">
        <f t="shared" si="137"/>
        <v>0</v>
      </c>
      <c r="DG142" s="816">
        <f t="shared" si="118"/>
        <v>0</v>
      </c>
      <c r="DH142" s="806">
        <f t="shared" si="137"/>
        <v>600000</v>
      </c>
    </row>
    <row r="143" spans="1:112" x14ac:dyDescent="0.25">
      <c r="A143" s="24" t="s">
        <v>1042</v>
      </c>
      <c r="B143" s="3"/>
      <c r="C143" s="3" t="s">
        <v>1043</v>
      </c>
      <c r="D143" s="3"/>
      <c r="E143" s="3" t="s">
        <v>279</v>
      </c>
      <c r="F143" s="3"/>
      <c r="G143" s="3"/>
      <c r="H143" s="821">
        <v>120000</v>
      </c>
      <c r="I143" s="803">
        <f>+AA143+AN143+AO143</f>
        <v>0</v>
      </c>
      <c r="J143" s="803">
        <f t="shared" ref="J143:J146" si="138">SUM(BH143:BM143)</f>
        <v>0</v>
      </c>
      <c r="K143" s="809">
        <f t="shared" ref="K143:K146" si="139">+H143-I143</f>
        <v>120000</v>
      </c>
      <c r="L143" s="810">
        <f>+AA143+AN143+AO143+BT143+CG143+CT143+DG143</f>
        <v>120000</v>
      </c>
      <c r="M143" s="394">
        <f>+IF(G143&gt;0,G143-L143,H143-L143)</f>
        <v>0</v>
      </c>
      <c r="N143" s="394"/>
      <c r="O143" s="2"/>
      <c r="P143" s="2"/>
      <c r="Q143" s="2"/>
      <c r="R143" s="2"/>
      <c r="S143" s="2"/>
      <c r="T143" s="2"/>
      <c r="U143" s="2"/>
      <c r="V143" s="2"/>
      <c r="W143" s="2"/>
      <c r="X143" s="2"/>
      <c r="Y143" s="2"/>
      <c r="Z143" s="2"/>
      <c r="AA143" s="806">
        <f t="shared" ref="AA143:AA149" si="140">SUM(O143:Z143)</f>
        <v>0</v>
      </c>
      <c r="AB143" s="2"/>
      <c r="AC143" s="2"/>
      <c r="AD143" s="2"/>
      <c r="AE143" s="2"/>
      <c r="AF143" s="2"/>
      <c r="AG143" s="2"/>
      <c r="AH143" s="2"/>
      <c r="AI143" s="2"/>
      <c r="AJ143" s="2"/>
      <c r="AK143" s="2"/>
      <c r="AL143" s="2"/>
      <c r="AM143" s="2"/>
      <c r="AN143" s="806">
        <f t="shared" ref="AN143:AN149" si="141">SUM(AB143:AM143)</f>
        <v>0</v>
      </c>
      <c r="AO143" s="806">
        <f t="shared" ref="AO143:AO149" si="142">SUM(AU143:BF143)</f>
        <v>0</v>
      </c>
      <c r="AP143" s="806">
        <f t="shared" ref="AP143:AP149" si="143">+BT143</f>
        <v>30000</v>
      </c>
      <c r="AQ143" s="806">
        <f t="shared" ref="AQ143:AQ149" si="144">+CG143</f>
        <v>0</v>
      </c>
      <c r="AR143" s="806">
        <f t="shared" ref="AR143:AR149" si="145">+CT143</f>
        <v>90000</v>
      </c>
      <c r="AS143" s="806">
        <f t="shared" ref="AS143:AT149" si="146">+DG143</f>
        <v>0</v>
      </c>
      <c r="AT143" s="806">
        <f t="shared" si="146"/>
        <v>0</v>
      </c>
      <c r="AU143" s="2"/>
      <c r="AV143" s="2"/>
      <c r="AW143" s="2"/>
      <c r="AX143" s="2"/>
      <c r="AY143" s="2"/>
      <c r="AZ143" s="2"/>
      <c r="BA143" s="2"/>
      <c r="BB143" s="2"/>
      <c r="BC143" s="2"/>
      <c r="BD143" s="2"/>
      <c r="BE143" s="2"/>
      <c r="BF143" s="2"/>
      <c r="BG143" s="806">
        <f t="shared" si="57"/>
        <v>0</v>
      </c>
      <c r="BH143" s="796"/>
      <c r="BI143" s="807"/>
      <c r="BJ143" s="807"/>
      <c r="BK143" s="807"/>
      <c r="BL143" s="807"/>
      <c r="BM143" s="807"/>
      <c r="BN143" s="807"/>
      <c r="BO143" s="807"/>
      <c r="BP143" s="807">
        <v>30000</v>
      </c>
      <c r="BQ143" s="807"/>
      <c r="BR143" s="807"/>
      <c r="BS143" s="807"/>
      <c r="BT143" s="806">
        <f t="shared" si="58"/>
        <v>30000</v>
      </c>
      <c r="CG143" s="806">
        <f t="shared" si="126"/>
        <v>0</v>
      </c>
      <c r="CH143">
        <v>90000</v>
      </c>
      <c r="CT143" s="806">
        <f t="shared" si="92"/>
        <v>90000</v>
      </c>
      <c r="DG143" s="806">
        <f t="shared" si="118"/>
        <v>0</v>
      </c>
    </row>
    <row r="144" spans="1:112" x14ac:dyDescent="0.25">
      <c r="A144" s="16"/>
      <c r="B144" s="370"/>
      <c r="C144" t="s">
        <v>1044</v>
      </c>
      <c r="D144" s="370"/>
      <c r="E144" t="s">
        <v>279</v>
      </c>
      <c r="H144" s="802">
        <v>25000</v>
      </c>
      <c r="I144" s="803">
        <f>+AA144+AN144+AO144</f>
        <v>0</v>
      </c>
      <c r="J144" s="803">
        <f t="shared" si="138"/>
        <v>0</v>
      </c>
      <c r="K144" s="809">
        <f t="shared" si="139"/>
        <v>25000</v>
      </c>
      <c r="L144" s="810">
        <f>+AA144+AN144+AO144+BT144+CG144+CT144+DG144</f>
        <v>25000</v>
      </c>
      <c r="M144" s="394">
        <f>+IF(G144&gt;0,G144-L144,H144-L144)</f>
        <v>0</v>
      </c>
      <c r="N144" s="2"/>
      <c r="O144" s="2"/>
      <c r="P144" s="2"/>
      <c r="Q144" s="2"/>
      <c r="R144" s="2"/>
      <c r="S144" s="2"/>
      <c r="T144" s="2"/>
      <c r="U144" s="2"/>
      <c r="V144" s="2"/>
      <c r="W144" s="2"/>
      <c r="X144" s="2"/>
      <c r="Y144" s="2"/>
      <c r="Z144" s="2"/>
      <c r="AA144" s="806">
        <f t="shared" si="140"/>
        <v>0</v>
      </c>
      <c r="AB144" s="2"/>
      <c r="AC144" s="2"/>
      <c r="AD144" s="2"/>
      <c r="AE144" s="2"/>
      <c r="AF144" s="2"/>
      <c r="AG144" s="2"/>
      <c r="AH144" s="2"/>
      <c r="AI144" s="2"/>
      <c r="AJ144" s="2"/>
      <c r="AK144" s="2"/>
      <c r="AL144" s="2"/>
      <c r="AM144" s="2"/>
      <c r="AN144" s="806">
        <f t="shared" si="141"/>
        <v>0</v>
      </c>
      <c r="AO144" s="806">
        <f t="shared" si="142"/>
        <v>0</v>
      </c>
      <c r="AP144" s="806">
        <f t="shared" si="143"/>
        <v>25000</v>
      </c>
      <c r="AQ144" s="806">
        <f t="shared" si="144"/>
        <v>0</v>
      </c>
      <c r="AR144" s="806">
        <f t="shared" si="145"/>
        <v>0</v>
      </c>
      <c r="AS144" s="806">
        <f t="shared" si="146"/>
        <v>0</v>
      </c>
      <c r="AT144" s="806">
        <f t="shared" si="146"/>
        <v>0</v>
      </c>
      <c r="AU144" s="2"/>
      <c r="AV144" s="2"/>
      <c r="AW144" s="2"/>
      <c r="AX144" s="2"/>
      <c r="AY144" s="2"/>
      <c r="AZ144" s="2"/>
      <c r="BA144" s="2"/>
      <c r="BB144" s="2"/>
      <c r="BC144" s="2"/>
      <c r="BD144" s="2"/>
      <c r="BE144" s="2"/>
      <c r="BF144" s="2"/>
      <c r="BG144" s="806">
        <f t="shared" si="57"/>
        <v>0</v>
      </c>
      <c r="BH144" s="796"/>
      <c r="BI144" s="807"/>
      <c r="BJ144" s="807"/>
      <c r="BK144" s="807"/>
      <c r="BL144" s="807"/>
      <c r="BM144" s="807"/>
      <c r="BN144" s="807"/>
      <c r="BO144" s="807"/>
      <c r="BP144" s="807">
        <v>25000</v>
      </c>
      <c r="BQ144" s="807"/>
      <c r="BR144" s="807"/>
      <c r="BS144" s="807"/>
      <c r="BT144" s="806">
        <f t="shared" si="58"/>
        <v>25000</v>
      </c>
      <c r="CG144" s="806">
        <f t="shared" si="126"/>
        <v>0</v>
      </c>
      <c r="CT144" s="806">
        <f t="shared" si="92"/>
        <v>0</v>
      </c>
      <c r="DG144" s="806">
        <f t="shared" si="118"/>
        <v>0</v>
      </c>
    </row>
    <row r="145" spans="1:111" x14ac:dyDescent="0.25">
      <c r="A145" s="16"/>
      <c r="B145" s="370"/>
      <c r="C145" t="s">
        <v>1045</v>
      </c>
      <c r="D145" s="370"/>
      <c r="E145" t="s">
        <v>279</v>
      </c>
      <c r="H145" s="802">
        <v>25000</v>
      </c>
      <c r="I145" s="803">
        <f>+AA145+AN145+AO145</f>
        <v>0</v>
      </c>
      <c r="J145" s="803">
        <f t="shared" si="138"/>
        <v>0</v>
      </c>
      <c r="K145" s="809">
        <f t="shared" si="139"/>
        <v>25000</v>
      </c>
      <c r="L145" s="810">
        <f>+AA145+AN145+AO145+BT145+CG145+CT145+DG145</f>
        <v>25000</v>
      </c>
      <c r="M145" s="394">
        <f>+IF(G145&gt;0,G145-L145,H145-L145)</f>
        <v>0</v>
      </c>
      <c r="N145" s="2"/>
      <c r="O145" s="2"/>
      <c r="P145" s="2"/>
      <c r="Q145" s="2"/>
      <c r="R145" s="2"/>
      <c r="S145" s="2"/>
      <c r="T145" s="2"/>
      <c r="U145" s="2"/>
      <c r="V145" s="2"/>
      <c r="W145" s="2"/>
      <c r="X145" s="2"/>
      <c r="Y145" s="2"/>
      <c r="Z145" s="2"/>
      <c r="AA145" s="806">
        <f t="shared" si="140"/>
        <v>0</v>
      </c>
      <c r="AB145" s="2"/>
      <c r="AC145" s="2"/>
      <c r="AD145" s="2"/>
      <c r="AE145" s="2"/>
      <c r="AF145" s="2"/>
      <c r="AG145" s="2"/>
      <c r="AH145" s="2"/>
      <c r="AI145" s="2"/>
      <c r="AJ145" s="2"/>
      <c r="AK145" s="2"/>
      <c r="AL145" s="2"/>
      <c r="AM145" s="2"/>
      <c r="AN145" s="806">
        <f t="shared" si="141"/>
        <v>0</v>
      </c>
      <c r="AO145" s="806">
        <f t="shared" si="142"/>
        <v>0</v>
      </c>
      <c r="AP145" s="806">
        <f t="shared" si="143"/>
        <v>25000</v>
      </c>
      <c r="AQ145" s="806">
        <f t="shared" si="144"/>
        <v>0</v>
      </c>
      <c r="AR145" s="806">
        <f t="shared" si="145"/>
        <v>0</v>
      </c>
      <c r="AS145" s="806">
        <f t="shared" si="146"/>
        <v>0</v>
      </c>
      <c r="AT145" s="806">
        <f t="shared" si="146"/>
        <v>0</v>
      </c>
      <c r="AU145" s="2"/>
      <c r="AV145" s="2"/>
      <c r="AW145" s="2"/>
      <c r="AX145" s="2"/>
      <c r="AY145" s="2"/>
      <c r="AZ145" s="2"/>
      <c r="BA145" s="2"/>
      <c r="BB145" s="2"/>
      <c r="BC145" s="2"/>
      <c r="BD145" s="2"/>
      <c r="BE145" s="2"/>
      <c r="BF145" s="2"/>
      <c r="BG145" s="806">
        <f t="shared" si="57"/>
        <v>0</v>
      </c>
      <c r="BH145" s="796"/>
      <c r="BI145" s="807"/>
      <c r="BJ145" s="807"/>
      <c r="BK145" s="807"/>
      <c r="BL145" s="807"/>
      <c r="BM145" s="807"/>
      <c r="BN145" s="807"/>
      <c r="BO145" s="807"/>
      <c r="BP145" s="807">
        <v>15000</v>
      </c>
      <c r="BQ145" s="807"/>
      <c r="BR145" s="807"/>
      <c r="BS145" s="807">
        <v>10000</v>
      </c>
      <c r="BT145" s="806">
        <f t="shared" si="58"/>
        <v>25000</v>
      </c>
      <c r="CG145" s="806">
        <f t="shared" si="126"/>
        <v>0</v>
      </c>
      <c r="CT145" s="806">
        <f t="shared" si="92"/>
        <v>0</v>
      </c>
      <c r="DG145" s="806">
        <f t="shared" si="118"/>
        <v>0</v>
      </c>
    </row>
    <row r="146" spans="1:111" x14ac:dyDescent="0.25">
      <c r="A146" s="16"/>
      <c r="B146" s="370"/>
      <c r="C146" t="s">
        <v>1046</v>
      </c>
      <c r="D146" s="370"/>
      <c r="E146" t="s">
        <v>279</v>
      </c>
      <c r="H146" s="802">
        <v>20000</v>
      </c>
      <c r="I146" s="803">
        <f>+AA146+AN146+AO146</f>
        <v>0</v>
      </c>
      <c r="J146" s="803">
        <f t="shared" si="138"/>
        <v>0</v>
      </c>
      <c r="K146" s="809">
        <f t="shared" si="139"/>
        <v>20000</v>
      </c>
      <c r="L146" s="810">
        <f>+AA146+AN146+AO146+BT146+CG146+CT146+DG146</f>
        <v>20000</v>
      </c>
      <c r="M146" s="394">
        <f>+IF(G146&gt;0,G146-L146,H146-L146)</f>
        <v>0</v>
      </c>
      <c r="N146" s="2"/>
      <c r="O146" s="2"/>
      <c r="P146" s="2"/>
      <c r="Q146" s="2"/>
      <c r="R146" s="2"/>
      <c r="S146" s="2"/>
      <c r="T146" s="2"/>
      <c r="U146" s="2"/>
      <c r="V146" s="2"/>
      <c r="W146" s="2"/>
      <c r="X146" s="2"/>
      <c r="Y146" s="2"/>
      <c r="Z146" s="2"/>
      <c r="AA146" s="806">
        <f t="shared" si="140"/>
        <v>0</v>
      </c>
      <c r="AB146" s="2"/>
      <c r="AC146" s="2"/>
      <c r="AD146" s="2"/>
      <c r="AE146" s="2"/>
      <c r="AF146" s="2"/>
      <c r="AG146" s="2"/>
      <c r="AH146" s="2"/>
      <c r="AI146" s="2"/>
      <c r="AJ146" s="2"/>
      <c r="AK146" s="2"/>
      <c r="AL146" s="2"/>
      <c r="AM146" s="2"/>
      <c r="AN146" s="806">
        <f t="shared" si="141"/>
        <v>0</v>
      </c>
      <c r="AO146" s="806">
        <f t="shared" si="142"/>
        <v>0</v>
      </c>
      <c r="AP146" s="806">
        <f t="shared" si="143"/>
        <v>20000</v>
      </c>
      <c r="AQ146" s="806">
        <f t="shared" si="144"/>
        <v>0</v>
      </c>
      <c r="AR146" s="806">
        <f t="shared" si="145"/>
        <v>0</v>
      </c>
      <c r="AS146" s="806">
        <f t="shared" si="146"/>
        <v>0</v>
      </c>
      <c r="AT146" s="806">
        <f t="shared" si="146"/>
        <v>0</v>
      </c>
      <c r="AU146" s="2"/>
      <c r="AV146" s="2"/>
      <c r="AW146" s="2"/>
      <c r="AX146" s="2"/>
      <c r="AY146" s="2"/>
      <c r="AZ146" s="2"/>
      <c r="BA146" s="2"/>
      <c r="BB146" s="2"/>
      <c r="BC146" s="2"/>
      <c r="BD146" s="2"/>
      <c r="BE146" s="2"/>
      <c r="BF146" s="2"/>
      <c r="BG146" s="806">
        <f t="shared" si="57"/>
        <v>0</v>
      </c>
      <c r="BH146" s="796"/>
      <c r="BI146" s="807"/>
      <c r="BJ146" s="807"/>
      <c r="BK146" s="807"/>
      <c r="BL146" s="807"/>
      <c r="BM146" s="807"/>
      <c r="BN146" s="807"/>
      <c r="BO146" s="807"/>
      <c r="BP146" s="807">
        <v>20000</v>
      </c>
      <c r="BQ146" s="807"/>
      <c r="BR146" s="807"/>
      <c r="BS146" s="807"/>
      <c r="BT146" s="806">
        <f t="shared" si="58"/>
        <v>20000</v>
      </c>
      <c r="CG146" s="806">
        <f t="shared" si="126"/>
        <v>0</v>
      </c>
      <c r="CT146" s="806">
        <f t="shared" si="92"/>
        <v>0</v>
      </c>
      <c r="DG146" s="806">
        <f t="shared" si="118"/>
        <v>0</v>
      </c>
    </row>
    <row r="147" spans="1:111" x14ac:dyDescent="0.25">
      <c r="A147" s="8"/>
      <c r="B147" s="370"/>
      <c r="D147" s="370"/>
      <c r="H147" s="802"/>
      <c r="I147" s="803"/>
      <c r="J147" s="803"/>
      <c r="K147" s="809"/>
      <c r="L147" s="796"/>
      <c r="M147" s="2"/>
      <c r="N147" s="2"/>
      <c r="O147" s="2"/>
      <c r="P147" s="2"/>
      <c r="Q147" s="2"/>
      <c r="R147" s="2"/>
      <c r="S147" s="2"/>
      <c r="T147" s="2"/>
      <c r="U147" s="2"/>
      <c r="V147" s="2"/>
      <c r="W147" s="2"/>
      <c r="X147" s="2"/>
      <c r="Y147" s="2"/>
      <c r="Z147" s="2"/>
      <c r="AA147" s="806">
        <f t="shared" si="140"/>
        <v>0</v>
      </c>
      <c r="AB147" s="2"/>
      <c r="AC147" s="2"/>
      <c r="AD147" s="2"/>
      <c r="AE147" s="2"/>
      <c r="AF147" s="2"/>
      <c r="AG147" s="2"/>
      <c r="AH147" s="2"/>
      <c r="AI147" s="2"/>
      <c r="AJ147" s="2"/>
      <c r="AK147" s="2"/>
      <c r="AL147" s="2"/>
      <c r="AM147" s="2"/>
      <c r="AN147" s="806">
        <f t="shared" si="141"/>
        <v>0</v>
      </c>
      <c r="AO147" s="806">
        <f t="shared" si="142"/>
        <v>0</v>
      </c>
      <c r="AP147" s="806">
        <f t="shared" si="143"/>
        <v>0</v>
      </c>
      <c r="AQ147" s="806">
        <f t="shared" si="144"/>
        <v>0</v>
      </c>
      <c r="AR147" s="806">
        <f t="shared" si="145"/>
        <v>0</v>
      </c>
      <c r="AS147" s="806">
        <f t="shared" si="146"/>
        <v>0</v>
      </c>
      <c r="AT147" s="806">
        <f t="shared" si="146"/>
        <v>0</v>
      </c>
      <c r="AU147" s="2"/>
      <c r="AV147" s="2"/>
      <c r="AW147" s="2"/>
      <c r="AX147" s="2"/>
      <c r="AY147" s="2"/>
      <c r="AZ147" s="2"/>
      <c r="BA147" s="2"/>
      <c r="BB147" s="2"/>
      <c r="BC147" s="2"/>
      <c r="BD147" s="2"/>
      <c r="BE147" s="2"/>
      <c r="BF147" s="2"/>
      <c r="BG147" s="806">
        <f t="shared" ref="BG147:BG179" si="147">SUM(AU147:BF147)</f>
        <v>0</v>
      </c>
      <c r="BH147" s="796"/>
      <c r="BI147" s="807"/>
      <c r="BJ147" s="807"/>
      <c r="BK147" s="807"/>
      <c r="BL147" s="807"/>
      <c r="BM147" s="807"/>
      <c r="BN147" s="807"/>
      <c r="BO147" s="807"/>
      <c r="BP147" s="807"/>
      <c r="BQ147" s="807"/>
      <c r="BR147" s="807"/>
      <c r="BS147" s="807"/>
      <c r="BT147" s="806">
        <f t="shared" ref="BT147:BT179" si="148">SUM(BH147:BS147)</f>
        <v>0</v>
      </c>
      <c r="CG147" s="806">
        <f t="shared" si="126"/>
        <v>0</v>
      </c>
      <c r="CT147" s="806">
        <f t="shared" si="92"/>
        <v>0</v>
      </c>
      <c r="DG147" s="806">
        <f t="shared" si="118"/>
        <v>0</v>
      </c>
    </row>
    <row r="148" spans="1:111" x14ac:dyDescent="0.25">
      <c r="A148" s="24" t="s">
        <v>37</v>
      </c>
      <c r="B148" s="3"/>
      <c r="C148" s="3" t="s">
        <v>39</v>
      </c>
      <c r="D148" s="3"/>
      <c r="E148" s="3" t="s">
        <v>279</v>
      </c>
      <c r="F148" s="3"/>
      <c r="G148" s="3"/>
      <c r="H148" s="821">
        <v>690000</v>
      </c>
      <c r="I148" s="803">
        <f>+AA148+AN148+AO148</f>
        <v>0</v>
      </c>
      <c r="J148" s="803">
        <f t="shared" ref="J148:J149" si="149">SUM(BH148:BM148)</f>
        <v>0</v>
      </c>
      <c r="K148" s="809">
        <f t="shared" ref="K148:K149" si="150">+H148-I148</f>
        <v>690000</v>
      </c>
      <c r="L148" s="810">
        <f>+AA148+AN148+AO148+BT148+CG148+CT148+DG148</f>
        <v>690000</v>
      </c>
      <c r="M148" s="394">
        <f>+IF(G148&gt;0,G148-L148,H148-L148)</f>
        <v>0</v>
      </c>
      <c r="N148" s="394"/>
      <c r="O148" s="2"/>
      <c r="P148" s="2"/>
      <c r="Q148" s="2"/>
      <c r="R148" s="2"/>
      <c r="S148" s="2"/>
      <c r="T148" s="2"/>
      <c r="U148" s="2"/>
      <c r="V148" s="2"/>
      <c r="W148" s="2"/>
      <c r="X148" s="2"/>
      <c r="Y148" s="2"/>
      <c r="Z148" s="2"/>
      <c r="AA148" s="806">
        <f t="shared" si="140"/>
        <v>0</v>
      </c>
      <c r="AB148" s="2"/>
      <c r="AC148" s="2"/>
      <c r="AD148" s="2"/>
      <c r="AE148" s="2"/>
      <c r="AF148" s="2"/>
      <c r="AG148" s="2"/>
      <c r="AH148" s="2"/>
      <c r="AI148" s="2"/>
      <c r="AJ148" s="2"/>
      <c r="AK148" s="2"/>
      <c r="AL148" s="2"/>
      <c r="AM148" s="2"/>
      <c r="AN148" s="806">
        <f t="shared" si="141"/>
        <v>0</v>
      </c>
      <c r="AO148" s="806">
        <f t="shared" si="142"/>
        <v>0</v>
      </c>
      <c r="AP148" s="806">
        <f t="shared" si="143"/>
        <v>0</v>
      </c>
      <c r="AQ148" s="806">
        <f t="shared" si="144"/>
        <v>0</v>
      </c>
      <c r="AR148" s="806">
        <f t="shared" si="145"/>
        <v>690000</v>
      </c>
      <c r="AS148" s="806">
        <f t="shared" si="146"/>
        <v>0</v>
      </c>
      <c r="AT148" s="806">
        <f t="shared" si="146"/>
        <v>0</v>
      </c>
      <c r="AU148" s="2"/>
      <c r="AV148" s="2"/>
      <c r="AW148" s="2"/>
      <c r="AX148" s="2"/>
      <c r="AY148" s="2"/>
      <c r="AZ148" s="2"/>
      <c r="BA148" s="2"/>
      <c r="BB148" s="2"/>
      <c r="BC148" s="2"/>
      <c r="BD148" s="2"/>
      <c r="BE148" s="2"/>
      <c r="BF148" s="2"/>
      <c r="BG148" s="806">
        <f t="shared" si="147"/>
        <v>0</v>
      </c>
      <c r="BH148" s="796"/>
      <c r="BI148" s="807"/>
      <c r="BJ148" s="807"/>
      <c r="BK148" s="807"/>
      <c r="BL148" s="807"/>
      <c r="BM148" s="807"/>
      <c r="BN148" s="807"/>
      <c r="BO148" s="807"/>
      <c r="BP148" s="807"/>
      <c r="BQ148" s="807"/>
      <c r="BR148" s="807"/>
      <c r="BS148" s="807"/>
      <c r="BT148" s="806">
        <f t="shared" si="148"/>
        <v>0</v>
      </c>
      <c r="CG148" s="806">
        <f t="shared" si="126"/>
        <v>0</v>
      </c>
      <c r="CH148">
        <v>9000</v>
      </c>
      <c r="CI148">
        <v>45000</v>
      </c>
      <c r="CJ148">
        <v>318000</v>
      </c>
      <c r="CN148">
        <v>318000</v>
      </c>
      <c r="CT148" s="806">
        <f t="shared" si="92"/>
        <v>690000</v>
      </c>
      <c r="DG148" s="806">
        <f t="shared" si="118"/>
        <v>0</v>
      </c>
    </row>
    <row r="149" spans="1:111" x14ac:dyDescent="0.25">
      <c r="A149" s="8"/>
      <c r="C149" t="s">
        <v>1047</v>
      </c>
      <c r="E149" t="s">
        <v>279</v>
      </c>
      <c r="H149" s="802">
        <v>62350</v>
      </c>
      <c r="I149" s="803">
        <f>+AA149+AN149+AO149</f>
        <v>0</v>
      </c>
      <c r="J149" s="803">
        <f t="shared" si="149"/>
        <v>0</v>
      </c>
      <c r="K149" s="809">
        <f t="shared" si="150"/>
        <v>62350</v>
      </c>
      <c r="L149" s="810">
        <f>+AA149+AN149+AO149+BT149+CG149+CT149+DG149</f>
        <v>62350</v>
      </c>
      <c r="M149" s="394">
        <f>+IF(G149&gt;0,G149-L149,H149-L149)</f>
        <v>0</v>
      </c>
      <c r="N149" s="2"/>
      <c r="O149" s="2"/>
      <c r="P149" s="2"/>
      <c r="Q149" s="2"/>
      <c r="R149" s="2"/>
      <c r="S149" s="2"/>
      <c r="T149" s="2"/>
      <c r="U149" s="2"/>
      <c r="V149" s="2"/>
      <c r="W149" s="2"/>
      <c r="X149" s="2"/>
      <c r="Y149" s="2"/>
      <c r="Z149" s="2"/>
      <c r="AA149" s="806">
        <f t="shared" si="140"/>
        <v>0</v>
      </c>
      <c r="AB149" s="2"/>
      <c r="AC149" s="2"/>
      <c r="AD149" s="2"/>
      <c r="AE149" s="2"/>
      <c r="AF149" s="2"/>
      <c r="AG149" s="2"/>
      <c r="AH149" s="2"/>
      <c r="AI149" s="2"/>
      <c r="AJ149" s="2"/>
      <c r="AK149" s="2"/>
      <c r="AL149" s="2"/>
      <c r="AM149" s="2"/>
      <c r="AN149" s="806">
        <f t="shared" si="141"/>
        <v>0</v>
      </c>
      <c r="AO149" s="806">
        <f t="shared" si="142"/>
        <v>0</v>
      </c>
      <c r="AP149" s="806">
        <f t="shared" si="143"/>
        <v>0</v>
      </c>
      <c r="AQ149" s="806">
        <f t="shared" si="144"/>
        <v>62350</v>
      </c>
      <c r="AR149" s="806">
        <f t="shared" si="145"/>
        <v>0</v>
      </c>
      <c r="AS149" s="806">
        <f t="shared" si="146"/>
        <v>0</v>
      </c>
      <c r="AT149" s="806">
        <f t="shared" si="146"/>
        <v>0</v>
      </c>
      <c r="AU149" s="2"/>
      <c r="AV149" s="2"/>
      <c r="AW149" s="2"/>
      <c r="AX149" s="2"/>
      <c r="AY149" s="2"/>
      <c r="AZ149" s="2"/>
      <c r="BA149" s="2"/>
      <c r="BB149" s="2"/>
      <c r="BC149" s="2"/>
      <c r="BD149" s="2"/>
      <c r="BE149" s="2"/>
      <c r="BF149" s="2"/>
      <c r="BG149" s="806">
        <f t="shared" si="147"/>
        <v>0</v>
      </c>
      <c r="BH149" s="796"/>
      <c r="BI149" s="807"/>
      <c r="BJ149" s="807"/>
      <c r="BK149" s="807"/>
      <c r="BL149" s="807"/>
      <c r="BM149" s="807"/>
      <c r="BN149" s="807"/>
      <c r="BO149" s="807"/>
      <c r="BP149" s="807"/>
      <c r="BQ149" s="807"/>
      <c r="BR149" s="807"/>
      <c r="BS149" s="807"/>
      <c r="BT149" s="806">
        <f t="shared" si="148"/>
        <v>0</v>
      </c>
      <c r="BX149">
        <v>31175</v>
      </c>
      <c r="CD149">
        <v>31175</v>
      </c>
      <c r="CG149" s="806">
        <f t="shared" si="126"/>
        <v>62350</v>
      </c>
      <c r="CT149" s="806">
        <f t="shared" si="92"/>
        <v>0</v>
      </c>
      <c r="DG149" s="806">
        <f t="shared" si="118"/>
        <v>0</v>
      </c>
    </row>
    <row r="150" spans="1:111" s="797" customFormat="1" x14ac:dyDescent="0.25">
      <c r="A150" s="797" t="s">
        <v>1048</v>
      </c>
      <c r="H150" s="813">
        <f>SUM(H143:H149)</f>
        <v>942350</v>
      </c>
      <c r="I150" s="813">
        <f t="shared" ref="I150:M150" si="151">SUM(I143:I149)</f>
        <v>0</v>
      </c>
      <c r="J150" s="813">
        <f t="shared" si="151"/>
        <v>0</v>
      </c>
      <c r="K150" s="813">
        <f t="shared" si="151"/>
        <v>942350</v>
      </c>
      <c r="L150" s="813">
        <f t="shared" si="151"/>
        <v>942350</v>
      </c>
      <c r="M150" s="813">
        <f t="shared" si="151"/>
        <v>0</v>
      </c>
      <c r="AA150" s="816">
        <f>SUM(AA143:AA149)</f>
        <v>0</v>
      </c>
      <c r="AB150" s="815"/>
      <c r="AC150" s="815"/>
      <c r="AD150" s="815"/>
      <c r="AE150" s="815"/>
      <c r="AF150" s="815"/>
      <c r="AG150" s="815"/>
      <c r="AH150" s="815"/>
      <c r="AI150" s="815"/>
      <c r="AJ150" s="815"/>
      <c r="AK150" s="815"/>
      <c r="AL150" s="815"/>
      <c r="AM150" s="815"/>
      <c r="AN150" s="816">
        <f t="shared" ref="AN150:AT150" si="152">SUM(AN143:AN149)</f>
        <v>0</v>
      </c>
      <c r="AO150" s="816">
        <f t="shared" si="152"/>
        <v>0</v>
      </c>
      <c r="AP150" s="816">
        <f t="shared" si="152"/>
        <v>100000</v>
      </c>
      <c r="AQ150" s="816">
        <f t="shared" si="152"/>
        <v>62350</v>
      </c>
      <c r="AR150" s="816">
        <f t="shared" si="152"/>
        <v>780000</v>
      </c>
      <c r="AS150" s="816">
        <f t="shared" si="152"/>
        <v>0</v>
      </c>
      <c r="AT150" s="816">
        <f t="shared" si="152"/>
        <v>0</v>
      </c>
      <c r="BG150" s="816">
        <f t="shared" si="147"/>
        <v>0</v>
      </c>
      <c r="BH150" s="813">
        <f t="shared" ref="BH150" si="153">SUM(BH143:BH149)</f>
        <v>0</v>
      </c>
      <c r="BI150" s="806">
        <f>SUM(BI143:BI149)</f>
        <v>0</v>
      </c>
      <c r="BJ150" s="806">
        <f t="shared" ref="BJ150:BS150" si="154">SUM(BJ143:BJ149)</f>
        <v>0</v>
      </c>
      <c r="BK150" s="806">
        <f t="shared" si="154"/>
        <v>0</v>
      </c>
      <c r="BL150" s="806">
        <f t="shared" si="154"/>
        <v>0</v>
      </c>
      <c r="BM150" s="806">
        <f t="shared" si="154"/>
        <v>0</v>
      </c>
      <c r="BN150" s="806">
        <f t="shared" si="154"/>
        <v>0</v>
      </c>
      <c r="BO150" s="806">
        <f t="shared" si="154"/>
        <v>0</v>
      </c>
      <c r="BP150" s="806">
        <f t="shared" si="154"/>
        <v>90000</v>
      </c>
      <c r="BQ150" s="806">
        <f t="shared" si="154"/>
        <v>0</v>
      </c>
      <c r="BR150" s="806">
        <f t="shared" si="154"/>
        <v>0</v>
      </c>
      <c r="BS150" s="806">
        <f t="shared" si="154"/>
        <v>10000</v>
      </c>
      <c r="BT150" s="816">
        <f t="shared" si="148"/>
        <v>100000</v>
      </c>
      <c r="BU150" s="813">
        <f t="shared" ref="BU150" si="155">SUM(BU143:BU149)</f>
        <v>0</v>
      </c>
      <c r="BV150" s="806">
        <f>SUM(BV143:BV149)</f>
        <v>0</v>
      </c>
      <c r="BW150" s="806">
        <f t="shared" ref="BW150:CF150" si="156">SUM(BW143:BW149)</f>
        <v>0</v>
      </c>
      <c r="BX150" s="806">
        <f t="shared" si="156"/>
        <v>31175</v>
      </c>
      <c r="BY150" s="806">
        <f t="shared" si="156"/>
        <v>0</v>
      </c>
      <c r="BZ150" s="806">
        <f t="shared" si="156"/>
        <v>0</v>
      </c>
      <c r="CA150" s="806">
        <f t="shared" si="156"/>
        <v>0</v>
      </c>
      <c r="CB150" s="806">
        <f t="shared" si="156"/>
        <v>0</v>
      </c>
      <c r="CC150" s="806">
        <f t="shared" si="156"/>
        <v>0</v>
      </c>
      <c r="CD150" s="806">
        <f t="shared" si="156"/>
        <v>31175</v>
      </c>
      <c r="CE150" s="806">
        <f t="shared" si="156"/>
        <v>0</v>
      </c>
      <c r="CF150" s="806">
        <f t="shared" si="156"/>
        <v>0</v>
      </c>
      <c r="CG150" s="816">
        <f t="shared" si="126"/>
        <v>62350</v>
      </c>
      <c r="CH150" s="813">
        <f t="shared" ref="CH150" si="157">SUM(CH143:CH149)</f>
        <v>99000</v>
      </c>
      <c r="CI150" s="806">
        <f>SUM(CI143:CI149)</f>
        <v>45000</v>
      </c>
      <c r="CJ150" s="806">
        <f t="shared" ref="CJ150:CS150" si="158">SUM(CJ143:CJ149)</f>
        <v>318000</v>
      </c>
      <c r="CK150" s="806">
        <f t="shared" si="158"/>
        <v>0</v>
      </c>
      <c r="CL150" s="806">
        <f t="shared" si="158"/>
        <v>0</v>
      </c>
      <c r="CM150" s="806">
        <f t="shared" si="158"/>
        <v>0</v>
      </c>
      <c r="CN150" s="806">
        <f t="shared" si="158"/>
        <v>318000</v>
      </c>
      <c r="CO150" s="806">
        <f t="shared" si="158"/>
        <v>0</v>
      </c>
      <c r="CP150" s="806">
        <f t="shared" si="158"/>
        <v>0</v>
      </c>
      <c r="CQ150" s="806">
        <f t="shared" si="158"/>
        <v>0</v>
      </c>
      <c r="CR150" s="806">
        <f t="shared" si="158"/>
        <v>0</v>
      </c>
      <c r="CS150" s="806">
        <f t="shared" si="158"/>
        <v>0</v>
      </c>
      <c r="CT150" s="816">
        <f t="shared" si="92"/>
        <v>780000</v>
      </c>
      <c r="CU150" s="813">
        <f t="shared" ref="CU150" si="159">SUM(CU143:CU149)</f>
        <v>0</v>
      </c>
      <c r="CV150" s="806">
        <f>SUM(CV143:CV149)</f>
        <v>0</v>
      </c>
      <c r="CW150" s="806">
        <f t="shared" ref="CW150:DF150" si="160">SUM(CW143:CW149)</f>
        <v>0</v>
      </c>
      <c r="CX150" s="806">
        <f t="shared" si="160"/>
        <v>0</v>
      </c>
      <c r="CY150" s="806">
        <f t="shared" si="160"/>
        <v>0</v>
      </c>
      <c r="CZ150" s="806">
        <f t="shared" si="160"/>
        <v>0</v>
      </c>
      <c r="DA150" s="806">
        <f t="shared" si="160"/>
        <v>0</v>
      </c>
      <c r="DB150" s="806">
        <f t="shared" si="160"/>
        <v>0</v>
      </c>
      <c r="DC150" s="806">
        <f t="shared" si="160"/>
        <v>0</v>
      </c>
      <c r="DD150" s="806">
        <f t="shared" si="160"/>
        <v>0</v>
      </c>
      <c r="DE150" s="806">
        <f t="shared" si="160"/>
        <v>0</v>
      </c>
      <c r="DF150" s="806">
        <f t="shared" si="160"/>
        <v>0</v>
      </c>
      <c r="DG150" s="816">
        <f t="shared" si="118"/>
        <v>0</v>
      </c>
    </row>
    <row r="151" spans="1:111" x14ac:dyDescent="0.25">
      <c r="A151" s="257" t="s">
        <v>1049</v>
      </c>
      <c r="B151" s="371"/>
      <c r="C151" s="3"/>
      <c r="D151" s="371"/>
      <c r="E151" s="3"/>
      <c r="F151" s="3"/>
      <c r="G151" s="3"/>
      <c r="H151" s="821"/>
      <c r="I151" s="803">
        <f t="shared" ref="I151:I156" si="161">+AA151+AN151+AO151</f>
        <v>0</v>
      </c>
      <c r="J151" s="803">
        <f t="shared" ref="J151:J156" si="162">SUM(BH151:BM151)</f>
        <v>0</v>
      </c>
      <c r="K151" s="809">
        <f t="shared" ref="K151:K156" si="163">+H151-I151</f>
        <v>0</v>
      </c>
      <c r="L151" s="810">
        <f t="shared" ref="L151:L156" si="164">+AA151+AN151+AO151+BT151+CG151+CT151+DG151</f>
        <v>0</v>
      </c>
      <c r="M151" s="394">
        <f t="shared" ref="M151:M156" si="165">+IF(G151&gt;0,G151-L151,H151-L151)</f>
        <v>0</v>
      </c>
      <c r="N151" s="2"/>
      <c r="O151" s="2"/>
      <c r="P151" s="2"/>
      <c r="Q151" s="2"/>
      <c r="R151" s="2"/>
      <c r="S151" s="2"/>
      <c r="T151" s="2"/>
      <c r="U151" s="2"/>
      <c r="V151" s="2"/>
      <c r="W151" s="2"/>
      <c r="X151" s="2"/>
      <c r="Y151" s="2"/>
      <c r="Z151" s="2"/>
      <c r="AA151" s="828"/>
      <c r="AB151" s="2"/>
      <c r="AC151" s="2"/>
      <c r="AD151" s="2"/>
      <c r="AE151" s="2"/>
      <c r="AF151" s="2"/>
      <c r="AG151" s="2"/>
      <c r="AH151" s="2"/>
      <c r="AI151" s="2"/>
      <c r="AJ151" s="2"/>
      <c r="AK151" s="2"/>
      <c r="AL151" s="2"/>
      <c r="AM151" s="2"/>
      <c r="AN151" s="828"/>
      <c r="AO151" s="828"/>
      <c r="AP151" s="828"/>
      <c r="AQ151" s="828"/>
      <c r="AR151" s="828"/>
      <c r="AS151" s="828"/>
      <c r="AT151" s="828"/>
      <c r="AU151" s="2"/>
      <c r="AV151" s="2"/>
      <c r="AW151" s="2"/>
      <c r="AX151" s="2"/>
      <c r="AY151" s="2"/>
      <c r="AZ151" s="2"/>
      <c r="BA151" s="2"/>
      <c r="BB151" s="2"/>
      <c r="BC151" s="2"/>
      <c r="BD151" s="2"/>
      <c r="BE151" s="2"/>
      <c r="BF151" s="2"/>
      <c r="BG151" s="806">
        <f t="shared" si="147"/>
        <v>0</v>
      </c>
      <c r="BH151" s="796"/>
      <c r="BI151" s="807"/>
      <c r="BJ151" s="807"/>
      <c r="BK151" s="807"/>
      <c r="BL151" s="807"/>
      <c r="BM151" s="807"/>
      <c r="BN151" s="807"/>
      <c r="BO151" s="807"/>
      <c r="BP151" s="807"/>
      <c r="BQ151" s="807"/>
      <c r="BR151" s="807"/>
      <c r="BS151" s="807"/>
      <c r="BT151" s="806">
        <f t="shared" si="148"/>
        <v>0</v>
      </c>
      <c r="CG151" s="806">
        <f t="shared" si="126"/>
        <v>0</v>
      </c>
      <c r="CT151" s="806">
        <f t="shared" si="92"/>
        <v>0</v>
      </c>
      <c r="DG151" s="806">
        <f t="shared" si="118"/>
        <v>0</v>
      </c>
    </row>
    <row r="152" spans="1:111" x14ac:dyDescent="0.25">
      <c r="A152" s="8"/>
      <c r="C152" t="s">
        <v>1050</v>
      </c>
      <c r="E152" t="s">
        <v>279</v>
      </c>
      <c r="H152" s="802">
        <v>105000</v>
      </c>
      <c r="I152" s="803">
        <f t="shared" si="161"/>
        <v>0</v>
      </c>
      <c r="J152" s="803">
        <f t="shared" si="162"/>
        <v>0</v>
      </c>
      <c r="K152" s="809">
        <f t="shared" si="163"/>
        <v>105000</v>
      </c>
      <c r="L152" s="810">
        <f t="shared" si="164"/>
        <v>105000</v>
      </c>
      <c r="M152" s="394">
        <f t="shared" si="165"/>
        <v>0</v>
      </c>
      <c r="N152" s="2"/>
      <c r="O152" s="2"/>
      <c r="P152" s="2"/>
      <c r="Q152" s="2"/>
      <c r="R152" s="2"/>
      <c r="S152" s="2"/>
      <c r="T152" s="2"/>
      <c r="U152" s="2"/>
      <c r="V152" s="2"/>
      <c r="W152" s="2"/>
      <c r="X152" s="2"/>
      <c r="Y152" s="2"/>
      <c r="Z152" s="2"/>
      <c r="AA152" s="806">
        <f t="shared" ref="AA152:AA156" si="166">SUM(O152:Z152)</f>
        <v>0</v>
      </c>
      <c r="AB152" s="2"/>
      <c r="AC152" s="2"/>
      <c r="AD152" s="2"/>
      <c r="AE152" s="2"/>
      <c r="AF152" s="2"/>
      <c r="AG152" s="2"/>
      <c r="AH152" s="2"/>
      <c r="AI152" s="2"/>
      <c r="AJ152" s="2"/>
      <c r="AK152" s="2"/>
      <c r="AL152" s="2"/>
      <c r="AM152" s="2"/>
      <c r="AN152" s="806">
        <f t="shared" ref="AN152:AN156" si="167">SUM(AB152:AM152)</f>
        <v>0</v>
      </c>
      <c r="AO152" s="806">
        <f t="shared" ref="AO152:AO156" si="168">SUM(AU152:BF152)</f>
        <v>0</v>
      </c>
      <c r="AP152" s="806">
        <f t="shared" ref="AP152:AP156" si="169">+BT152</f>
        <v>0</v>
      </c>
      <c r="AQ152" s="806">
        <f t="shared" ref="AQ152:AQ156" si="170">+CG152</f>
        <v>0</v>
      </c>
      <c r="AR152" s="806">
        <f t="shared" ref="AR152:AR156" si="171">+CT152</f>
        <v>75000</v>
      </c>
      <c r="AS152" s="806">
        <f t="shared" ref="AS152:AT156" si="172">+DG152</f>
        <v>30000</v>
      </c>
      <c r="AT152" s="806">
        <f t="shared" si="172"/>
        <v>0</v>
      </c>
      <c r="AU152" s="2"/>
      <c r="AV152" s="2"/>
      <c r="AW152" s="2"/>
      <c r="AX152" s="2"/>
      <c r="AY152" s="2"/>
      <c r="AZ152" s="2"/>
      <c r="BA152" s="2"/>
      <c r="BB152" s="2"/>
      <c r="BC152" s="2"/>
      <c r="BD152" s="2"/>
      <c r="BE152" s="2"/>
      <c r="BF152" s="2"/>
      <c r="BG152" s="806">
        <f t="shared" si="147"/>
        <v>0</v>
      </c>
      <c r="BH152" s="796"/>
      <c r="BI152" s="807"/>
      <c r="BJ152" s="807"/>
      <c r="BK152" s="807"/>
      <c r="BL152" s="807"/>
      <c r="BM152" s="807"/>
      <c r="BN152" s="807"/>
      <c r="BO152" s="807"/>
      <c r="BP152" s="807"/>
      <c r="BQ152" s="807"/>
      <c r="BR152" s="807"/>
      <c r="BS152" s="807"/>
      <c r="BT152" s="806">
        <f t="shared" si="148"/>
        <v>0</v>
      </c>
      <c r="CG152" s="806">
        <f t="shared" si="126"/>
        <v>0</v>
      </c>
      <c r="CJ152">
        <v>10000</v>
      </c>
      <c r="CL152">
        <v>5000</v>
      </c>
      <c r="CN152">
        <v>20000</v>
      </c>
      <c r="CP152">
        <v>20000</v>
      </c>
      <c r="CR152">
        <v>20000</v>
      </c>
      <c r="CT152" s="806">
        <f t="shared" si="92"/>
        <v>75000</v>
      </c>
      <c r="CU152">
        <v>20000</v>
      </c>
      <c r="CW152">
        <v>10000</v>
      </c>
      <c r="DG152" s="806">
        <f t="shared" si="118"/>
        <v>30000</v>
      </c>
    </row>
    <row r="153" spans="1:111" x14ac:dyDescent="0.25">
      <c r="A153" s="8"/>
      <c r="C153" t="s">
        <v>1051</v>
      </c>
      <c r="E153" t="s">
        <v>279</v>
      </c>
      <c r="H153" s="802">
        <v>300000</v>
      </c>
      <c r="I153" s="803">
        <f t="shared" si="161"/>
        <v>0</v>
      </c>
      <c r="J153" s="803">
        <f t="shared" si="162"/>
        <v>0</v>
      </c>
      <c r="K153" s="809">
        <f t="shared" si="163"/>
        <v>300000</v>
      </c>
      <c r="L153" s="810">
        <f t="shared" si="164"/>
        <v>300000</v>
      </c>
      <c r="M153" s="394">
        <f t="shared" si="165"/>
        <v>0</v>
      </c>
      <c r="N153" s="2"/>
      <c r="O153" s="2"/>
      <c r="P153" s="2"/>
      <c r="Q153" s="2"/>
      <c r="R153" s="2"/>
      <c r="S153" s="2"/>
      <c r="T153" s="2"/>
      <c r="U153" s="2"/>
      <c r="V153" s="2"/>
      <c r="W153" s="2"/>
      <c r="X153" s="2"/>
      <c r="Y153" s="2"/>
      <c r="Z153" s="2"/>
      <c r="AA153" s="806">
        <f t="shared" si="166"/>
        <v>0</v>
      </c>
      <c r="AB153" s="2"/>
      <c r="AC153" s="2"/>
      <c r="AD153" s="2"/>
      <c r="AE153" s="2"/>
      <c r="AF153" s="2"/>
      <c r="AG153" s="2"/>
      <c r="AH153" s="2"/>
      <c r="AI153" s="2"/>
      <c r="AJ153" s="2"/>
      <c r="AK153" s="2"/>
      <c r="AL153" s="2"/>
      <c r="AM153" s="2"/>
      <c r="AN153" s="806">
        <f t="shared" si="167"/>
        <v>0</v>
      </c>
      <c r="AO153" s="806">
        <f t="shared" si="168"/>
        <v>0</v>
      </c>
      <c r="AP153" s="806">
        <f t="shared" si="169"/>
        <v>0</v>
      </c>
      <c r="AQ153" s="806">
        <f t="shared" si="170"/>
        <v>0</v>
      </c>
      <c r="AR153" s="806">
        <f t="shared" si="171"/>
        <v>270000</v>
      </c>
      <c r="AS153" s="806">
        <f t="shared" si="172"/>
        <v>30000</v>
      </c>
      <c r="AT153" s="806">
        <f t="shared" si="172"/>
        <v>0</v>
      </c>
      <c r="AU153" s="2"/>
      <c r="AV153" s="2"/>
      <c r="AW153" s="2"/>
      <c r="AX153" s="2"/>
      <c r="AY153" s="2"/>
      <c r="AZ153" s="2"/>
      <c r="BA153" s="2"/>
      <c r="BB153" s="2"/>
      <c r="BC153" s="2"/>
      <c r="BD153" s="2"/>
      <c r="BE153" s="2"/>
      <c r="BF153" s="2"/>
      <c r="BG153" s="806">
        <f t="shared" si="147"/>
        <v>0</v>
      </c>
      <c r="BH153" s="796"/>
      <c r="BI153" s="807"/>
      <c r="BJ153" s="807"/>
      <c r="BK153" s="807"/>
      <c r="BL153" s="807"/>
      <c r="BM153" s="807"/>
      <c r="BN153" s="807"/>
      <c r="BO153" s="807"/>
      <c r="BP153" s="807"/>
      <c r="BQ153" s="807"/>
      <c r="BR153" s="807"/>
      <c r="BS153" s="807"/>
      <c r="BT153" s="806">
        <f t="shared" si="148"/>
        <v>0</v>
      </c>
      <c r="CG153" s="806">
        <f t="shared" si="126"/>
        <v>0</v>
      </c>
      <c r="CK153">
        <v>30000</v>
      </c>
      <c r="CL153">
        <v>30000</v>
      </c>
      <c r="CM153">
        <v>30000</v>
      </c>
      <c r="CN153">
        <v>30000</v>
      </c>
      <c r="CO153">
        <v>30000</v>
      </c>
      <c r="CP153">
        <v>30000</v>
      </c>
      <c r="CQ153">
        <v>30000</v>
      </c>
      <c r="CR153">
        <v>30000</v>
      </c>
      <c r="CS153">
        <v>30000</v>
      </c>
      <c r="CT153" s="806">
        <f t="shared" si="92"/>
        <v>270000</v>
      </c>
      <c r="CU153">
        <v>15000</v>
      </c>
      <c r="CV153">
        <v>15000</v>
      </c>
      <c r="DG153" s="806">
        <f t="shared" si="118"/>
        <v>30000</v>
      </c>
    </row>
    <row r="154" spans="1:111" x14ac:dyDescent="0.25">
      <c r="A154" s="8"/>
      <c r="C154" t="s">
        <v>1052</v>
      </c>
      <c r="E154" t="s">
        <v>279</v>
      </c>
      <c r="H154" s="802">
        <v>175000</v>
      </c>
      <c r="I154" s="803">
        <f t="shared" si="161"/>
        <v>0</v>
      </c>
      <c r="J154" s="803">
        <f t="shared" si="162"/>
        <v>0</v>
      </c>
      <c r="K154" s="809">
        <f t="shared" si="163"/>
        <v>175000</v>
      </c>
      <c r="L154" s="810">
        <f t="shared" si="164"/>
        <v>175000</v>
      </c>
      <c r="M154" s="394">
        <f t="shared" si="165"/>
        <v>0</v>
      </c>
      <c r="N154" s="2"/>
      <c r="O154" s="2"/>
      <c r="P154" s="2"/>
      <c r="Q154" s="2"/>
      <c r="R154" s="2"/>
      <c r="S154" s="2"/>
      <c r="T154" s="2"/>
      <c r="U154" s="2"/>
      <c r="V154" s="2"/>
      <c r="W154" s="2"/>
      <c r="X154" s="2"/>
      <c r="Y154" s="2"/>
      <c r="Z154" s="2"/>
      <c r="AA154" s="806">
        <f t="shared" si="166"/>
        <v>0</v>
      </c>
      <c r="AB154" s="2"/>
      <c r="AC154" s="2"/>
      <c r="AD154" s="2"/>
      <c r="AE154" s="2"/>
      <c r="AF154" s="2"/>
      <c r="AG154" s="2"/>
      <c r="AH154" s="2"/>
      <c r="AI154" s="2"/>
      <c r="AJ154" s="2"/>
      <c r="AK154" s="2"/>
      <c r="AL154" s="2"/>
      <c r="AM154" s="2"/>
      <c r="AN154" s="806">
        <f t="shared" si="167"/>
        <v>0</v>
      </c>
      <c r="AO154" s="806">
        <f t="shared" si="168"/>
        <v>0</v>
      </c>
      <c r="AP154" s="806">
        <f t="shared" si="169"/>
        <v>0</v>
      </c>
      <c r="AQ154" s="806">
        <f t="shared" si="170"/>
        <v>0</v>
      </c>
      <c r="AR154" s="806">
        <f t="shared" si="171"/>
        <v>130000</v>
      </c>
      <c r="AS154" s="806">
        <f t="shared" si="172"/>
        <v>45000</v>
      </c>
      <c r="AT154" s="806">
        <f t="shared" si="172"/>
        <v>0</v>
      </c>
      <c r="AU154" s="2"/>
      <c r="AV154" s="2"/>
      <c r="AW154" s="2"/>
      <c r="AX154" s="2"/>
      <c r="AY154" s="2"/>
      <c r="AZ154" s="2"/>
      <c r="BA154" s="2"/>
      <c r="BB154" s="2"/>
      <c r="BC154" s="2"/>
      <c r="BD154" s="2"/>
      <c r="BE154" s="2"/>
      <c r="BF154" s="2"/>
      <c r="BG154" s="806">
        <f t="shared" si="147"/>
        <v>0</v>
      </c>
      <c r="BH154" s="796"/>
      <c r="BI154" s="807"/>
      <c r="BJ154" s="807"/>
      <c r="BK154" s="807"/>
      <c r="BL154" s="807"/>
      <c r="BM154" s="807"/>
      <c r="BN154" s="807"/>
      <c r="BO154" s="807"/>
      <c r="BP154" s="807"/>
      <c r="BQ154" s="807"/>
      <c r="BR154" s="807"/>
      <c r="BS154" s="807"/>
      <c r="BT154" s="806">
        <f t="shared" si="148"/>
        <v>0</v>
      </c>
      <c r="CG154" s="806">
        <f t="shared" si="126"/>
        <v>0</v>
      </c>
      <c r="CM154">
        <v>10000</v>
      </c>
      <c r="CN154">
        <v>20000</v>
      </c>
      <c r="CO154">
        <v>20000</v>
      </c>
      <c r="CP154">
        <v>20000</v>
      </c>
      <c r="CQ154">
        <v>20000</v>
      </c>
      <c r="CR154">
        <v>20000</v>
      </c>
      <c r="CS154">
        <v>20000</v>
      </c>
      <c r="CT154" s="806">
        <f t="shared" si="92"/>
        <v>130000</v>
      </c>
      <c r="CU154">
        <v>20000</v>
      </c>
      <c r="CV154">
        <v>25000</v>
      </c>
      <c r="DG154" s="806">
        <f t="shared" si="118"/>
        <v>45000</v>
      </c>
    </row>
    <row r="155" spans="1:111" x14ac:dyDescent="0.25">
      <c r="A155" s="8"/>
      <c r="C155" t="s">
        <v>1053</v>
      </c>
      <c r="E155" t="s">
        <v>279</v>
      </c>
      <c r="H155" s="802">
        <v>75000</v>
      </c>
      <c r="I155" s="803">
        <f t="shared" si="161"/>
        <v>0</v>
      </c>
      <c r="J155" s="803">
        <f t="shared" si="162"/>
        <v>0</v>
      </c>
      <c r="K155" s="809">
        <f t="shared" si="163"/>
        <v>75000</v>
      </c>
      <c r="L155" s="810">
        <f t="shared" si="164"/>
        <v>75000</v>
      </c>
      <c r="M155" s="394">
        <f t="shared" si="165"/>
        <v>0</v>
      </c>
      <c r="N155" s="2"/>
      <c r="O155" s="2"/>
      <c r="P155" s="2"/>
      <c r="Q155" s="2"/>
      <c r="R155" s="2"/>
      <c r="S155" s="2"/>
      <c r="T155" s="2"/>
      <c r="U155" s="2"/>
      <c r="V155" s="2"/>
      <c r="W155" s="2"/>
      <c r="X155" s="2"/>
      <c r="Y155" s="2"/>
      <c r="Z155" s="2"/>
      <c r="AA155" s="806">
        <f t="shared" si="166"/>
        <v>0</v>
      </c>
      <c r="AB155" s="2"/>
      <c r="AC155" s="2"/>
      <c r="AD155" s="2"/>
      <c r="AE155" s="2"/>
      <c r="AF155" s="2"/>
      <c r="AG155" s="2"/>
      <c r="AH155" s="2"/>
      <c r="AI155" s="2"/>
      <c r="AJ155" s="2"/>
      <c r="AK155" s="2"/>
      <c r="AL155" s="2"/>
      <c r="AM155" s="2"/>
      <c r="AN155" s="806">
        <f t="shared" si="167"/>
        <v>0</v>
      </c>
      <c r="AO155" s="806">
        <f t="shared" si="168"/>
        <v>0</v>
      </c>
      <c r="AP155" s="806">
        <f t="shared" si="169"/>
        <v>0</v>
      </c>
      <c r="AQ155" s="806">
        <f t="shared" si="170"/>
        <v>0</v>
      </c>
      <c r="AR155" s="806">
        <f t="shared" si="171"/>
        <v>60000</v>
      </c>
      <c r="AS155" s="806">
        <f t="shared" si="172"/>
        <v>15000</v>
      </c>
      <c r="AT155" s="806">
        <f t="shared" si="172"/>
        <v>0</v>
      </c>
      <c r="AU155" s="2"/>
      <c r="AV155" s="2"/>
      <c r="AW155" s="2"/>
      <c r="AX155" s="2"/>
      <c r="AY155" s="2"/>
      <c r="AZ155" s="2"/>
      <c r="BA155" s="2"/>
      <c r="BB155" s="2"/>
      <c r="BC155" s="2"/>
      <c r="BD155" s="2"/>
      <c r="BE155" s="2"/>
      <c r="BF155" s="2"/>
      <c r="BG155" s="806">
        <f t="shared" si="147"/>
        <v>0</v>
      </c>
      <c r="BH155" s="796"/>
      <c r="BI155" s="807"/>
      <c r="BJ155" s="807"/>
      <c r="BK155" s="807"/>
      <c r="BL155" s="807"/>
      <c r="BM155" s="807"/>
      <c r="BN155" s="807"/>
      <c r="BO155" s="807"/>
      <c r="BP155" s="807"/>
      <c r="BQ155" s="807"/>
      <c r="BR155" s="807"/>
      <c r="BS155" s="807"/>
      <c r="BT155" s="806">
        <f t="shared" si="148"/>
        <v>0</v>
      </c>
      <c r="CG155" s="806">
        <f t="shared" si="126"/>
        <v>0</v>
      </c>
      <c r="CP155">
        <v>15000</v>
      </c>
      <c r="CQ155">
        <v>15000</v>
      </c>
      <c r="CR155">
        <v>15000</v>
      </c>
      <c r="CS155">
        <v>15000</v>
      </c>
      <c r="CT155" s="806">
        <f t="shared" si="92"/>
        <v>60000</v>
      </c>
      <c r="CU155">
        <v>15000</v>
      </c>
      <c r="DG155" s="806">
        <f t="shared" si="118"/>
        <v>15000</v>
      </c>
    </row>
    <row r="156" spans="1:111" x14ac:dyDescent="0.25">
      <c r="A156" s="8"/>
      <c r="C156" t="s">
        <v>133</v>
      </c>
      <c r="E156" t="s">
        <v>1027</v>
      </c>
      <c r="H156" s="802">
        <f>1300*20</f>
        <v>26000</v>
      </c>
      <c r="I156" s="803">
        <f t="shared" si="161"/>
        <v>0</v>
      </c>
      <c r="J156" s="803">
        <f t="shared" si="162"/>
        <v>0</v>
      </c>
      <c r="K156" s="809">
        <f t="shared" si="163"/>
        <v>26000</v>
      </c>
      <c r="L156" s="810">
        <f t="shared" si="164"/>
        <v>26000</v>
      </c>
      <c r="M156" s="394">
        <f t="shared" si="165"/>
        <v>0</v>
      </c>
      <c r="N156" s="2"/>
      <c r="O156" s="2"/>
      <c r="P156" s="2"/>
      <c r="Q156" s="2"/>
      <c r="R156" s="2"/>
      <c r="S156" s="2"/>
      <c r="T156" s="2"/>
      <c r="U156" s="2"/>
      <c r="V156" s="2"/>
      <c r="W156" s="2"/>
      <c r="X156" s="2"/>
      <c r="Y156" s="2"/>
      <c r="Z156" s="2"/>
      <c r="AA156" s="806">
        <f t="shared" si="166"/>
        <v>0</v>
      </c>
      <c r="AB156" s="2"/>
      <c r="AC156" s="2"/>
      <c r="AD156" s="2"/>
      <c r="AE156" s="2"/>
      <c r="AF156" s="2"/>
      <c r="AG156" s="2"/>
      <c r="AH156" s="2"/>
      <c r="AI156" s="2"/>
      <c r="AJ156" s="2"/>
      <c r="AK156" s="2"/>
      <c r="AL156" s="2"/>
      <c r="AM156" s="2"/>
      <c r="AN156" s="806">
        <f t="shared" si="167"/>
        <v>0</v>
      </c>
      <c r="AO156" s="806">
        <f t="shared" si="168"/>
        <v>0</v>
      </c>
      <c r="AP156" s="806">
        <f t="shared" si="169"/>
        <v>0</v>
      </c>
      <c r="AQ156" s="806">
        <f t="shared" si="170"/>
        <v>0</v>
      </c>
      <c r="AR156" s="806">
        <f t="shared" si="171"/>
        <v>10000</v>
      </c>
      <c r="AS156" s="806">
        <f t="shared" si="172"/>
        <v>16000</v>
      </c>
      <c r="AT156" s="806">
        <f t="shared" si="172"/>
        <v>0</v>
      </c>
      <c r="AU156" s="2"/>
      <c r="AV156" s="2"/>
      <c r="AW156" s="2"/>
      <c r="AX156" s="2"/>
      <c r="AY156" s="2"/>
      <c r="AZ156" s="2"/>
      <c r="BA156" s="2"/>
      <c r="BB156" s="2"/>
      <c r="BC156" s="2"/>
      <c r="BD156" s="2"/>
      <c r="BE156" s="2"/>
      <c r="BF156" s="2"/>
      <c r="BG156" s="806">
        <f t="shared" si="147"/>
        <v>0</v>
      </c>
      <c r="BH156" s="796"/>
      <c r="BI156" s="807"/>
      <c r="BJ156" s="807"/>
      <c r="BK156" s="807"/>
      <c r="BL156" s="807"/>
      <c r="BM156" s="807"/>
      <c r="BN156" s="807"/>
      <c r="BO156" s="807"/>
      <c r="BP156" s="807"/>
      <c r="BQ156" s="807"/>
      <c r="BR156" s="807"/>
      <c r="BS156" s="807"/>
      <c r="BT156" s="806">
        <f t="shared" si="148"/>
        <v>0</v>
      </c>
      <c r="CG156" s="806">
        <f t="shared" si="126"/>
        <v>0</v>
      </c>
      <c r="CL156">
        <v>10000</v>
      </c>
      <c r="CT156" s="806">
        <f t="shared" si="92"/>
        <v>10000</v>
      </c>
      <c r="CU156">
        <v>16000</v>
      </c>
      <c r="DG156" s="806">
        <f t="shared" si="118"/>
        <v>16000</v>
      </c>
    </row>
    <row r="157" spans="1:111" s="797" customFormat="1" x14ac:dyDescent="0.25">
      <c r="A157" s="797" t="s">
        <v>1054</v>
      </c>
      <c r="H157" s="813">
        <f t="shared" ref="H157:N157" si="173">SUM(H151:H156)</f>
        <v>681000</v>
      </c>
      <c r="I157" s="813">
        <f t="shared" si="173"/>
        <v>0</v>
      </c>
      <c r="J157" s="813">
        <f t="shared" si="173"/>
        <v>0</v>
      </c>
      <c r="K157" s="813">
        <f t="shared" si="173"/>
        <v>681000</v>
      </c>
      <c r="L157" s="813">
        <f t="shared" si="173"/>
        <v>681000</v>
      </c>
      <c r="M157" s="813">
        <f t="shared" si="173"/>
        <v>0</v>
      </c>
      <c r="N157" s="813">
        <f t="shared" si="173"/>
        <v>0</v>
      </c>
      <c r="AA157" s="855">
        <f>SUM(AA151:AA156)</f>
        <v>0</v>
      </c>
      <c r="AB157" s="815"/>
      <c r="AC157" s="815"/>
      <c r="AD157" s="815"/>
      <c r="AE157" s="815"/>
      <c r="AF157" s="815"/>
      <c r="AG157" s="815"/>
      <c r="AH157" s="815"/>
      <c r="AI157" s="815"/>
      <c r="AJ157" s="815"/>
      <c r="AK157" s="815"/>
      <c r="AL157" s="815"/>
      <c r="AM157" s="815"/>
      <c r="AN157" s="855">
        <f t="shared" ref="AN157:AT157" si="174">SUM(AN151:AN156)</f>
        <v>0</v>
      </c>
      <c r="AO157" s="855">
        <f t="shared" si="174"/>
        <v>0</v>
      </c>
      <c r="AP157" s="855">
        <f t="shared" si="174"/>
        <v>0</v>
      </c>
      <c r="AQ157" s="855">
        <f t="shared" si="174"/>
        <v>0</v>
      </c>
      <c r="AR157" s="855">
        <f t="shared" si="174"/>
        <v>545000</v>
      </c>
      <c r="AS157" s="855">
        <f t="shared" si="174"/>
        <v>136000</v>
      </c>
      <c r="AT157" s="855">
        <f t="shared" si="174"/>
        <v>0</v>
      </c>
      <c r="BG157" s="816">
        <f t="shared" si="147"/>
        <v>0</v>
      </c>
      <c r="BH157" s="813">
        <f t="shared" ref="BH157" si="175">SUM(BH151:BH156)</f>
        <v>0</v>
      </c>
      <c r="BI157" s="806">
        <f>SUM(BI151:BI156)</f>
        <v>0</v>
      </c>
      <c r="BJ157" s="806">
        <f t="shared" ref="BJ157:BS157" si="176">SUM(BJ151:BJ156)</f>
        <v>0</v>
      </c>
      <c r="BK157" s="806">
        <f t="shared" si="176"/>
        <v>0</v>
      </c>
      <c r="BL157" s="806">
        <f t="shared" si="176"/>
        <v>0</v>
      </c>
      <c r="BM157" s="806">
        <f t="shared" si="176"/>
        <v>0</v>
      </c>
      <c r="BN157" s="806">
        <f t="shared" si="176"/>
        <v>0</v>
      </c>
      <c r="BO157" s="806">
        <f t="shared" si="176"/>
        <v>0</v>
      </c>
      <c r="BP157" s="806">
        <f t="shared" si="176"/>
        <v>0</v>
      </c>
      <c r="BQ157" s="806">
        <f t="shared" si="176"/>
        <v>0</v>
      </c>
      <c r="BR157" s="806">
        <f t="shared" si="176"/>
        <v>0</v>
      </c>
      <c r="BS157" s="806">
        <f t="shared" si="176"/>
        <v>0</v>
      </c>
      <c r="BT157" s="816">
        <f t="shared" si="148"/>
        <v>0</v>
      </c>
      <c r="BU157" s="806">
        <f>SUM(BU151:BU156)</f>
        <v>0</v>
      </c>
      <c r="BV157" s="806">
        <f t="shared" ref="BV157:CE157" si="177">SUM(BV151:BV156)</f>
        <v>0</v>
      </c>
      <c r="BW157" s="806">
        <f t="shared" si="177"/>
        <v>0</v>
      </c>
      <c r="BX157" s="806">
        <f t="shared" si="177"/>
        <v>0</v>
      </c>
      <c r="BY157" s="806">
        <f t="shared" si="177"/>
        <v>0</v>
      </c>
      <c r="BZ157" s="806">
        <f t="shared" si="177"/>
        <v>0</v>
      </c>
      <c r="CA157" s="806">
        <f t="shared" si="177"/>
        <v>0</v>
      </c>
      <c r="CB157" s="806">
        <f t="shared" si="177"/>
        <v>0</v>
      </c>
      <c r="CC157" s="806">
        <f t="shared" si="177"/>
        <v>0</v>
      </c>
      <c r="CD157" s="806">
        <f t="shared" si="177"/>
        <v>0</v>
      </c>
      <c r="CE157" s="806">
        <f t="shared" si="177"/>
        <v>0</v>
      </c>
      <c r="CF157" s="816">
        <f t="shared" ref="CF157" si="178">SUM(BT157:CE157)</f>
        <v>0</v>
      </c>
      <c r="CG157" s="816">
        <f t="shared" si="126"/>
        <v>0</v>
      </c>
      <c r="CH157" s="806">
        <f>SUM(CH151:CH156)</f>
        <v>0</v>
      </c>
      <c r="CI157" s="806">
        <f t="shared" ref="CI157:CR157" si="179">SUM(CI151:CI156)</f>
        <v>0</v>
      </c>
      <c r="CJ157" s="806">
        <f t="shared" si="179"/>
        <v>10000</v>
      </c>
      <c r="CK157" s="806">
        <f t="shared" si="179"/>
        <v>30000</v>
      </c>
      <c r="CL157" s="806">
        <f t="shared" si="179"/>
        <v>45000</v>
      </c>
      <c r="CM157" s="806">
        <f t="shared" si="179"/>
        <v>40000</v>
      </c>
      <c r="CN157" s="806">
        <f t="shared" si="179"/>
        <v>70000</v>
      </c>
      <c r="CO157" s="806">
        <f t="shared" si="179"/>
        <v>50000</v>
      </c>
      <c r="CP157" s="806">
        <f t="shared" si="179"/>
        <v>85000</v>
      </c>
      <c r="CQ157" s="806">
        <f t="shared" si="179"/>
        <v>65000</v>
      </c>
      <c r="CR157" s="806">
        <f t="shared" si="179"/>
        <v>85000</v>
      </c>
      <c r="CS157" s="816">
        <f t="shared" ref="CS157" si="180">SUM(CG157:CR157)</f>
        <v>480000</v>
      </c>
      <c r="CT157" s="816">
        <f t="shared" si="92"/>
        <v>960000</v>
      </c>
      <c r="CU157" s="806">
        <f>SUM(CU151:CU156)</f>
        <v>86000</v>
      </c>
      <c r="CV157" s="806">
        <f t="shared" ref="CV157:DE157" si="181">SUM(CV151:CV156)</f>
        <v>40000</v>
      </c>
      <c r="CW157" s="806">
        <f t="shared" si="181"/>
        <v>10000</v>
      </c>
      <c r="CX157" s="806">
        <f t="shared" si="181"/>
        <v>0</v>
      </c>
      <c r="CY157" s="806">
        <f t="shared" si="181"/>
        <v>0</v>
      </c>
      <c r="CZ157" s="806">
        <f t="shared" si="181"/>
        <v>0</v>
      </c>
      <c r="DA157" s="806">
        <f t="shared" si="181"/>
        <v>0</v>
      </c>
      <c r="DB157" s="806">
        <f t="shared" si="181"/>
        <v>0</v>
      </c>
      <c r="DC157" s="806">
        <f t="shared" si="181"/>
        <v>0</v>
      </c>
      <c r="DD157" s="806">
        <f t="shared" si="181"/>
        <v>0</v>
      </c>
      <c r="DE157" s="806">
        <f t="shared" si="181"/>
        <v>0</v>
      </c>
      <c r="DF157" s="816">
        <f t="shared" ref="DF157" si="182">SUM(CT157:DE157)</f>
        <v>1096000</v>
      </c>
      <c r="DG157" s="816">
        <f t="shared" si="118"/>
        <v>1232000</v>
      </c>
    </row>
    <row r="158" spans="1:111" x14ac:dyDescent="0.25">
      <c r="A158" s="257" t="s">
        <v>1055</v>
      </c>
      <c r="B158" s="821" t="s">
        <v>1056</v>
      </c>
      <c r="C158" s="3" t="s">
        <v>89</v>
      </c>
      <c r="D158" s="371"/>
      <c r="E158" s="3" t="s">
        <v>1027</v>
      </c>
      <c r="F158" s="847">
        <v>961</v>
      </c>
      <c r="G158" s="3"/>
      <c r="H158" s="821">
        <v>124000</v>
      </c>
      <c r="I158" s="803">
        <f t="shared" ref="I158:I164" si="183">+AA158+AN158+AO158</f>
        <v>0</v>
      </c>
      <c r="J158" s="803">
        <f t="shared" ref="J158:J164" si="184">SUM(BH158:BM158)</f>
        <v>0</v>
      </c>
      <c r="K158" s="809">
        <f t="shared" ref="K158:K164" si="185">+H158-I158</f>
        <v>124000</v>
      </c>
      <c r="L158" s="810">
        <f t="shared" ref="L158:L164" si="186">+AA158+AN158+AO158+BT158+CG158+CT158+DG158</f>
        <v>124000</v>
      </c>
      <c r="M158" s="394">
        <f t="shared" ref="M158:M164" si="187">+IF(G158&gt;0,G158-L158,H158-L158)</f>
        <v>0</v>
      </c>
      <c r="N158" s="2"/>
      <c r="O158" s="2"/>
      <c r="P158" s="2"/>
      <c r="Q158" s="2"/>
      <c r="R158" s="2"/>
      <c r="S158" s="2"/>
      <c r="T158" s="2"/>
      <c r="U158" s="2"/>
      <c r="V158" s="2"/>
      <c r="W158" s="2"/>
      <c r="X158" s="2"/>
      <c r="Y158" s="2"/>
      <c r="Z158" s="2"/>
      <c r="AA158" s="806">
        <f t="shared" ref="AA158:AA164" si="188">SUM(O158:Z158)</f>
        <v>0</v>
      </c>
      <c r="AB158" s="2"/>
      <c r="AC158" s="2"/>
      <c r="AD158" s="2"/>
      <c r="AE158" s="2"/>
      <c r="AF158" s="2"/>
      <c r="AG158" s="2"/>
      <c r="AH158" s="2"/>
      <c r="AI158" s="2"/>
      <c r="AJ158" s="2"/>
      <c r="AK158" s="2"/>
      <c r="AL158" s="2"/>
      <c r="AM158" s="2"/>
      <c r="AN158" s="806">
        <f t="shared" ref="AN158:AN164" si="189">SUM(AB158:AM158)</f>
        <v>0</v>
      </c>
      <c r="AO158" s="806">
        <f t="shared" ref="AO158:AO164" si="190">SUM(AU158:BF158)</f>
        <v>0</v>
      </c>
      <c r="AP158" s="806">
        <f t="shared" ref="AP158:AP164" si="191">+BT158</f>
        <v>27000</v>
      </c>
      <c r="AQ158" s="806">
        <f t="shared" ref="AQ158:AQ164" si="192">+CG158</f>
        <v>70000</v>
      </c>
      <c r="AR158" s="806">
        <f t="shared" ref="AR158:AR164" si="193">+CT158</f>
        <v>27000</v>
      </c>
      <c r="AS158" s="806">
        <f t="shared" ref="AS158:AT164" si="194">+DG158</f>
        <v>0</v>
      </c>
      <c r="AT158" s="806">
        <f t="shared" si="194"/>
        <v>0</v>
      </c>
      <c r="AU158" s="2"/>
      <c r="AV158" s="2"/>
      <c r="AW158" s="2"/>
      <c r="AX158" s="2"/>
      <c r="AY158" s="2"/>
      <c r="AZ158" s="2"/>
      <c r="BA158" s="2"/>
      <c r="BB158" s="2"/>
      <c r="BC158" s="2"/>
      <c r="BD158" s="2"/>
      <c r="BE158" s="2"/>
      <c r="BF158" s="2"/>
      <c r="BG158" s="806">
        <f t="shared" si="147"/>
        <v>0</v>
      </c>
      <c r="BH158" s="796"/>
      <c r="BI158" s="807"/>
      <c r="BJ158" s="807"/>
      <c r="BK158" s="807"/>
      <c r="BL158" s="807"/>
      <c r="BM158" s="807"/>
      <c r="BN158" s="807"/>
      <c r="BO158" s="807">
        <v>2000</v>
      </c>
      <c r="BP158" s="807">
        <v>5000</v>
      </c>
      <c r="BQ158" s="807">
        <v>20000</v>
      </c>
      <c r="BR158" s="807"/>
      <c r="BS158" s="807"/>
      <c r="BT158" s="806">
        <f t="shared" si="148"/>
        <v>27000</v>
      </c>
      <c r="BY158">
        <v>20000</v>
      </c>
      <c r="CA158">
        <v>10000</v>
      </c>
      <c r="CC158">
        <v>20000</v>
      </c>
      <c r="CE158">
        <v>10000</v>
      </c>
      <c r="CF158">
        <v>10000</v>
      </c>
      <c r="CG158" s="806">
        <f t="shared" si="126"/>
        <v>70000</v>
      </c>
      <c r="CH158">
        <v>7000</v>
      </c>
      <c r="CI158">
        <v>10000</v>
      </c>
      <c r="CJ158">
        <v>10000</v>
      </c>
      <c r="CT158" s="806">
        <f t="shared" si="92"/>
        <v>27000</v>
      </c>
      <c r="DG158" s="806">
        <f t="shared" si="118"/>
        <v>0</v>
      </c>
    </row>
    <row r="159" spans="1:111" x14ac:dyDescent="0.25">
      <c r="A159" s="16"/>
      <c r="B159" s="802"/>
      <c r="C159" t="s">
        <v>1057</v>
      </c>
      <c r="D159" s="370"/>
      <c r="E159" t="s">
        <v>1027</v>
      </c>
      <c r="F159" s="847">
        <v>962</v>
      </c>
      <c r="H159" s="802">
        <v>131000</v>
      </c>
      <c r="I159" s="803">
        <f t="shared" si="183"/>
        <v>0</v>
      </c>
      <c r="J159" s="803">
        <f t="shared" si="184"/>
        <v>0</v>
      </c>
      <c r="K159" s="809">
        <f t="shared" si="185"/>
        <v>131000</v>
      </c>
      <c r="L159" s="810">
        <f t="shared" si="186"/>
        <v>131000</v>
      </c>
      <c r="M159" s="394">
        <f t="shared" si="187"/>
        <v>0</v>
      </c>
      <c r="N159" s="2"/>
      <c r="O159" s="2"/>
      <c r="P159" s="2"/>
      <c r="Q159" s="2"/>
      <c r="R159" s="2"/>
      <c r="S159" s="2"/>
      <c r="T159" s="2"/>
      <c r="U159" s="2"/>
      <c r="V159" s="2"/>
      <c r="W159" s="2"/>
      <c r="X159" s="2"/>
      <c r="Y159" s="2"/>
      <c r="Z159" s="2"/>
      <c r="AA159" s="806">
        <f t="shared" si="188"/>
        <v>0</v>
      </c>
      <c r="AB159" s="2"/>
      <c r="AC159" s="2"/>
      <c r="AD159" s="2"/>
      <c r="AE159" s="2"/>
      <c r="AF159" s="2"/>
      <c r="AG159" s="2"/>
      <c r="AH159" s="2"/>
      <c r="AI159" s="2"/>
      <c r="AJ159" s="2"/>
      <c r="AK159" s="2"/>
      <c r="AL159" s="2"/>
      <c r="AM159" s="2"/>
      <c r="AN159" s="806">
        <f t="shared" si="189"/>
        <v>0</v>
      </c>
      <c r="AO159" s="806">
        <f t="shared" si="190"/>
        <v>0</v>
      </c>
      <c r="AP159" s="806">
        <f t="shared" si="191"/>
        <v>40500</v>
      </c>
      <c r="AQ159" s="806">
        <f t="shared" si="192"/>
        <v>55000</v>
      </c>
      <c r="AR159" s="806">
        <f t="shared" si="193"/>
        <v>35500</v>
      </c>
      <c r="AS159" s="806">
        <f t="shared" si="194"/>
        <v>0</v>
      </c>
      <c r="AT159" s="806">
        <f t="shared" si="194"/>
        <v>0</v>
      </c>
      <c r="AU159" s="2"/>
      <c r="AV159" s="2"/>
      <c r="AW159" s="2"/>
      <c r="AX159" s="2"/>
      <c r="AY159" s="2"/>
      <c r="AZ159" s="2"/>
      <c r="BA159" s="2"/>
      <c r="BB159" s="2"/>
      <c r="BC159" s="2"/>
      <c r="BD159" s="2"/>
      <c r="BE159" s="2"/>
      <c r="BF159" s="2"/>
      <c r="BG159" s="806">
        <f t="shared" si="147"/>
        <v>0</v>
      </c>
      <c r="BH159" s="796"/>
      <c r="BI159" s="807"/>
      <c r="BJ159" s="807"/>
      <c r="BK159" s="807"/>
      <c r="BL159" s="807"/>
      <c r="BM159" s="807"/>
      <c r="BN159" s="807">
        <v>3500</v>
      </c>
      <c r="BO159" s="807">
        <v>3500</v>
      </c>
      <c r="BP159" s="807">
        <v>3500</v>
      </c>
      <c r="BQ159" s="807">
        <v>5000</v>
      </c>
      <c r="BR159" s="807">
        <v>20000</v>
      </c>
      <c r="BS159" s="807">
        <v>5000</v>
      </c>
      <c r="BT159" s="806">
        <f t="shared" si="148"/>
        <v>40500</v>
      </c>
      <c r="BU159">
        <v>5000</v>
      </c>
      <c r="BV159">
        <v>5000</v>
      </c>
      <c r="BW159">
        <v>5000</v>
      </c>
      <c r="BX159">
        <v>5000</v>
      </c>
      <c r="BY159">
        <v>5000</v>
      </c>
      <c r="CA159">
        <v>10000</v>
      </c>
      <c r="CC159">
        <v>5000</v>
      </c>
      <c r="CE159">
        <v>15000</v>
      </c>
      <c r="CG159" s="806">
        <f t="shared" si="126"/>
        <v>55000</v>
      </c>
      <c r="CI159">
        <v>18000</v>
      </c>
      <c r="CJ159">
        <v>17500</v>
      </c>
      <c r="CT159" s="806">
        <f t="shared" si="92"/>
        <v>35500</v>
      </c>
      <c r="DG159" s="806">
        <f t="shared" si="118"/>
        <v>0</v>
      </c>
    </row>
    <row r="160" spans="1:111" x14ac:dyDescent="0.25">
      <c r="A160" s="16"/>
      <c r="B160" s="802"/>
      <c r="C160" t="s">
        <v>1058</v>
      </c>
      <c r="D160" s="370"/>
      <c r="E160" t="s">
        <v>279</v>
      </c>
      <c r="H160" s="802">
        <v>25000</v>
      </c>
      <c r="I160" s="803">
        <f t="shared" si="183"/>
        <v>0</v>
      </c>
      <c r="J160" s="803">
        <f t="shared" si="184"/>
        <v>0</v>
      </c>
      <c r="K160" s="809">
        <f t="shared" si="185"/>
        <v>25000</v>
      </c>
      <c r="L160" s="810">
        <f t="shared" si="186"/>
        <v>25000</v>
      </c>
      <c r="M160" s="394">
        <f t="shared" si="187"/>
        <v>0</v>
      </c>
      <c r="N160" s="2"/>
      <c r="O160" s="2"/>
      <c r="P160" s="2"/>
      <c r="Q160" s="2"/>
      <c r="R160" s="2"/>
      <c r="S160" s="2"/>
      <c r="T160" s="2"/>
      <c r="U160" s="2"/>
      <c r="V160" s="2"/>
      <c r="W160" s="2"/>
      <c r="X160" s="2"/>
      <c r="Y160" s="2"/>
      <c r="Z160" s="2"/>
      <c r="AA160" s="806">
        <f t="shared" si="188"/>
        <v>0</v>
      </c>
      <c r="AB160" s="2"/>
      <c r="AC160" s="2"/>
      <c r="AD160" s="2"/>
      <c r="AE160" s="2"/>
      <c r="AF160" s="2"/>
      <c r="AG160" s="2"/>
      <c r="AH160" s="2"/>
      <c r="AI160" s="2"/>
      <c r="AJ160" s="2"/>
      <c r="AK160" s="2"/>
      <c r="AL160" s="2"/>
      <c r="AM160" s="2"/>
      <c r="AN160" s="806">
        <f t="shared" si="189"/>
        <v>0</v>
      </c>
      <c r="AO160" s="806">
        <f t="shared" si="190"/>
        <v>0</v>
      </c>
      <c r="AP160" s="806">
        <f t="shared" si="191"/>
        <v>16000</v>
      </c>
      <c r="AQ160" s="806">
        <f t="shared" si="192"/>
        <v>9000</v>
      </c>
      <c r="AR160" s="806">
        <f t="shared" si="193"/>
        <v>0</v>
      </c>
      <c r="AS160" s="806">
        <f t="shared" si="194"/>
        <v>0</v>
      </c>
      <c r="AT160" s="806">
        <f t="shared" si="194"/>
        <v>0</v>
      </c>
      <c r="AU160" s="2"/>
      <c r="AV160" s="2"/>
      <c r="AW160" s="2"/>
      <c r="AX160" s="2"/>
      <c r="AY160" s="2"/>
      <c r="AZ160" s="2"/>
      <c r="BA160" s="2"/>
      <c r="BB160" s="2"/>
      <c r="BC160" s="2"/>
      <c r="BD160" s="2"/>
      <c r="BE160" s="2"/>
      <c r="BF160" s="2"/>
      <c r="BG160" s="806">
        <f t="shared" si="147"/>
        <v>0</v>
      </c>
      <c r="BH160" s="796"/>
      <c r="BI160" s="807"/>
      <c r="BJ160" s="807"/>
      <c r="BK160" s="807"/>
      <c r="BL160" s="807"/>
      <c r="BM160" s="807"/>
      <c r="BN160" s="807"/>
      <c r="BO160" s="807"/>
      <c r="BP160" s="807">
        <v>8000</v>
      </c>
      <c r="BQ160" s="807"/>
      <c r="BR160" s="807">
        <v>8000</v>
      </c>
      <c r="BS160" s="807"/>
      <c r="BT160" s="806">
        <f t="shared" si="148"/>
        <v>16000</v>
      </c>
      <c r="BV160">
        <v>9000</v>
      </c>
      <c r="CG160" s="806">
        <f t="shared" si="126"/>
        <v>9000</v>
      </c>
      <c r="CT160" s="806">
        <f t="shared" si="92"/>
        <v>0</v>
      </c>
      <c r="DG160" s="806">
        <f t="shared" si="118"/>
        <v>0</v>
      </c>
    </row>
    <row r="161" spans="1:112" x14ac:dyDescent="0.25">
      <c r="A161" s="16"/>
      <c r="B161" s="802"/>
      <c r="C161" t="s">
        <v>1059</v>
      </c>
      <c r="D161" s="370"/>
      <c r="E161" t="s">
        <v>279</v>
      </c>
      <c r="H161" s="856">
        <v>300000</v>
      </c>
      <c r="I161" s="803">
        <f t="shared" si="183"/>
        <v>0</v>
      </c>
      <c r="J161" s="857">
        <f t="shared" si="184"/>
        <v>0</v>
      </c>
      <c r="K161" s="858">
        <f t="shared" si="185"/>
        <v>300000</v>
      </c>
      <c r="L161" s="859">
        <f t="shared" si="186"/>
        <v>300000</v>
      </c>
      <c r="M161" s="860">
        <f t="shared" si="187"/>
        <v>0</v>
      </c>
      <c r="N161" s="2"/>
      <c r="O161" s="2"/>
      <c r="P161" s="2"/>
      <c r="Q161" s="2"/>
      <c r="R161" s="2"/>
      <c r="S161" s="2"/>
      <c r="T161" s="2"/>
      <c r="U161" s="2"/>
      <c r="V161" s="2"/>
      <c r="W161" s="2"/>
      <c r="X161" s="2"/>
      <c r="Y161" s="2"/>
      <c r="Z161" s="2"/>
      <c r="AA161" s="806">
        <f t="shared" si="188"/>
        <v>0</v>
      </c>
      <c r="AB161" s="2"/>
      <c r="AC161" s="2"/>
      <c r="AD161" s="2"/>
      <c r="AE161" s="2"/>
      <c r="AF161" s="2"/>
      <c r="AG161" s="2"/>
      <c r="AH161" s="2"/>
      <c r="AI161" s="2"/>
      <c r="AJ161" s="2"/>
      <c r="AK161" s="2"/>
      <c r="AL161" s="2"/>
      <c r="AM161" s="2"/>
      <c r="AN161" s="806">
        <f t="shared" si="189"/>
        <v>0</v>
      </c>
      <c r="AO161" s="806">
        <f t="shared" si="190"/>
        <v>0</v>
      </c>
      <c r="AP161" s="806">
        <f t="shared" si="191"/>
        <v>0</v>
      </c>
      <c r="AQ161" s="806">
        <f t="shared" si="192"/>
        <v>0</v>
      </c>
      <c r="AR161" s="806">
        <f t="shared" si="193"/>
        <v>0</v>
      </c>
      <c r="AS161" s="806">
        <f t="shared" si="194"/>
        <v>300000</v>
      </c>
      <c r="AT161" s="806">
        <f t="shared" si="194"/>
        <v>0</v>
      </c>
      <c r="AU161" s="2"/>
      <c r="AV161" s="2"/>
      <c r="AW161" s="2"/>
      <c r="AX161" s="2"/>
      <c r="AY161" s="2"/>
      <c r="AZ161" s="2"/>
      <c r="BA161" s="2"/>
      <c r="BB161" s="2"/>
      <c r="BC161" s="2"/>
      <c r="BD161" s="2"/>
      <c r="BE161" s="2"/>
      <c r="BF161" s="2"/>
      <c r="BG161" s="806">
        <f t="shared" si="147"/>
        <v>0</v>
      </c>
      <c r="BH161" s="796"/>
      <c r="BI161" s="807"/>
      <c r="BJ161" s="807"/>
      <c r="BK161" s="807"/>
      <c r="BL161" s="807"/>
      <c r="BM161" s="807"/>
      <c r="BN161" s="807"/>
      <c r="BO161" s="807"/>
      <c r="BP161" s="807"/>
      <c r="BQ161" s="807"/>
      <c r="BR161" s="807"/>
      <c r="BS161" s="807"/>
      <c r="BT161" s="806">
        <f t="shared" si="148"/>
        <v>0</v>
      </c>
      <c r="CG161" s="806">
        <f t="shared" si="126"/>
        <v>0</v>
      </c>
      <c r="CT161" s="806">
        <f t="shared" si="92"/>
        <v>0</v>
      </c>
      <c r="CU161">
        <v>300000</v>
      </c>
      <c r="DG161" s="806">
        <f t="shared" si="118"/>
        <v>300000</v>
      </c>
    </row>
    <row r="162" spans="1:112" x14ac:dyDescent="0.25">
      <c r="A162" s="8"/>
      <c r="B162" s="802" t="s">
        <v>1056</v>
      </c>
      <c r="C162" t="s">
        <v>90</v>
      </c>
      <c r="E162" t="s">
        <v>279</v>
      </c>
      <c r="H162" s="802"/>
      <c r="I162" s="803">
        <f t="shared" si="183"/>
        <v>0</v>
      </c>
      <c r="J162" s="803">
        <f t="shared" si="184"/>
        <v>0</v>
      </c>
      <c r="K162" s="809">
        <f t="shared" si="185"/>
        <v>0</v>
      </c>
      <c r="L162" s="810">
        <f t="shared" si="186"/>
        <v>0</v>
      </c>
      <c r="M162" s="394">
        <f t="shared" si="187"/>
        <v>0</v>
      </c>
      <c r="N162" s="2"/>
      <c r="O162" s="2"/>
      <c r="P162" s="2"/>
      <c r="Q162" s="2"/>
      <c r="R162" s="2"/>
      <c r="S162" s="2"/>
      <c r="T162" s="2"/>
      <c r="U162" s="2"/>
      <c r="V162" s="2"/>
      <c r="W162" s="2"/>
      <c r="X162" s="2"/>
      <c r="Y162" s="2"/>
      <c r="Z162" s="2"/>
      <c r="AA162" s="806">
        <f t="shared" si="188"/>
        <v>0</v>
      </c>
      <c r="AB162" s="2"/>
      <c r="AC162" s="2"/>
      <c r="AD162" s="2"/>
      <c r="AE162" s="2"/>
      <c r="AF162" s="2"/>
      <c r="AG162" s="2"/>
      <c r="AH162" s="2"/>
      <c r="AI162" s="2"/>
      <c r="AJ162" s="2"/>
      <c r="AK162" s="2"/>
      <c r="AL162" s="2"/>
      <c r="AM162" s="2"/>
      <c r="AN162" s="806">
        <f t="shared" si="189"/>
        <v>0</v>
      </c>
      <c r="AO162" s="806">
        <f t="shared" si="190"/>
        <v>0</v>
      </c>
      <c r="AP162" s="806">
        <f t="shared" si="191"/>
        <v>0</v>
      </c>
      <c r="AQ162" s="806">
        <f t="shared" si="192"/>
        <v>0</v>
      </c>
      <c r="AR162" s="806">
        <f t="shared" si="193"/>
        <v>0</v>
      </c>
      <c r="AS162" s="806">
        <f t="shared" si="194"/>
        <v>0</v>
      </c>
      <c r="AT162" s="806">
        <f t="shared" si="194"/>
        <v>0</v>
      </c>
      <c r="AU162" s="2"/>
      <c r="AV162" s="2"/>
      <c r="AW162" s="2"/>
      <c r="AX162" s="2"/>
      <c r="AY162" s="2"/>
      <c r="AZ162" s="2"/>
      <c r="BA162" s="2"/>
      <c r="BB162" s="2"/>
      <c r="BC162" s="2"/>
      <c r="BD162" s="2"/>
      <c r="BE162" s="2"/>
      <c r="BF162" s="2"/>
      <c r="BG162" s="806">
        <f t="shared" si="147"/>
        <v>0</v>
      </c>
      <c r="BH162" s="796"/>
      <c r="BI162" s="807"/>
      <c r="BJ162" s="807"/>
      <c r="BK162" s="807"/>
      <c r="BL162" s="807"/>
      <c r="BM162" s="807"/>
      <c r="BN162" s="807"/>
      <c r="BO162" s="807"/>
      <c r="BP162" s="807"/>
      <c r="BQ162" s="807"/>
      <c r="BR162" s="807"/>
      <c r="BS162" s="807"/>
      <c r="BT162" s="806">
        <f t="shared" si="148"/>
        <v>0</v>
      </c>
      <c r="CG162" s="806">
        <f t="shared" si="126"/>
        <v>0</v>
      </c>
      <c r="CT162" s="806">
        <f t="shared" si="92"/>
        <v>0</v>
      </c>
      <c r="DG162" s="806">
        <f t="shared" si="118"/>
        <v>0</v>
      </c>
    </row>
    <row r="163" spans="1:112" x14ac:dyDescent="0.25">
      <c r="A163" s="16"/>
      <c r="B163" s="802" t="s">
        <v>1056</v>
      </c>
      <c r="C163" t="s">
        <v>91</v>
      </c>
      <c r="D163" s="370"/>
      <c r="E163" t="s">
        <v>279</v>
      </c>
      <c r="H163" s="802">
        <v>560000</v>
      </c>
      <c r="I163" s="803">
        <f t="shared" si="183"/>
        <v>0</v>
      </c>
      <c r="J163" s="803">
        <f t="shared" si="184"/>
        <v>0</v>
      </c>
      <c r="K163" s="809">
        <f t="shared" si="185"/>
        <v>560000</v>
      </c>
      <c r="L163" s="810">
        <f t="shared" si="186"/>
        <v>560000</v>
      </c>
      <c r="M163" s="394">
        <f t="shared" si="187"/>
        <v>0</v>
      </c>
      <c r="N163" s="2"/>
      <c r="O163" s="2"/>
      <c r="P163" s="2"/>
      <c r="Q163" s="2"/>
      <c r="R163" s="2"/>
      <c r="S163" s="2"/>
      <c r="T163" s="2"/>
      <c r="U163" s="2"/>
      <c r="V163" s="2"/>
      <c r="W163" s="2"/>
      <c r="X163" s="2"/>
      <c r="Y163" s="2"/>
      <c r="Z163" s="2"/>
      <c r="AA163" s="806">
        <f t="shared" si="188"/>
        <v>0</v>
      </c>
      <c r="AB163" s="2"/>
      <c r="AC163" s="2"/>
      <c r="AD163" s="2"/>
      <c r="AE163" s="2"/>
      <c r="AF163" s="2"/>
      <c r="AG163" s="2"/>
      <c r="AH163" s="2"/>
      <c r="AI163" s="2"/>
      <c r="AJ163" s="2"/>
      <c r="AK163" s="2"/>
      <c r="AL163" s="2"/>
      <c r="AM163" s="2"/>
      <c r="AN163" s="806">
        <f t="shared" si="189"/>
        <v>0</v>
      </c>
      <c r="AO163" s="806">
        <f t="shared" si="190"/>
        <v>0</v>
      </c>
      <c r="AP163" s="806">
        <f t="shared" si="191"/>
        <v>10000</v>
      </c>
      <c r="AQ163" s="806">
        <f t="shared" si="192"/>
        <v>160000</v>
      </c>
      <c r="AR163" s="806">
        <f t="shared" si="193"/>
        <v>190000</v>
      </c>
      <c r="AS163" s="806">
        <f t="shared" si="194"/>
        <v>200000</v>
      </c>
      <c r="AT163" s="806">
        <f t="shared" si="194"/>
        <v>0</v>
      </c>
      <c r="AU163" s="2"/>
      <c r="AV163" s="2"/>
      <c r="AW163" s="2"/>
      <c r="AX163" s="2"/>
      <c r="AY163" s="2"/>
      <c r="AZ163" s="2"/>
      <c r="BA163" s="2"/>
      <c r="BB163" s="2"/>
      <c r="BC163" s="2"/>
      <c r="BD163" s="2"/>
      <c r="BE163" s="2"/>
      <c r="BF163" s="2"/>
      <c r="BG163" s="806">
        <f t="shared" si="147"/>
        <v>0</v>
      </c>
      <c r="BH163" s="796"/>
      <c r="BI163" s="807"/>
      <c r="BJ163" s="807"/>
      <c r="BK163" s="807"/>
      <c r="BL163" s="807"/>
      <c r="BM163" s="807"/>
      <c r="BN163" s="807"/>
      <c r="BO163" s="807"/>
      <c r="BP163" s="807"/>
      <c r="BQ163" s="807"/>
      <c r="BR163" s="807"/>
      <c r="BS163" s="807">
        <v>10000</v>
      </c>
      <c r="BT163" s="806">
        <f t="shared" si="148"/>
        <v>10000</v>
      </c>
      <c r="BU163">
        <v>10000</v>
      </c>
      <c r="BV163">
        <v>10000</v>
      </c>
      <c r="BW163">
        <v>10000</v>
      </c>
      <c r="BX163">
        <v>10000</v>
      </c>
      <c r="BY163">
        <v>10000</v>
      </c>
      <c r="BZ163">
        <v>10000</v>
      </c>
      <c r="CA163">
        <v>10000</v>
      </c>
      <c r="CB163">
        <v>10000</v>
      </c>
      <c r="CC163">
        <v>10000</v>
      </c>
      <c r="CD163">
        <v>10000</v>
      </c>
      <c r="CE163">
        <v>10000</v>
      </c>
      <c r="CF163">
        <v>50000</v>
      </c>
      <c r="CG163" s="806">
        <f t="shared" si="126"/>
        <v>160000</v>
      </c>
      <c r="CH163">
        <v>10000</v>
      </c>
      <c r="CI163">
        <v>10000</v>
      </c>
      <c r="CJ163">
        <v>10000</v>
      </c>
      <c r="CK163">
        <v>10000</v>
      </c>
      <c r="CL163">
        <v>10000</v>
      </c>
      <c r="CO163">
        <v>10000</v>
      </c>
      <c r="CP163">
        <v>10000</v>
      </c>
      <c r="CQ163">
        <v>10000</v>
      </c>
      <c r="CR163">
        <v>10000</v>
      </c>
      <c r="CS163">
        <v>100000</v>
      </c>
      <c r="CT163" s="806">
        <f t="shared" si="92"/>
        <v>190000</v>
      </c>
      <c r="CU163">
        <v>100000</v>
      </c>
      <c r="CV163">
        <v>100000</v>
      </c>
      <c r="DG163" s="806">
        <f t="shared" si="118"/>
        <v>200000</v>
      </c>
    </row>
    <row r="164" spans="1:112" x14ac:dyDescent="0.25">
      <c r="A164" s="17"/>
      <c r="B164" s="812" t="s">
        <v>1056</v>
      </c>
      <c r="C164" s="6" t="s">
        <v>1060</v>
      </c>
      <c r="D164" s="406"/>
      <c r="E164" s="6" t="s">
        <v>279</v>
      </c>
      <c r="F164" s="6"/>
      <c r="G164" s="6"/>
      <c r="H164" s="812">
        <v>113000</v>
      </c>
      <c r="I164" s="803">
        <f t="shared" si="183"/>
        <v>0</v>
      </c>
      <c r="J164" s="803">
        <f t="shared" si="184"/>
        <v>0</v>
      </c>
      <c r="K164" s="809">
        <f t="shared" si="185"/>
        <v>113000</v>
      </c>
      <c r="L164" s="810">
        <f t="shared" si="186"/>
        <v>113000</v>
      </c>
      <c r="M164" s="394">
        <f t="shared" si="187"/>
        <v>0</v>
      </c>
      <c r="N164" s="2"/>
      <c r="O164" s="2"/>
      <c r="P164" s="2"/>
      <c r="Q164" s="2"/>
      <c r="R164" s="2"/>
      <c r="S164" s="2"/>
      <c r="T164" s="2"/>
      <c r="U164" s="2"/>
      <c r="V164" s="2"/>
      <c r="W164" s="2"/>
      <c r="X164" s="2"/>
      <c r="Y164" s="2"/>
      <c r="Z164" s="2"/>
      <c r="AA164" s="806">
        <f t="shared" si="188"/>
        <v>0</v>
      </c>
      <c r="AB164" s="2"/>
      <c r="AC164" s="2"/>
      <c r="AD164" s="2"/>
      <c r="AE164" s="2"/>
      <c r="AF164" s="2"/>
      <c r="AG164" s="2"/>
      <c r="AH164" s="2"/>
      <c r="AI164" s="2"/>
      <c r="AJ164" s="2"/>
      <c r="AK164" s="2"/>
      <c r="AL164" s="2"/>
      <c r="AM164" s="2"/>
      <c r="AN164" s="806">
        <f t="shared" si="189"/>
        <v>0</v>
      </c>
      <c r="AO164" s="806">
        <f t="shared" si="190"/>
        <v>0</v>
      </c>
      <c r="AP164" s="806">
        <f t="shared" si="191"/>
        <v>10000</v>
      </c>
      <c r="AQ164" s="806">
        <f t="shared" si="192"/>
        <v>40000</v>
      </c>
      <c r="AR164" s="806">
        <f t="shared" si="193"/>
        <v>43000</v>
      </c>
      <c r="AS164" s="806">
        <f t="shared" si="194"/>
        <v>20000</v>
      </c>
      <c r="AT164" s="806">
        <f t="shared" si="194"/>
        <v>0</v>
      </c>
      <c r="AU164" s="2"/>
      <c r="AV164" s="2"/>
      <c r="AW164" s="2"/>
      <c r="AX164" s="2"/>
      <c r="AY164" s="2"/>
      <c r="AZ164" s="2"/>
      <c r="BA164" s="2"/>
      <c r="BB164" s="2"/>
      <c r="BC164" s="2"/>
      <c r="BD164" s="2"/>
      <c r="BE164" s="2"/>
      <c r="BF164" s="2"/>
      <c r="BG164" s="806">
        <f t="shared" si="147"/>
        <v>0</v>
      </c>
      <c r="BH164" s="796"/>
      <c r="BI164" s="807"/>
      <c r="BJ164" s="807"/>
      <c r="BK164" s="807"/>
      <c r="BL164" s="807"/>
      <c r="BM164" s="807"/>
      <c r="BN164" s="807"/>
      <c r="BO164" s="807"/>
      <c r="BP164" s="807"/>
      <c r="BQ164" s="807"/>
      <c r="BR164" s="807"/>
      <c r="BS164" s="807">
        <v>10000</v>
      </c>
      <c r="BT164" s="806">
        <f t="shared" si="148"/>
        <v>10000</v>
      </c>
      <c r="BW164">
        <v>10000</v>
      </c>
      <c r="BY164">
        <v>10000</v>
      </c>
      <c r="CA164">
        <v>10000</v>
      </c>
      <c r="CD164">
        <v>10000</v>
      </c>
      <c r="CG164" s="806">
        <f t="shared" si="126"/>
        <v>40000</v>
      </c>
      <c r="CI164">
        <v>10000</v>
      </c>
      <c r="CL164">
        <v>10000</v>
      </c>
      <c r="CN164">
        <v>10000</v>
      </c>
      <c r="CP164">
        <v>3000</v>
      </c>
      <c r="CR164">
        <v>10000</v>
      </c>
      <c r="CT164" s="806">
        <f t="shared" si="92"/>
        <v>43000</v>
      </c>
      <c r="CU164">
        <v>10000</v>
      </c>
      <c r="CW164">
        <v>10000</v>
      </c>
      <c r="DG164" s="806">
        <f t="shared" si="118"/>
        <v>20000</v>
      </c>
    </row>
    <row r="165" spans="1:112" s="797" customFormat="1" x14ac:dyDescent="0.25">
      <c r="A165" s="797" t="s">
        <v>1061</v>
      </c>
      <c r="H165" s="813">
        <f t="shared" ref="H165:N165" si="195">SUM(H158:H164)</f>
        <v>1253000</v>
      </c>
      <c r="I165" s="813">
        <f t="shared" si="195"/>
        <v>0</v>
      </c>
      <c r="J165" s="813">
        <f t="shared" si="195"/>
        <v>0</v>
      </c>
      <c r="K165" s="813">
        <f t="shared" si="195"/>
        <v>1253000</v>
      </c>
      <c r="L165" s="813">
        <f t="shared" si="195"/>
        <v>1253000</v>
      </c>
      <c r="M165" s="813">
        <f t="shared" si="195"/>
        <v>0</v>
      </c>
      <c r="N165" s="813">
        <f t="shared" si="195"/>
        <v>0</v>
      </c>
      <c r="AA165" s="816">
        <f>SUM(AA158:AA164)</f>
        <v>0</v>
      </c>
      <c r="AB165" s="816">
        <f t="shared" ref="AB165:AM165" si="196">SUM(P165:AA165)</f>
        <v>0</v>
      </c>
      <c r="AC165" s="816">
        <f t="shared" si="196"/>
        <v>0</v>
      </c>
      <c r="AD165" s="816">
        <f t="shared" si="196"/>
        <v>0</v>
      </c>
      <c r="AE165" s="816">
        <f t="shared" si="196"/>
        <v>0</v>
      </c>
      <c r="AF165" s="816">
        <f t="shared" si="196"/>
        <v>0</v>
      </c>
      <c r="AG165" s="816">
        <f t="shared" si="196"/>
        <v>0</v>
      </c>
      <c r="AH165" s="816">
        <f t="shared" si="196"/>
        <v>0</v>
      </c>
      <c r="AI165" s="816">
        <f t="shared" si="196"/>
        <v>0</v>
      </c>
      <c r="AJ165" s="816">
        <f t="shared" si="196"/>
        <v>0</v>
      </c>
      <c r="AK165" s="816">
        <f t="shared" si="196"/>
        <v>0</v>
      </c>
      <c r="AL165" s="816">
        <f t="shared" si="196"/>
        <v>0</v>
      </c>
      <c r="AM165" s="816">
        <f t="shared" si="196"/>
        <v>0</v>
      </c>
      <c r="AN165" s="816">
        <f t="shared" ref="AN165:AT165" si="197">SUM(AN158:AN164)</f>
        <v>0</v>
      </c>
      <c r="AO165" s="816">
        <f t="shared" si="197"/>
        <v>0</v>
      </c>
      <c r="AP165" s="816">
        <f t="shared" si="197"/>
        <v>103500</v>
      </c>
      <c r="AQ165" s="816">
        <f t="shared" si="197"/>
        <v>334000</v>
      </c>
      <c r="AR165" s="816">
        <f t="shared" si="197"/>
        <v>295500</v>
      </c>
      <c r="AS165" s="816">
        <f t="shared" si="197"/>
        <v>520000</v>
      </c>
      <c r="AT165" s="816">
        <f t="shared" si="197"/>
        <v>0</v>
      </c>
      <c r="BG165" s="816">
        <f t="shared" si="147"/>
        <v>0</v>
      </c>
      <c r="BH165" s="813">
        <f t="shared" ref="BH165" si="198">SUM(BH158:BH164)</f>
        <v>0</v>
      </c>
      <c r="BI165" s="806">
        <f>SUM(BI158:BI164)</f>
        <v>0</v>
      </c>
      <c r="BJ165" s="806">
        <f t="shared" ref="BJ165:BS165" si="199">SUM(BJ158:BJ164)</f>
        <v>0</v>
      </c>
      <c r="BK165" s="806">
        <f t="shared" si="199"/>
        <v>0</v>
      </c>
      <c r="BL165" s="806">
        <f t="shared" si="199"/>
        <v>0</v>
      </c>
      <c r="BM165" s="806">
        <f t="shared" si="199"/>
        <v>0</v>
      </c>
      <c r="BN165" s="806">
        <f t="shared" si="199"/>
        <v>3500</v>
      </c>
      <c r="BO165" s="806">
        <f t="shared" si="199"/>
        <v>5500</v>
      </c>
      <c r="BP165" s="806">
        <f t="shared" si="199"/>
        <v>16500</v>
      </c>
      <c r="BQ165" s="806">
        <f t="shared" si="199"/>
        <v>25000</v>
      </c>
      <c r="BR165" s="806">
        <f t="shared" si="199"/>
        <v>28000</v>
      </c>
      <c r="BS165" s="806">
        <f t="shared" si="199"/>
        <v>25000</v>
      </c>
      <c r="BT165" s="816">
        <f t="shared" si="148"/>
        <v>103500</v>
      </c>
      <c r="BU165" s="806">
        <f t="shared" ref="BU165:CF165" si="200">SUM(BU158:BU164)</f>
        <v>15000</v>
      </c>
      <c r="BV165" s="806">
        <f t="shared" si="200"/>
        <v>24000</v>
      </c>
      <c r="BW165" s="806">
        <f t="shared" si="200"/>
        <v>25000</v>
      </c>
      <c r="BX165" s="806">
        <f t="shared" si="200"/>
        <v>15000</v>
      </c>
      <c r="BY165" s="806">
        <f t="shared" si="200"/>
        <v>45000</v>
      </c>
      <c r="BZ165" s="806">
        <f t="shared" si="200"/>
        <v>10000</v>
      </c>
      <c r="CA165" s="806">
        <f t="shared" si="200"/>
        <v>40000</v>
      </c>
      <c r="CB165" s="806">
        <f t="shared" si="200"/>
        <v>10000</v>
      </c>
      <c r="CC165" s="806">
        <f t="shared" si="200"/>
        <v>35000</v>
      </c>
      <c r="CD165" s="806">
        <f t="shared" si="200"/>
        <v>20000</v>
      </c>
      <c r="CE165" s="806">
        <f t="shared" si="200"/>
        <v>35000</v>
      </c>
      <c r="CF165" s="806">
        <f t="shared" si="200"/>
        <v>60000</v>
      </c>
      <c r="CG165" s="816">
        <f t="shared" si="126"/>
        <v>334000</v>
      </c>
      <c r="CH165" s="806">
        <f t="shared" ref="CH165:CS165" si="201">SUM(CH158:CH164)</f>
        <v>17000</v>
      </c>
      <c r="CI165" s="806">
        <f t="shared" si="201"/>
        <v>48000</v>
      </c>
      <c r="CJ165" s="806">
        <f t="shared" si="201"/>
        <v>37500</v>
      </c>
      <c r="CK165" s="806">
        <f t="shared" si="201"/>
        <v>10000</v>
      </c>
      <c r="CL165" s="806">
        <f t="shared" si="201"/>
        <v>20000</v>
      </c>
      <c r="CM165" s="806">
        <f t="shared" si="201"/>
        <v>0</v>
      </c>
      <c r="CN165" s="806">
        <f t="shared" si="201"/>
        <v>10000</v>
      </c>
      <c r="CO165" s="806">
        <f t="shared" si="201"/>
        <v>10000</v>
      </c>
      <c r="CP165" s="806">
        <f t="shared" si="201"/>
        <v>13000</v>
      </c>
      <c r="CQ165" s="806">
        <f t="shared" si="201"/>
        <v>10000</v>
      </c>
      <c r="CR165" s="806">
        <f t="shared" si="201"/>
        <v>20000</v>
      </c>
      <c r="CS165" s="806">
        <f t="shared" si="201"/>
        <v>100000</v>
      </c>
      <c r="CT165" s="816">
        <f t="shared" si="92"/>
        <v>295500</v>
      </c>
      <c r="CU165" s="806">
        <f t="shared" ref="CU165:DH165" si="202">SUM(CU158:CU164)</f>
        <v>410000</v>
      </c>
      <c r="CV165" s="806">
        <f t="shared" si="202"/>
        <v>100000</v>
      </c>
      <c r="CW165" s="806">
        <f t="shared" si="202"/>
        <v>10000</v>
      </c>
      <c r="CX165" s="806">
        <f t="shared" si="202"/>
        <v>0</v>
      </c>
      <c r="CY165" s="806">
        <f t="shared" si="202"/>
        <v>0</v>
      </c>
      <c r="CZ165" s="806">
        <f t="shared" si="202"/>
        <v>0</v>
      </c>
      <c r="DA165" s="806">
        <f t="shared" si="202"/>
        <v>0</v>
      </c>
      <c r="DB165" s="806">
        <f t="shared" si="202"/>
        <v>0</v>
      </c>
      <c r="DC165" s="806">
        <f t="shared" si="202"/>
        <v>0</v>
      </c>
      <c r="DD165" s="806">
        <f t="shared" si="202"/>
        <v>0</v>
      </c>
      <c r="DE165" s="806">
        <f t="shared" si="202"/>
        <v>0</v>
      </c>
      <c r="DF165" s="806">
        <f t="shared" si="202"/>
        <v>0</v>
      </c>
      <c r="DG165" s="816">
        <f t="shared" si="118"/>
        <v>520000</v>
      </c>
      <c r="DH165" s="806">
        <f t="shared" si="202"/>
        <v>0</v>
      </c>
    </row>
    <row r="166" spans="1:112" s="864" customFormat="1" x14ac:dyDescent="0.25">
      <c r="A166" s="861" t="s">
        <v>1062</v>
      </c>
      <c r="B166" s="862"/>
      <c r="C166" s="863"/>
      <c r="D166" s="862"/>
      <c r="H166" s="865">
        <f t="shared" ref="H166:N166" si="203">+H21+H109+H129+H139+H142+H150+H157+H165</f>
        <v>7965266.5500000007</v>
      </c>
      <c r="I166" s="865">
        <f t="shared" si="203"/>
        <v>33000</v>
      </c>
      <c r="J166" s="865">
        <f t="shared" si="203"/>
        <v>305867</v>
      </c>
      <c r="K166" s="865">
        <f t="shared" si="203"/>
        <v>7658765.9800000004</v>
      </c>
      <c r="L166" s="865">
        <f t="shared" si="203"/>
        <v>7965802</v>
      </c>
      <c r="M166" s="865">
        <f t="shared" si="203"/>
        <v>-7.73070496506989E-12</v>
      </c>
      <c r="N166" s="865">
        <f t="shared" si="203"/>
        <v>0</v>
      </c>
      <c r="O166" s="866"/>
      <c r="P166" s="866"/>
      <c r="Q166" s="866"/>
      <c r="R166" s="866"/>
      <c r="S166" s="866"/>
      <c r="T166" s="866"/>
      <c r="U166" s="866"/>
      <c r="V166" s="866"/>
      <c r="W166" s="866"/>
      <c r="X166" s="866"/>
      <c r="Y166" s="866"/>
      <c r="Z166" s="866"/>
      <c r="AA166" s="867">
        <f t="shared" ref="AA166:AT166" si="204">+AA21+AA109+AA129+AA139+AA142+AA150+AA157+AA165</f>
        <v>0</v>
      </c>
      <c r="AB166" s="867">
        <f t="shared" si="204"/>
        <v>0</v>
      </c>
      <c r="AC166" s="867">
        <f t="shared" si="204"/>
        <v>0</v>
      </c>
      <c r="AD166" s="867">
        <f t="shared" si="204"/>
        <v>0</v>
      </c>
      <c r="AE166" s="867">
        <f t="shared" si="204"/>
        <v>0</v>
      </c>
      <c r="AF166" s="867">
        <f t="shared" si="204"/>
        <v>0</v>
      </c>
      <c r="AG166" s="867">
        <f t="shared" si="204"/>
        <v>0</v>
      </c>
      <c r="AH166" s="867">
        <f t="shared" si="204"/>
        <v>0</v>
      </c>
      <c r="AI166" s="867">
        <f t="shared" si="204"/>
        <v>0</v>
      </c>
      <c r="AJ166" s="867">
        <f t="shared" si="204"/>
        <v>0</v>
      </c>
      <c r="AK166" s="867">
        <f t="shared" si="204"/>
        <v>0</v>
      </c>
      <c r="AL166" s="867">
        <f t="shared" si="204"/>
        <v>0</v>
      </c>
      <c r="AM166" s="867">
        <f t="shared" si="204"/>
        <v>0</v>
      </c>
      <c r="AN166" s="867">
        <f t="shared" si="204"/>
        <v>0</v>
      </c>
      <c r="AO166" s="867">
        <f t="shared" si="204"/>
        <v>33000</v>
      </c>
      <c r="AP166" s="867">
        <f t="shared" si="204"/>
        <v>1639848.98</v>
      </c>
      <c r="AQ166" s="867">
        <f t="shared" si="204"/>
        <v>2642023.02</v>
      </c>
      <c r="AR166" s="867">
        <f t="shared" si="204"/>
        <v>2195301</v>
      </c>
      <c r="AS166" s="867">
        <f t="shared" si="204"/>
        <v>819806</v>
      </c>
      <c r="AT166" s="867">
        <f t="shared" si="204"/>
        <v>635823</v>
      </c>
      <c r="AU166" s="866"/>
      <c r="AV166" s="866"/>
      <c r="AW166" s="866"/>
      <c r="AX166" s="866"/>
      <c r="AY166" s="866"/>
      <c r="AZ166" s="866"/>
      <c r="BA166" s="866"/>
      <c r="BB166" s="866"/>
      <c r="BC166" s="866"/>
      <c r="BD166" s="866"/>
      <c r="BE166" s="866"/>
      <c r="BF166" s="866"/>
      <c r="BG166" s="865">
        <f t="shared" ref="BG166:CF166" si="205">+BG21+BG109+BG129+BG139+BG142+BG150+BG157+BG165</f>
        <v>33000</v>
      </c>
      <c r="BH166" s="867">
        <f t="shared" si="205"/>
        <v>0</v>
      </c>
      <c r="BI166" s="867">
        <f t="shared" si="205"/>
        <v>0</v>
      </c>
      <c r="BJ166" s="867">
        <f t="shared" si="205"/>
        <v>0</v>
      </c>
      <c r="BK166" s="867">
        <f t="shared" si="205"/>
        <v>24900</v>
      </c>
      <c r="BL166" s="867">
        <f t="shared" si="205"/>
        <v>194422</v>
      </c>
      <c r="BM166" s="867">
        <f t="shared" si="205"/>
        <v>66545</v>
      </c>
      <c r="BN166" s="867">
        <f t="shared" si="205"/>
        <v>44687</v>
      </c>
      <c r="BO166" s="867">
        <f t="shared" si="205"/>
        <v>116406.37999999999</v>
      </c>
      <c r="BP166" s="867">
        <f t="shared" si="205"/>
        <v>329250.59999999998</v>
      </c>
      <c r="BQ166" s="867">
        <f t="shared" si="205"/>
        <v>202326</v>
      </c>
      <c r="BR166" s="867">
        <f t="shared" si="205"/>
        <v>346037</v>
      </c>
      <c r="BS166" s="867">
        <f t="shared" si="205"/>
        <v>315275</v>
      </c>
      <c r="BT166" s="867">
        <f t="shared" si="205"/>
        <v>1639848.98</v>
      </c>
      <c r="BU166" s="867">
        <f t="shared" si="205"/>
        <v>333557</v>
      </c>
      <c r="BV166" s="867">
        <f t="shared" si="205"/>
        <v>255300</v>
      </c>
      <c r="BW166" s="867">
        <f t="shared" si="205"/>
        <v>211300</v>
      </c>
      <c r="BX166" s="867">
        <f t="shared" si="205"/>
        <v>191674</v>
      </c>
      <c r="BY166" s="867">
        <f t="shared" si="205"/>
        <v>158567.02000000002</v>
      </c>
      <c r="BZ166" s="867">
        <f t="shared" si="205"/>
        <v>135004</v>
      </c>
      <c r="CA166" s="867">
        <f t="shared" si="205"/>
        <v>188950</v>
      </c>
      <c r="CB166" s="867">
        <f t="shared" si="205"/>
        <v>166606</v>
      </c>
      <c r="CC166" s="867">
        <f t="shared" si="205"/>
        <v>183950</v>
      </c>
      <c r="CD166" s="867">
        <f t="shared" si="205"/>
        <v>242125</v>
      </c>
      <c r="CE166" s="867">
        <f t="shared" si="205"/>
        <v>251950</v>
      </c>
      <c r="CF166" s="867">
        <f t="shared" si="205"/>
        <v>323040</v>
      </c>
      <c r="CG166" s="867"/>
      <c r="CH166" s="867">
        <f t="shared" ref="CH166:CS166" si="206">+CH21+CH109+CH129+CH139+CH142+CH150+CH157+CH165</f>
        <v>271988</v>
      </c>
      <c r="CI166" s="867">
        <f t="shared" si="206"/>
        <v>202050</v>
      </c>
      <c r="CJ166" s="867">
        <f t="shared" si="206"/>
        <v>438600</v>
      </c>
      <c r="CK166" s="867">
        <f t="shared" si="206"/>
        <v>122100</v>
      </c>
      <c r="CL166" s="867">
        <f t="shared" si="206"/>
        <v>68296</v>
      </c>
      <c r="CM166" s="867">
        <f t="shared" si="206"/>
        <v>42000</v>
      </c>
      <c r="CN166" s="867">
        <f t="shared" si="206"/>
        <v>402000</v>
      </c>
      <c r="CO166" s="867">
        <f t="shared" si="206"/>
        <v>62600</v>
      </c>
      <c r="CP166" s="867">
        <f t="shared" si="206"/>
        <v>98000</v>
      </c>
      <c r="CQ166" s="867">
        <f t="shared" si="206"/>
        <v>174047</v>
      </c>
      <c r="CR166" s="867">
        <f t="shared" si="206"/>
        <v>106300</v>
      </c>
      <c r="CS166" s="867">
        <f t="shared" si="206"/>
        <v>622320</v>
      </c>
      <c r="CT166" s="867"/>
      <c r="CU166" s="867">
        <f t="shared" ref="CU166:DH166" si="207">+CU21+CU109+CU129+CU139+CU142+CU150+CU157+CU165</f>
        <v>496000</v>
      </c>
      <c r="CV166" s="867">
        <f t="shared" si="207"/>
        <v>140000</v>
      </c>
      <c r="CW166" s="867">
        <f t="shared" si="207"/>
        <v>20000</v>
      </c>
      <c r="CX166" s="867">
        <f t="shared" si="207"/>
        <v>51988</v>
      </c>
      <c r="CY166" s="867">
        <f t="shared" si="207"/>
        <v>0</v>
      </c>
      <c r="CZ166" s="867">
        <f t="shared" si="207"/>
        <v>0</v>
      </c>
      <c r="DA166" s="867">
        <f t="shared" si="207"/>
        <v>0</v>
      </c>
      <c r="DB166" s="867">
        <f t="shared" si="207"/>
        <v>0</v>
      </c>
      <c r="DC166" s="867">
        <f t="shared" si="207"/>
        <v>0</v>
      </c>
      <c r="DD166" s="867">
        <f t="shared" si="207"/>
        <v>0</v>
      </c>
      <c r="DE166" s="867">
        <f t="shared" si="207"/>
        <v>111818</v>
      </c>
      <c r="DF166" s="867">
        <f t="shared" si="207"/>
        <v>1096000</v>
      </c>
      <c r="DG166" s="867">
        <f t="shared" si="207"/>
        <v>1915806</v>
      </c>
      <c r="DH166" s="867">
        <f t="shared" si="207"/>
        <v>635823</v>
      </c>
    </row>
    <row r="167" spans="1:112" s="864" customFormat="1" x14ac:dyDescent="0.25">
      <c r="A167" s="861" t="s">
        <v>1063</v>
      </c>
      <c r="B167" s="862"/>
      <c r="C167" s="863"/>
      <c r="D167" s="862"/>
      <c r="H167" s="865"/>
      <c r="I167" s="865"/>
      <c r="J167" s="865"/>
      <c r="K167" s="865"/>
      <c r="L167" s="865"/>
      <c r="M167" s="865"/>
      <c r="N167" s="865"/>
      <c r="O167" s="866"/>
      <c r="P167" s="866"/>
      <c r="Q167" s="866"/>
      <c r="R167" s="866"/>
      <c r="S167" s="866"/>
      <c r="T167" s="866"/>
      <c r="U167" s="866"/>
      <c r="V167" s="866"/>
      <c r="W167" s="866"/>
      <c r="X167" s="866"/>
      <c r="Y167" s="866"/>
      <c r="Z167" s="866"/>
      <c r="AA167" s="867">
        <f>+AA166</f>
        <v>0</v>
      </c>
      <c r="AB167" s="867"/>
      <c r="AC167" s="867"/>
      <c r="AD167" s="867"/>
      <c r="AE167" s="867"/>
      <c r="AF167" s="867"/>
      <c r="AG167" s="867"/>
      <c r="AH167" s="867"/>
      <c r="AI167" s="867"/>
      <c r="AJ167" s="867"/>
      <c r="AK167" s="867"/>
      <c r="AL167" s="867"/>
      <c r="AM167" s="867"/>
      <c r="AN167" s="867">
        <f>+AN166+AA167</f>
        <v>0</v>
      </c>
      <c r="AO167" s="867">
        <f t="shared" ref="AO167:AT167" si="208">+AO166+AN167</f>
        <v>33000</v>
      </c>
      <c r="AP167" s="867">
        <f t="shared" si="208"/>
        <v>1672848.98</v>
      </c>
      <c r="AQ167" s="867">
        <f t="shared" si="208"/>
        <v>4314872</v>
      </c>
      <c r="AR167" s="867">
        <f t="shared" si="208"/>
        <v>6510173</v>
      </c>
      <c r="AS167" s="867">
        <f t="shared" si="208"/>
        <v>7329979</v>
      </c>
      <c r="AT167" s="867">
        <f t="shared" si="208"/>
        <v>7965802</v>
      </c>
      <c r="AU167" s="866"/>
      <c r="AV167" s="866"/>
      <c r="AW167" s="866"/>
      <c r="AX167" s="866"/>
      <c r="AY167" s="866"/>
      <c r="AZ167" s="866"/>
      <c r="BA167" s="866"/>
      <c r="BB167" s="866"/>
      <c r="BC167" s="866"/>
      <c r="BD167" s="866"/>
      <c r="BE167" s="866"/>
      <c r="BF167" s="866"/>
      <c r="BG167" s="865"/>
      <c r="BH167" s="865"/>
      <c r="BI167" s="865"/>
      <c r="BJ167" s="865"/>
      <c r="BK167" s="865"/>
      <c r="BL167" s="865"/>
      <c r="BM167" s="865"/>
      <c r="BN167" s="865"/>
      <c r="BO167" s="865"/>
      <c r="BP167" s="865"/>
      <c r="BQ167" s="865"/>
      <c r="BR167" s="865"/>
      <c r="BS167" s="865"/>
      <c r="BT167" s="865"/>
      <c r="CG167" s="866"/>
      <c r="CT167" s="866"/>
      <c r="DG167" s="866"/>
    </row>
    <row r="168" spans="1:112" x14ac:dyDescent="0.25">
      <c r="A168" s="17"/>
      <c r="B168" s="406"/>
      <c r="C168" s="6"/>
      <c r="D168" s="406"/>
      <c r="H168" s="796"/>
      <c r="I168" s="796"/>
      <c r="J168" s="796"/>
      <c r="K168" s="812"/>
      <c r="L168" s="812"/>
      <c r="M168" s="20"/>
      <c r="N168" s="2"/>
      <c r="O168" s="2"/>
      <c r="P168" s="2"/>
      <c r="Q168" s="2"/>
      <c r="R168" s="2"/>
      <c r="S168" s="2"/>
      <c r="T168" s="2"/>
      <c r="U168" s="2"/>
      <c r="V168" s="2"/>
      <c r="W168" s="2"/>
      <c r="X168" s="2"/>
      <c r="Y168" s="2"/>
      <c r="Z168" s="2"/>
      <c r="AA168" s="828"/>
      <c r="AB168" s="2"/>
      <c r="AC168" s="2"/>
      <c r="AD168" s="2"/>
      <c r="AE168" s="2"/>
      <c r="AF168" s="2"/>
      <c r="AG168" s="2"/>
      <c r="AH168" s="2"/>
      <c r="AI168" s="2"/>
      <c r="AJ168" s="2"/>
      <c r="AK168" s="2"/>
      <c r="AL168" s="2"/>
      <c r="AM168" s="2"/>
      <c r="AN168" s="828"/>
      <c r="AO168" s="828"/>
      <c r="AP168" s="828"/>
      <c r="AQ168" s="828"/>
      <c r="AR168" s="828"/>
      <c r="AS168" s="828"/>
      <c r="AT168" s="828"/>
      <c r="AU168" s="2"/>
      <c r="AV168" s="2"/>
      <c r="AW168" s="2"/>
      <c r="AX168" s="2"/>
      <c r="AY168" s="2"/>
      <c r="AZ168" s="2"/>
      <c r="BA168" s="2"/>
      <c r="BB168" s="2"/>
      <c r="BC168" s="2"/>
      <c r="BD168" s="2"/>
      <c r="BE168" s="2"/>
      <c r="BF168" s="2"/>
      <c r="BG168" s="806"/>
      <c r="BH168" s="2"/>
      <c r="BI168" s="2"/>
      <c r="BJ168" s="2"/>
      <c r="BL168" s="2"/>
      <c r="BM168" s="2"/>
      <c r="BS168" s="807"/>
      <c r="BT168" s="806"/>
      <c r="CG168" s="828"/>
      <c r="CT168" s="828"/>
      <c r="DG168" s="828"/>
    </row>
    <row r="169" spans="1:112" x14ac:dyDescent="0.25">
      <c r="A169" s="13" t="s">
        <v>93</v>
      </c>
      <c r="B169" s="6"/>
      <c r="C169" s="6" t="s">
        <v>94</v>
      </c>
      <c r="D169" s="6"/>
      <c r="H169" s="796">
        <f>+H166*0.1</f>
        <v>796526.65500000014</v>
      </c>
      <c r="I169" s="796"/>
      <c r="J169" s="796"/>
      <c r="K169" s="812"/>
      <c r="L169" s="812"/>
      <c r="M169" s="20"/>
      <c r="N169" s="2"/>
      <c r="O169" s="2"/>
      <c r="P169" s="2"/>
      <c r="Q169" s="2"/>
      <c r="R169" s="2"/>
      <c r="S169" s="2"/>
      <c r="T169" s="2"/>
      <c r="U169" s="2"/>
      <c r="V169" s="2"/>
      <c r="W169" s="2"/>
      <c r="X169" s="2"/>
      <c r="Y169" s="2"/>
      <c r="Z169" s="2"/>
      <c r="AA169" s="828"/>
      <c r="AB169" s="2"/>
      <c r="AC169" s="2"/>
      <c r="AD169" s="2"/>
      <c r="AE169" s="2"/>
      <c r="AF169" s="2"/>
      <c r="AG169" s="2"/>
      <c r="AH169" s="2"/>
      <c r="AI169" s="2"/>
      <c r="AJ169" s="2"/>
      <c r="AK169" s="2"/>
      <c r="AL169" s="2"/>
      <c r="AM169" s="2"/>
      <c r="AN169" s="828"/>
      <c r="AO169" s="828"/>
      <c r="AP169" s="828"/>
      <c r="AQ169" s="828"/>
      <c r="AR169" s="828"/>
      <c r="AS169" s="828"/>
      <c r="AT169" s="828"/>
      <c r="AU169" s="2"/>
      <c r="AV169" s="2"/>
      <c r="AW169" s="2"/>
      <c r="AX169" s="2"/>
      <c r="AY169" s="2"/>
      <c r="AZ169" s="2"/>
      <c r="BA169" s="2"/>
      <c r="BB169" s="2"/>
      <c r="BC169" s="2"/>
      <c r="BD169" s="2"/>
      <c r="BE169" s="2"/>
      <c r="BF169" s="2"/>
      <c r="BG169" s="806"/>
      <c r="BH169" s="2"/>
      <c r="BI169" s="2"/>
      <c r="BJ169" s="5"/>
      <c r="BS169" s="796"/>
      <c r="BT169" s="806"/>
      <c r="CG169" s="828"/>
      <c r="CT169" s="828"/>
      <c r="DG169" s="828"/>
    </row>
    <row r="170" spans="1:112" s="864" customFormat="1" x14ac:dyDescent="0.25">
      <c r="A170" s="868" t="s">
        <v>1064</v>
      </c>
      <c r="B170" s="863"/>
      <c r="C170" s="869" t="s">
        <v>1065</v>
      </c>
      <c r="D170" s="863"/>
      <c r="E170" s="870"/>
      <c r="F170" s="870"/>
      <c r="G170" s="870"/>
      <c r="H170" s="865">
        <f t="shared" ref="H170:N170" si="209">+H169+H166</f>
        <v>8761793.2050000001</v>
      </c>
      <c r="I170" s="865">
        <f t="shared" si="209"/>
        <v>33000</v>
      </c>
      <c r="J170" s="865">
        <f t="shared" si="209"/>
        <v>305867</v>
      </c>
      <c r="K170" s="865">
        <f t="shared" si="209"/>
        <v>7658765.9800000004</v>
      </c>
      <c r="L170" s="865">
        <f t="shared" si="209"/>
        <v>7965802</v>
      </c>
      <c r="M170" s="865">
        <f t="shared" si="209"/>
        <v>-7.73070496506989E-12</v>
      </c>
      <c r="N170" s="865">
        <f t="shared" si="209"/>
        <v>0</v>
      </c>
      <c r="O170" s="866"/>
      <c r="P170" s="866"/>
      <c r="Q170" s="866"/>
      <c r="R170" s="866"/>
      <c r="S170" s="866"/>
      <c r="T170" s="866"/>
      <c r="U170" s="866"/>
      <c r="V170" s="866"/>
      <c r="W170" s="866"/>
      <c r="X170" s="866"/>
      <c r="Y170" s="866"/>
      <c r="Z170" s="866"/>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f t="shared" ref="AU170:BF170" si="210">+AU169+AU166</f>
        <v>0</v>
      </c>
      <c r="AV170" s="867">
        <f t="shared" si="210"/>
        <v>0</v>
      </c>
      <c r="AW170" s="867">
        <f t="shared" si="210"/>
        <v>0</v>
      </c>
      <c r="AX170" s="867">
        <f t="shared" si="210"/>
        <v>0</v>
      </c>
      <c r="AY170" s="867">
        <f t="shared" si="210"/>
        <v>0</v>
      </c>
      <c r="AZ170" s="867">
        <f t="shared" si="210"/>
        <v>0</v>
      </c>
      <c r="BA170" s="867">
        <f t="shared" si="210"/>
        <v>0</v>
      </c>
      <c r="BB170" s="867">
        <f t="shared" si="210"/>
        <v>0</v>
      </c>
      <c r="BC170" s="867">
        <f t="shared" si="210"/>
        <v>0</v>
      </c>
      <c r="BD170" s="867">
        <f t="shared" si="210"/>
        <v>0</v>
      </c>
      <c r="BE170" s="867">
        <f t="shared" si="210"/>
        <v>0</v>
      </c>
      <c r="BF170" s="867">
        <f t="shared" si="210"/>
        <v>0</v>
      </c>
      <c r="BG170" s="867"/>
      <c r="BH170" s="866"/>
      <c r="BI170" s="866"/>
      <c r="BJ170" s="871"/>
      <c r="BT170" s="806">
        <f t="shared" si="148"/>
        <v>0</v>
      </c>
      <c r="CG170" s="866"/>
      <c r="CT170" s="866"/>
      <c r="DG170" s="866"/>
    </row>
    <row r="171" spans="1:112" x14ac:dyDescent="0.25">
      <c r="A171" s="13"/>
      <c r="B171" s="6"/>
      <c r="C171" s="428"/>
      <c r="D171" s="6"/>
      <c r="E171" s="1"/>
      <c r="F171" s="1"/>
      <c r="G171" s="1"/>
      <c r="H171" s="807"/>
      <c r="I171" s="796"/>
      <c r="J171" s="796"/>
      <c r="K171" s="812"/>
      <c r="L171" s="802"/>
      <c r="M171" s="20"/>
      <c r="N171" s="2"/>
      <c r="O171" s="2"/>
      <c r="P171" s="2"/>
      <c r="Q171" s="2"/>
      <c r="R171" s="2"/>
      <c r="S171" s="2"/>
      <c r="T171" s="2"/>
      <c r="U171" s="2"/>
      <c r="V171" s="2"/>
      <c r="W171" s="2"/>
      <c r="X171" s="2"/>
      <c r="Y171" s="2"/>
      <c r="Z171" s="2"/>
      <c r="AA171" s="828"/>
      <c r="AB171" s="2"/>
      <c r="AC171" s="2"/>
      <c r="AD171" s="2"/>
      <c r="AE171" s="2"/>
      <c r="AF171" s="2"/>
      <c r="AG171" s="2"/>
      <c r="AH171" s="2"/>
      <c r="AI171" s="2"/>
      <c r="AJ171" s="2"/>
      <c r="AK171" s="2"/>
      <c r="AL171" s="2"/>
      <c r="AM171" s="2"/>
      <c r="AN171" s="828"/>
      <c r="AO171" s="828"/>
      <c r="AP171" s="828"/>
      <c r="AQ171" s="828"/>
      <c r="AR171" s="828"/>
      <c r="AS171" s="828"/>
      <c r="AT171" s="828"/>
      <c r="AU171" s="2"/>
      <c r="AV171" s="2"/>
      <c r="AW171" s="2"/>
      <c r="AX171" s="2"/>
      <c r="AY171" s="2"/>
      <c r="AZ171" s="2"/>
      <c r="BA171" s="2"/>
      <c r="BB171" s="2"/>
      <c r="BC171" s="2"/>
      <c r="BD171" s="2"/>
      <c r="BE171" s="2"/>
      <c r="BF171" s="2"/>
      <c r="BG171" s="806">
        <f t="shared" si="147"/>
        <v>0</v>
      </c>
      <c r="BH171" s="2"/>
      <c r="BI171" s="2"/>
      <c r="BJ171" s="5"/>
      <c r="BT171" s="806">
        <f t="shared" si="148"/>
        <v>0</v>
      </c>
      <c r="CG171" s="828"/>
      <c r="CT171" s="828"/>
      <c r="DG171" s="828"/>
    </row>
    <row r="172" spans="1:112" x14ac:dyDescent="0.25">
      <c r="A172" s="8" t="s">
        <v>29</v>
      </c>
      <c r="C172" t="s">
        <v>30</v>
      </c>
      <c r="G172" s="334">
        <v>71160</v>
      </c>
      <c r="H172" s="872">
        <v>71160</v>
      </c>
      <c r="I172" s="802" t="s">
        <v>1066</v>
      </c>
      <c r="J172" s="802"/>
      <c r="K172" s="809"/>
      <c r="L172" s="810"/>
      <c r="M172" s="394"/>
      <c r="N172" s="394"/>
      <c r="O172" s="2"/>
      <c r="P172" s="2"/>
      <c r="Q172" s="2"/>
      <c r="R172" s="2"/>
      <c r="S172" s="2"/>
      <c r="T172" s="2"/>
      <c r="U172" s="2"/>
      <c r="V172" s="2"/>
      <c r="W172" s="2"/>
      <c r="X172" s="2"/>
      <c r="Y172" s="2"/>
      <c r="Z172" s="2"/>
      <c r="AA172" s="828"/>
      <c r="AB172" s="2"/>
      <c r="AC172" s="2"/>
      <c r="AD172" s="2"/>
      <c r="AE172" s="2"/>
      <c r="AF172" s="2"/>
      <c r="AG172" s="2"/>
      <c r="AH172" s="2"/>
      <c r="AI172" s="2"/>
      <c r="AJ172" s="2"/>
      <c r="AK172" s="2"/>
      <c r="AL172" s="2"/>
      <c r="AM172" s="2"/>
      <c r="AN172" s="828"/>
      <c r="AO172" s="828"/>
      <c r="AP172" s="828"/>
      <c r="AQ172" s="828"/>
      <c r="AR172" s="828"/>
      <c r="AS172" s="828"/>
      <c r="AT172" s="828"/>
      <c r="AU172" s="2"/>
      <c r="AV172" s="2"/>
      <c r="AW172" s="2"/>
      <c r="AX172" s="2"/>
      <c r="AY172" s="2"/>
      <c r="AZ172" s="2"/>
      <c r="BA172" s="2"/>
      <c r="BB172" s="2"/>
      <c r="BC172" s="2"/>
      <c r="BD172" s="2"/>
      <c r="BE172" s="2"/>
      <c r="BF172" s="2"/>
      <c r="BG172" s="806">
        <f t="shared" si="147"/>
        <v>0</v>
      </c>
      <c r="BJ172" s="77"/>
      <c r="BT172" s="806">
        <f t="shared" si="148"/>
        <v>0</v>
      </c>
      <c r="CG172" s="828"/>
      <c r="CT172" s="828"/>
      <c r="DG172" s="828"/>
    </row>
    <row r="173" spans="1:112" x14ac:dyDescent="0.25">
      <c r="A173" s="16"/>
      <c r="B173" s="370"/>
      <c r="C173" s="823" t="s">
        <v>1067</v>
      </c>
      <c r="D173" s="823" t="s">
        <v>1068</v>
      </c>
      <c r="E173" s="823" t="s">
        <v>931</v>
      </c>
      <c r="F173" s="823">
        <v>696</v>
      </c>
      <c r="G173" s="873">
        <f>70380/1.2</f>
        <v>58650</v>
      </c>
      <c r="H173" s="874">
        <f>+G173</f>
        <v>58650</v>
      </c>
      <c r="I173" s="802">
        <f>+AA173+AN173+AO173</f>
        <v>0</v>
      </c>
      <c r="J173" s="802">
        <f t="shared" ref="J173" si="211">SUM(BH173:BM173)</f>
        <v>58650</v>
      </c>
      <c r="K173" s="809">
        <f t="shared" ref="K173" si="212">+H173-I173</f>
        <v>58650</v>
      </c>
      <c r="L173" s="810">
        <f t="shared" ref="L173:L178" si="213">+AA173+AN173+AO173+BT173+CG173+CT173+DG173</f>
        <v>58650</v>
      </c>
      <c r="M173" s="394">
        <f t="shared" ref="M173:M178" si="214">+IF(G173&gt;0,G173-L173,H173-L173)</f>
        <v>0</v>
      </c>
      <c r="N173" s="2"/>
      <c r="O173" s="2"/>
      <c r="P173" s="2"/>
      <c r="Q173" s="2"/>
      <c r="R173" s="2"/>
      <c r="S173" s="2"/>
      <c r="T173" s="2"/>
      <c r="U173" s="2"/>
      <c r="V173" s="2"/>
      <c r="W173" s="2"/>
      <c r="X173" s="2"/>
      <c r="Y173" s="2"/>
      <c r="Z173" s="2"/>
      <c r="AA173" s="806">
        <f t="shared" ref="AA173:AA178" si="215">SUM(O173:Z173)</f>
        <v>0</v>
      </c>
      <c r="AB173" s="2"/>
      <c r="AC173" s="2"/>
      <c r="AD173" s="2"/>
      <c r="AE173" s="2"/>
      <c r="AF173" s="2"/>
      <c r="AG173" s="2"/>
      <c r="AH173" s="2"/>
      <c r="AI173" s="2"/>
      <c r="AJ173" s="2"/>
      <c r="AK173" s="2"/>
      <c r="AL173" s="2"/>
      <c r="AM173" s="2"/>
      <c r="AN173" s="806">
        <f t="shared" ref="AN173:AN178" si="216">SUM(AB173:AM173)</f>
        <v>0</v>
      </c>
      <c r="AO173" s="806">
        <f t="shared" ref="AO173:AO178" si="217">SUM(AU173:BF173)</f>
        <v>0</v>
      </c>
      <c r="AP173" s="806">
        <f t="shared" ref="AP173:AP178" si="218">+BT173</f>
        <v>58650</v>
      </c>
      <c r="AQ173" s="806">
        <f t="shared" ref="AQ173:AQ178" si="219">+CG173</f>
        <v>0</v>
      </c>
      <c r="AR173" s="806">
        <f t="shared" ref="AR173:AR178" si="220">+CT173</f>
        <v>0</v>
      </c>
      <c r="AS173" s="806">
        <f t="shared" ref="AS173:AT178" si="221">+DG173</f>
        <v>0</v>
      </c>
      <c r="AT173" s="806">
        <f t="shared" si="221"/>
        <v>0</v>
      </c>
      <c r="AU173" s="2"/>
      <c r="AV173" s="2"/>
      <c r="AW173" s="2"/>
      <c r="AX173" s="2"/>
      <c r="AY173" s="2"/>
      <c r="AZ173" s="2"/>
      <c r="BA173" s="2"/>
      <c r="BC173" s="2"/>
      <c r="BD173" s="2"/>
      <c r="BE173" s="2"/>
      <c r="BF173" s="2"/>
      <c r="BG173" s="806">
        <f t="shared" si="147"/>
        <v>0</v>
      </c>
      <c r="BH173" s="807"/>
      <c r="BI173" s="807"/>
      <c r="BJ173" s="807"/>
      <c r="BK173" s="807"/>
      <c r="BL173" s="807">
        <v>58650</v>
      </c>
      <c r="BM173" s="807"/>
      <c r="BN173" s="807"/>
      <c r="BO173" s="807"/>
      <c r="BP173" s="807"/>
      <c r="BQ173" s="807"/>
      <c r="BR173" s="807"/>
      <c r="BS173" s="807"/>
      <c r="BT173" s="806">
        <f t="shared" si="148"/>
        <v>58650</v>
      </c>
      <c r="CG173" s="806">
        <f t="shared" ref="CG173" si="222">SUM(BU173:CF173)</f>
        <v>0</v>
      </c>
      <c r="CT173" s="806">
        <f t="shared" ref="CT173" si="223">SUM(CH173:CS173)</f>
        <v>0</v>
      </c>
      <c r="DG173" s="806">
        <f t="shared" ref="DG173" si="224">SUM(CU173:DF173)</f>
        <v>0</v>
      </c>
    </row>
    <row r="174" spans="1:112" x14ac:dyDescent="0.25">
      <c r="A174" s="8"/>
      <c r="C174" t="s">
        <v>31</v>
      </c>
      <c r="H174" s="334">
        <v>44670</v>
      </c>
      <c r="I174" s="802" t="s">
        <v>1069</v>
      </c>
      <c r="J174" s="802"/>
      <c r="K174" s="809"/>
      <c r="L174" s="810">
        <f t="shared" si="213"/>
        <v>0</v>
      </c>
      <c r="M174" s="394">
        <f t="shared" si="214"/>
        <v>44670</v>
      </c>
      <c r="N174" s="2"/>
      <c r="O174" s="2"/>
      <c r="P174" s="2"/>
      <c r="Q174" s="2"/>
      <c r="R174" s="2"/>
      <c r="S174" s="2"/>
      <c r="T174" s="2"/>
      <c r="U174" s="2"/>
      <c r="V174" s="2"/>
      <c r="W174" s="2"/>
      <c r="X174" s="2"/>
      <c r="Y174" s="2"/>
      <c r="Z174" s="2"/>
      <c r="AA174" s="806">
        <f t="shared" si="215"/>
        <v>0</v>
      </c>
      <c r="AB174" s="2"/>
      <c r="AC174" s="2"/>
      <c r="AD174" s="2"/>
      <c r="AE174" s="2"/>
      <c r="AF174" s="2"/>
      <c r="AG174" s="2"/>
      <c r="AH174" s="2"/>
      <c r="AI174" s="2"/>
      <c r="AJ174" s="2"/>
      <c r="AK174" s="2"/>
      <c r="AL174" s="2"/>
      <c r="AM174" s="2"/>
      <c r="AN174" s="806">
        <f t="shared" si="216"/>
        <v>0</v>
      </c>
      <c r="AO174" s="806">
        <f t="shared" si="217"/>
        <v>0</v>
      </c>
      <c r="AP174" s="806">
        <f t="shared" si="218"/>
        <v>0</v>
      </c>
      <c r="AQ174" s="806">
        <f t="shared" si="219"/>
        <v>0</v>
      </c>
      <c r="AR174" s="806">
        <f t="shared" si="220"/>
        <v>0</v>
      </c>
      <c r="AS174" s="806">
        <f t="shared" si="221"/>
        <v>0</v>
      </c>
      <c r="AT174" s="806">
        <f t="shared" si="221"/>
        <v>0</v>
      </c>
      <c r="AU174" s="2"/>
      <c r="AV174" s="2"/>
      <c r="AW174" s="2"/>
      <c r="AX174" s="2"/>
      <c r="AY174" s="2"/>
      <c r="AZ174" s="2"/>
      <c r="BA174" s="2"/>
      <c r="BC174" s="2"/>
      <c r="BD174" s="2"/>
      <c r="BE174" s="2"/>
      <c r="BF174" s="2"/>
      <c r="BG174" s="806">
        <f t="shared" ref="BG174:BG178" si="225">SUM(AU174:BF174)</f>
        <v>0</v>
      </c>
      <c r="BJ174" s="77"/>
      <c r="BT174" s="806">
        <f t="shared" si="148"/>
        <v>0</v>
      </c>
      <c r="CG174" s="828"/>
      <c r="CT174" s="828"/>
      <c r="DG174" s="828"/>
    </row>
    <row r="175" spans="1:112" x14ac:dyDescent="0.25">
      <c r="A175" s="8"/>
      <c r="C175" t="s">
        <v>32</v>
      </c>
      <c r="D175" t="s">
        <v>1068</v>
      </c>
      <c r="H175" s="334">
        <v>1500000</v>
      </c>
      <c r="I175" s="802"/>
      <c r="J175" s="802"/>
      <c r="K175" s="809"/>
      <c r="L175" s="810">
        <f t="shared" si="213"/>
        <v>0</v>
      </c>
      <c r="M175" s="394">
        <f t="shared" si="214"/>
        <v>1500000</v>
      </c>
      <c r="N175" s="2"/>
      <c r="O175" s="2"/>
      <c r="P175" s="2"/>
      <c r="Q175" s="2"/>
      <c r="R175" s="2"/>
      <c r="S175" s="2"/>
      <c r="T175" s="2"/>
      <c r="U175" s="2"/>
      <c r="V175" s="2"/>
      <c r="W175" s="2"/>
      <c r="X175" s="2"/>
      <c r="Y175" s="2"/>
      <c r="Z175" s="2"/>
      <c r="AA175" s="806">
        <f t="shared" si="215"/>
        <v>0</v>
      </c>
      <c r="AB175" s="2"/>
      <c r="AC175" s="2"/>
      <c r="AD175" s="2"/>
      <c r="AE175" s="2"/>
      <c r="AF175" s="2"/>
      <c r="AG175" s="2"/>
      <c r="AH175" s="2"/>
      <c r="AI175" s="2"/>
      <c r="AJ175" s="2"/>
      <c r="AK175" s="2"/>
      <c r="AL175" s="2"/>
      <c r="AM175" s="2"/>
      <c r="AN175" s="806">
        <f t="shared" si="216"/>
        <v>0</v>
      </c>
      <c r="AO175" s="806">
        <f t="shared" si="217"/>
        <v>0</v>
      </c>
      <c r="AP175" s="806">
        <f t="shared" si="218"/>
        <v>0</v>
      </c>
      <c r="AQ175" s="806">
        <f t="shared" si="219"/>
        <v>0</v>
      </c>
      <c r="AR175" s="806">
        <f t="shared" si="220"/>
        <v>0</v>
      </c>
      <c r="AS175" s="806">
        <f t="shared" si="221"/>
        <v>0</v>
      </c>
      <c r="AT175" s="806">
        <f t="shared" si="221"/>
        <v>0</v>
      </c>
      <c r="AU175" s="2"/>
      <c r="AV175" s="2"/>
      <c r="AW175" s="2"/>
      <c r="AX175" s="2"/>
      <c r="AY175" s="2"/>
      <c r="AZ175" s="2"/>
      <c r="BA175" s="2"/>
      <c r="BC175" s="2"/>
      <c r="BD175" s="2"/>
      <c r="BE175" s="2"/>
      <c r="BF175" s="2"/>
      <c r="BG175" s="806">
        <f t="shared" si="225"/>
        <v>0</v>
      </c>
      <c r="BJ175" s="77"/>
      <c r="BT175" s="806">
        <f t="shared" si="148"/>
        <v>0</v>
      </c>
      <c r="CG175" s="828"/>
      <c r="CT175" s="828"/>
      <c r="DG175" s="828"/>
    </row>
    <row r="176" spans="1:112" x14ac:dyDescent="0.25">
      <c r="A176" s="8"/>
      <c r="C176" t="s">
        <v>33</v>
      </c>
      <c r="H176" s="334">
        <v>3660</v>
      </c>
      <c r="I176" s="802"/>
      <c r="J176" s="802"/>
      <c r="K176" s="809"/>
      <c r="L176" s="810">
        <f t="shared" si="213"/>
        <v>0</v>
      </c>
      <c r="M176" s="394">
        <f t="shared" si="214"/>
        <v>3660</v>
      </c>
      <c r="N176" s="2"/>
      <c r="O176" s="2"/>
      <c r="P176" s="2"/>
      <c r="Q176" s="2"/>
      <c r="R176" s="2"/>
      <c r="S176" s="2"/>
      <c r="T176" s="2"/>
      <c r="U176" s="2"/>
      <c r="V176" s="2"/>
      <c r="W176" s="2"/>
      <c r="X176" s="2"/>
      <c r="Y176" s="2"/>
      <c r="Z176" s="2"/>
      <c r="AA176" s="806">
        <f t="shared" si="215"/>
        <v>0</v>
      </c>
      <c r="AB176" s="2"/>
      <c r="AC176" s="2"/>
      <c r="AD176" s="2"/>
      <c r="AE176" s="2"/>
      <c r="AF176" s="2"/>
      <c r="AG176" s="2"/>
      <c r="AH176" s="2"/>
      <c r="AI176" s="2"/>
      <c r="AJ176" s="2"/>
      <c r="AK176" s="2"/>
      <c r="AL176" s="2"/>
      <c r="AM176" s="2"/>
      <c r="AN176" s="806">
        <f t="shared" si="216"/>
        <v>0</v>
      </c>
      <c r="AO176" s="806">
        <f t="shared" si="217"/>
        <v>0</v>
      </c>
      <c r="AP176" s="806">
        <f t="shared" si="218"/>
        <v>0</v>
      </c>
      <c r="AQ176" s="806">
        <f t="shared" si="219"/>
        <v>0</v>
      </c>
      <c r="AR176" s="806">
        <f t="shared" si="220"/>
        <v>0</v>
      </c>
      <c r="AS176" s="806">
        <f t="shared" si="221"/>
        <v>0</v>
      </c>
      <c r="AT176" s="806">
        <f t="shared" si="221"/>
        <v>0</v>
      </c>
      <c r="AU176" s="2"/>
      <c r="AV176" s="2"/>
      <c r="AW176" s="2"/>
      <c r="AX176" s="2"/>
      <c r="AY176" s="2"/>
      <c r="AZ176" s="2"/>
      <c r="BA176" s="2"/>
      <c r="BC176" s="2"/>
      <c r="BD176" s="2"/>
      <c r="BE176" s="2"/>
      <c r="BF176" s="2"/>
      <c r="BG176" s="806">
        <f t="shared" si="225"/>
        <v>0</v>
      </c>
      <c r="BJ176" s="77"/>
      <c r="BT176" s="806">
        <f t="shared" si="148"/>
        <v>0</v>
      </c>
      <c r="CG176" s="828"/>
      <c r="CT176" s="828"/>
      <c r="DG176" s="828"/>
    </row>
    <row r="177" spans="1:111" x14ac:dyDescent="0.25">
      <c r="A177" s="8"/>
      <c r="C177" t="s">
        <v>1070</v>
      </c>
      <c r="G177" s="334">
        <v>362400</v>
      </c>
      <c r="H177" s="872">
        <v>362400</v>
      </c>
      <c r="I177" s="802"/>
      <c r="J177" s="802"/>
      <c r="K177" s="809"/>
      <c r="L177" s="810">
        <f t="shared" si="213"/>
        <v>0</v>
      </c>
      <c r="M177" s="394">
        <f t="shared" si="214"/>
        <v>362400</v>
      </c>
      <c r="N177" s="2"/>
      <c r="O177" s="2"/>
      <c r="P177" s="2"/>
      <c r="Q177" s="2"/>
      <c r="R177" s="2"/>
      <c r="S177" s="2"/>
      <c r="T177" s="2"/>
      <c r="U177" s="2"/>
      <c r="V177" s="2"/>
      <c r="W177" s="2"/>
      <c r="X177" s="2"/>
      <c r="Y177" s="2"/>
      <c r="Z177" s="2"/>
      <c r="AA177" s="806">
        <f t="shared" si="215"/>
        <v>0</v>
      </c>
      <c r="AB177" s="2"/>
      <c r="AC177" s="2"/>
      <c r="AD177" s="2"/>
      <c r="AE177" s="2"/>
      <c r="AF177" s="2"/>
      <c r="AG177" s="2"/>
      <c r="AH177" s="2"/>
      <c r="AI177" s="2"/>
      <c r="AJ177" s="2"/>
      <c r="AK177" s="2"/>
      <c r="AL177" s="2"/>
      <c r="AM177" s="2"/>
      <c r="AN177" s="806">
        <f t="shared" si="216"/>
        <v>0</v>
      </c>
      <c r="AO177" s="806">
        <f t="shared" si="217"/>
        <v>0</v>
      </c>
      <c r="AP177" s="806">
        <f t="shared" si="218"/>
        <v>0</v>
      </c>
      <c r="AQ177" s="806">
        <f t="shared" si="219"/>
        <v>0</v>
      </c>
      <c r="AR177" s="806">
        <f t="shared" si="220"/>
        <v>0</v>
      </c>
      <c r="AS177" s="806">
        <f t="shared" si="221"/>
        <v>0</v>
      </c>
      <c r="AT177" s="806">
        <f t="shared" si="221"/>
        <v>0</v>
      </c>
      <c r="AU177" s="2"/>
      <c r="AV177" s="2"/>
      <c r="AW177" s="2"/>
      <c r="AX177" s="2"/>
      <c r="AY177" s="2"/>
      <c r="AZ177" s="2"/>
      <c r="BA177" s="2"/>
      <c r="BC177" s="2"/>
      <c r="BD177" s="2"/>
      <c r="BE177" s="2"/>
      <c r="BF177" s="2"/>
      <c r="BG177" s="806">
        <f t="shared" si="225"/>
        <v>0</v>
      </c>
      <c r="BJ177" s="77"/>
      <c r="BT177" s="806">
        <f t="shared" si="148"/>
        <v>0</v>
      </c>
      <c r="CG177" s="828"/>
      <c r="CT177" s="828"/>
      <c r="DG177" s="828"/>
    </row>
    <row r="178" spans="1:111" x14ac:dyDescent="0.25">
      <c r="A178" s="13"/>
      <c r="B178" s="6"/>
      <c r="C178" s="6" t="s">
        <v>34</v>
      </c>
      <c r="D178" s="6"/>
      <c r="E178" s="6"/>
      <c r="F178" s="6"/>
      <c r="G178" s="6"/>
      <c r="H178" s="335">
        <v>30000</v>
      </c>
      <c r="I178" s="812"/>
      <c r="J178" s="812"/>
      <c r="K178" s="809"/>
      <c r="L178" s="810">
        <f t="shared" si="213"/>
        <v>0</v>
      </c>
      <c r="M178" s="394">
        <f t="shared" si="214"/>
        <v>30000</v>
      </c>
      <c r="N178" s="2"/>
      <c r="O178" s="2"/>
      <c r="P178" s="2"/>
      <c r="Q178" s="2"/>
      <c r="R178" s="2"/>
      <c r="S178" s="2"/>
      <c r="T178" s="2"/>
      <c r="U178" s="2"/>
      <c r="V178" s="2"/>
      <c r="W178" s="2"/>
      <c r="X178" s="2"/>
      <c r="Y178" s="2"/>
      <c r="Z178" s="2"/>
      <c r="AA178" s="806">
        <f t="shared" si="215"/>
        <v>0</v>
      </c>
      <c r="AB178" s="2"/>
      <c r="AC178" s="2"/>
      <c r="AD178" s="2"/>
      <c r="AE178" s="2"/>
      <c r="AF178" s="2"/>
      <c r="AG178" s="2"/>
      <c r="AH178" s="2"/>
      <c r="AI178" s="2"/>
      <c r="AJ178" s="2"/>
      <c r="AK178" s="2"/>
      <c r="AL178" s="2"/>
      <c r="AM178" s="2"/>
      <c r="AN178" s="806">
        <f t="shared" si="216"/>
        <v>0</v>
      </c>
      <c r="AO178" s="806">
        <f t="shared" si="217"/>
        <v>0</v>
      </c>
      <c r="AP178" s="806">
        <f t="shared" si="218"/>
        <v>0</v>
      </c>
      <c r="AQ178" s="806">
        <f t="shared" si="219"/>
        <v>0</v>
      </c>
      <c r="AR178" s="806">
        <f t="shared" si="220"/>
        <v>0</v>
      </c>
      <c r="AS178" s="806">
        <f t="shared" si="221"/>
        <v>0</v>
      </c>
      <c r="AT178" s="806">
        <f t="shared" si="221"/>
        <v>0</v>
      </c>
      <c r="AU178" s="2"/>
      <c r="AV178" s="2"/>
      <c r="AW178" s="2"/>
      <c r="AX178" s="2"/>
      <c r="AY178" s="2"/>
      <c r="AZ178" s="2"/>
      <c r="BA178" s="2"/>
      <c r="BC178" s="2"/>
      <c r="BD178" s="2"/>
      <c r="BE178" s="2"/>
      <c r="BF178" s="2"/>
      <c r="BG178" s="806">
        <f t="shared" si="225"/>
        <v>0</v>
      </c>
      <c r="BH178" s="2"/>
      <c r="BI178" s="2"/>
      <c r="BJ178" s="77"/>
      <c r="BT178" s="806">
        <f t="shared" si="148"/>
        <v>0</v>
      </c>
      <c r="CG178" s="828"/>
      <c r="CT178" s="828"/>
      <c r="DG178" s="828"/>
    </row>
    <row r="179" spans="1:111" s="797" customFormat="1" x14ac:dyDescent="0.25">
      <c r="A179" s="797" t="s">
        <v>1071</v>
      </c>
      <c r="H179" s="875">
        <f>SUM(H172:H178)</f>
        <v>2070540</v>
      </c>
      <c r="I179" s="813"/>
      <c r="J179" s="813"/>
      <c r="K179" s="813"/>
      <c r="L179" s="813"/>
      <c r="AD179" s="828">
        <f>SUM(AD172:AD178)</f>
        <v>0</v>
      </c>
      <c r="BG179" s="806">
        <f t="shared" si="147"/>
        <v>0</v>
      </c>
      <c r="BT179" s="806">
        <f t="shared" si="148"/>
        <v>0</v>
      </c>
    </row>
    <row r="180" spans="1:111" x14ac:dyDescent="0.25">
      <c r="A180" s="13"/>
      <c r="B180" s="6"/>
      <c r="C180" s="428"/>
      <c r="D180" s="6"/>
      <c r="E180" s="1"/>
      <c r="F180" s="1"/>
      <c r="G180" s="1"/>
      <c r="H180" s="807"/>
      <c r="I180" s="330"/>
      <c r="J180" s="330"/>
      <c r="K180" s="20"/>
      <c r="L180" s="19"/>
      <c r="M180" s="20"/>
      <c r="N180" s="2"/>
      <c r="O180" s="2"/>
      <c r="P180" s="2"/>
      <c r="Q180" s="2"/>
      <c r="R180" s="2"/>
      <c r="S180" s="2"/>
      <c r="T180" s="2"/>
      <c r="U180" s="2"/>
      <c r="V180" s="2"/>
      <c r="W180" s="2"/>
      <c r="X180" s="2"/>
      <c r="Y180" s="2"/>
      <c r="Z180" s="2"/>
      <c r="AA180" s="828"/>
      <c r="AB180" s="2"/>
      <c r="AC180" s="2"/>
      <c r="AD180" s="2"/>
      <c r="AE180" s="2"/>
      <c r="AF180" s="2"/>
      <c r="AG180" s="2"/>
      <c r="AH180" s="2"/>
      <c r="AI180" s="2"/>
      <c r="AJ180" s="2"/>
      <c r="AK180" s="2"/>
      <c r="AL180" s="2"/>
      <c r="AM180" s="2"/>
      <c r="AN180" s="828"/>
      <c r="AO180" s="828"/>
      <c r="AP180" s="828"/>
      <c r="AQ180" s="828"/>
      <c r="AR180" s="828"/>
      <c r="AS180" s="828"/>
      <c r="AT180" s="828"/>
      <c r="AU180" s="2"/>
      <c r="AV180" s="2"/>
      <c r="AW180" s="2"/>
      <c r="AX180" s="2"/>
      <c r="AY180" s="2"/>
      <c r="AZ180" s="2"/>
      <c r="BA180" s="2"/>
      <c r="BB180" s="2"/>
      <c r="BC180" s="2"/>
      <c r="BD180" s="2"/>
      <c r="BE180" s="2"/>
      <c r="BF180" s="2"/>
      <c r="BG180" s="828"/>
      <c r="BH180" s="2"/>
      <c r="BI180" s="2"/>
      <c r="BJ180" s="5"/>
      <c r="BT180" s="828"/>
      <c r="CG180" s="828"/>
      <c r="CT180" s="828"/>
      <c r="DG180" s="828"/>
    </row>
    <row r="181" spans="1:111" x14ac:dyDescent="0.25">
      <c r="A181" s="14" t="s">
        <v>95</v>
      </c>
      <c r="B181" s="15"/>
      <c r="C181" s="15"/>
      <c r="D181" s="15"/>
      <c r="E181" s="15"/>
      <c r="F181" s="15"/>
      <c r="G181" s="15"/>
      <c r="H181" s="876"/>
      <c r="I181" s="336"/>
      <c r="J181" s="336"/>
      <c r="K181" s="21"/>
      <c r="L181" s="19"/>
      <c r="M181" s="21"/>
      <c r="N181" s="2"/>
      <c r="O181" s="2"/>
      <c r="P181" s="2"/>
      <c r="Q181" s="2"/>
      <c r="R181" s="2"/>
      <c r="S181" s="2"/>
      <c r="T181" s="2"/>
      <c r="U181" s="2"/>
      <c r="V181" s="2"/>
      <c r="W181" s="2"/>
      <c r="X181" s="2"/>
      <c r="Y181" s="2"/>
      <c r="Z181" s="2"/>
      <c r="AA181" s="828"/>
      <c r="AB181" s="2"/>
      <c r="AC181" s="2"/>
      <c r="AD181" s="2"/>
      <c r="AE181" s="2"/>
      <c r="AF181" s="2"/>
      <c r="AG181" s="2"/>
      <c r="AH181" s="2"/>
      <c r="AI181" s="2"/>
      <c r="AJ181" s="2"/>
      <c r="AK181" s="2"/>
      <c r="AL181" s="2"/>
      <c r="AM181" s="2"/>
      <c r="AN181" s="828"/>
      <c r="AO181" s="828"/>
      <c r="AP181" s="828"/>
      <c r="AQ181" s="828"/>
      <c r="AR181" s="828"/>
      <c r="AS181" s="828"/>
      <c r="AT181" s="828"/>
      <c r="AU181" s="2"/>
      <c r="AV181" s="2"/>
      <c r="AW181" s="2"/>
      <c r="AX181" s="2"/>
      <c r="AY181" s="2"/>
      <c r="AZ181" s="2"/>
      <c r="BA181" s="2"/>
      <c r="BB181" s="2"/>
      <c r="BC181" s="2"/>
      <c r="BD181" s="2"/>
      <c r="BE181" s="2"/>
      <c r="BF181" s="2"/>
      <c r="BG181" s="828"/>
      <c r="BH181" s="2"/>
      <c r="BI181" s="2"/>
      <c r="BJ181" s="5"/>
      <c r="BT181" s="828"/>
      <c r="CG181" s="828"/>
      <c r="CT181" s="828"/>
      <c r="DG181" s="828"/>
    </row>
    <row r="182" spans="1:111" x14ac:dyDescent="0.25">
      <c r="A182" s="14" t="s">
        <v>96</v>
      </c>
      <c r="B182" s="15"/>
      <c r="C182" s="15"/>
      <c r="D182" s="15"/>
      <c r="E182" s="15"/>
      <c r="F182" s="15"/>
      <c r="G182" s="15"/>
      <c r="H182" s="876"/>
      <c r="I182" s="336"/>
      <c r="J182" s="336"/>
      <c r="K182" s="21"/>
      <c r="L182" s="21"/>
      <c r="M182" s="21"/>
      <c r="N182" s="2"/>
      <c r="O182" s="2"/>
      <c r="P182" s="2"/>
      <c r="Q182" s="2"/>
      <c r="R182" s="2"/>
      <c r="S182" s="2"/>
      <c r="T182" s="2"/>
      <c r="U182" s="2"/>
      <c r="V182" s="2"/>
      <c r="W182" s="2"/>
      <c r="X182" s="2"/>
      <c r="Y182" s="2"/>
      <c r="Z182" s="2"/>
      <c r="AA182" s="828"/>
      <c r="AB182" s="2"/>
      <c r="AC182" s="2"/>
      <c r="AD182" s="2"/>
      <c r="AE182" s="2"/>
      <c r="AF182" s="2"/>
      <c r="AG182" s="2"/>
      <c r="AH182" s="2"/>
      <c r="AI182" s="2"/>
      <c r="AJ182" s="2"/>
      <c r="AK182" s="2"/>
      <c r="AL182" s="2"/>
      <c r="AM182" s="2"/>
      <c r="AN182" s="828"/>
      <c r="AO182" s="828"/>
      <c r="AP182" s="828"/>
      <c r="AQ182" s="828"/>
      <c r="AR182" s="828"/>
      <c r="AS182" s="828"/>
      <c r="AT182" s="828"/>
      <c r="AU182" s="2"/>
      <c r="AV182" s="2"/>
      <c r="AW182" s="2"/>
      <c r="AX182" s="2"/>
      <c r="AY182" s="2"/>
      <c r="AZ182" s="2"/>
      <c r="BA182" s="2"/>
      <c r="BB182" s="2"/>
      <c r="BC182" s="2"/>
      <c r="BD182" s="2"/>
      <c r="BE182" s="2"/>
      <c r="BF182" s="2"/>
      <c r="BG182" s="828"/>
      <c r="BJ182" s="5"/>
      <c r="BT182" s="828"/>
      <c r="CG182" s="828"/>
      <c r="CT182" s="828"/>
      <c r="DG182" s="828"/>
    </row>
    <row r="183" spans="1:111" ht="15.75" thickBot="1" x14ac:dyDescent="0.3">
      <c r="A183" s="168" t="s">
        <v>97</v>
      </c>
      <c r="B183" s="169"/>
      <c r="C183" s="169"/>
      <c r="D183" s="169"/>
      <c r="E183" s="169"/>
      <c r="F183" s="169"/>
      <c r="G183" s="169"/>
      <c r="H183" s="877"/>
      <c r="I183" s="343"/>
      <c r="J183" s="343"/>
      <c r="K183" s="167"/>
      <c r="L183" s="167"/>
      <c r="M183" s="167"/>
      <c r="N183" s="74"/>
      <c r="O183" s="74"/>
      <c r="P183" s="74"/>
      <c r="Q183" s="74"/>
      <c r="R183" s="74"/>
      <c r="S183" s="74"/>
      <c r="T183" s="74"/>
      <c r="U183" s="74"/>
      <c r="V183" s="74"/>
      <c r="W183" s="74"/>
      <c r="X183" s="74"/>
      <c r="Y183" s="74"/>
      <c r="Z183" s="74"/>
      <c r="AA183" s="878"/>
      <c r="AB183" s="74"/>
      <c r="AC183" s="74"/>
      <c r="AD183" s="74"/>
      <c r="AE183" s="74"/>
      <c r="AF183" s="74"/>
      <c r="AG183" s="74"/>
      <c r="AH183" s="74"/>
      <c r="AI183" s="74"/>
      <c r="AJ183" s="74"/>
      <c r="AK183" s="74"/>
      <c r="AL183" s="74"/>
      <c r="AM183" s="74"/>
      <c r="AN183" s="878"/>
      <c r="AO183" s="878"/>
      <c r="AP183" s="878"/>
      <c r="AQ183" s="878"/>
      <c r="AR183" s="878"/>
      <c r="AS183" s="878"/>
      <c r="AT183" s="878"/>
      <c r="AU183" s="74"/>
      <c r="AV183" s="74"/>
      <c r="AW183" s="74"/>
      <c r="AX183" s="74"/>
      <c r="AY183" s="74"/>
      <c r="AZ183" s="74"/>
      <c r="BA183" s="74"/>
      <c r="BB183" s="74"/>
      <c r="BC183" s="74"/>
      <c r="BD183" s="74"/>
      <c r="BE183" s="74"/>
      <c r="BF183" s="74"/>
      <c r="BG183" s="878"/>
      <c r="BH183" s="72"/>
      <c r="BI183" s="72"/>
      <c r="BJ183" s="5"/>
      <c r="BK183" s="72"/>
      <c r="BL183" s="72"/>
      <c r="BM183" s="72"/>
      <c r="BN183" s="72"/>
      <c r="BO183" s="72"/>
      <c r="BP183" s="72"/>
      <c r="BQ183" s="72"/>
      <c r="BT183" s="878"/>
      <c r="CG183" s="878"/>
      <c r="CT183" s="878"/>
      <c r="DG183" s="878"/>
    </row>
    <row r="184" spans="1:111" ht="15.75" thickBot="1" x14ac:dyDescent="0.3">
      <c r="A184" s="11" t="s">
        <v>98</v>
      </c>
      <c r="B184" s="12"/>
      <c r="C184" s="12"/>
      <c r="D184" s="12"/>
      <c r="E184" s="12"/>
      <c r="F184" s="12"/>
      <c r="G184" s="12"/>
      <c r="H184" s="879"/>
      <c r="I184" s="382"/>
      <c r="J184" s="382"/>
      <c r="K184" s="22"/>
      <c r="L184" s="22"/>
      <c r="M184" s="22"/>
      <c r="N184" s="2"/>
      <c r="O184" s="2"/>
      <c r="P184" s="2"/>
      <c r="Q184" s="2"/>
      <c r="R184" s="2"/>
      <c r="S184" s="2"/>
      <c r="T184" s="2"/>
      <c r="U184" s="2"/>
      <c r="V184" s="2"/>
      <c r="W184" s="2"/>
      <c r="X184" s="2"/>
      <c r="Y184" s="2"/>
      <c r="Z184" s="2"/>
      <c r="AA184" s="828"/>
      <c r="AB184" s="2"/>
      <c r="AC184" s="2"/>
      <c r="AD184" s="2"/>
      <c r="AE184" s="2"/>
      <c r="AF184" s="2"/>
      <c r="AG184" s="2"/>
      <c r="AH184" s="2"/>
      <c r="AI184" s="2"/>
      <c r="AJ184" s="2"/>
      <c r="AK184" s="2"/>
      <c r="AL184" s="2"/>
      <c r="AM184" s="2"/>
      <c r="AN184" s="828"/>
      <c r="AO184" s="828"/>
      <c r="AP184" s="828"/>
      <c r="AQ184" s="828"/>
      <c r="AR184" s="828"/>
      <c r="AS184" s="828"/>
      <c r="AT184" s="828"/>
      <c r="AU184" s="2"/>
      <c r="AV184" s="2"/>
      <c r="AW184" s="2"/>
      <c r="AX184" s="2"/>
      <c r="AY184" s="2"/>
      <c r="AZ184" s="2"/>
      <c r="BA184" s="2"/>
      <c r="BB184" s="2"/>
      <c r="BC184" s="2"/>
      <c r="BD184" s="2"/>
      <c r="BE184" s="2"/>
      <c r="BF184" s="2"/>
      <c r="BG184" s="828"/>
      <c r="BJ184" s="5"/>
      <c r="BT184" s="828"/>
      <c r="CG184" s="828"/>
      <c r="CT184" s="828"/>
      <c r="DG184" s="828"/>
    </row>
    <row r="185" spans="1:111" ht="15.75" thickBot="1" x14ac:dyDescent="0.3">
      <c r="A185" s="9" t="s">
        <v>99</v>
      </c>
      <c r="B185" s="10"/>
      <c r="C185" s="38"/>
      <c r="D185" s="10"/>
      <c r="E185" s="38"/>
      <c r="F185" s="38"/>
      <c r="G185" s="38"/>
      <c r="H185" s="880"/>
      <c r="I185" s="345"/>
      <c r="J185" s="345"/>
      <c r="K185" s="36"/>
      <c r="L185" s="36"/>
      <c r="M185" s="36"/>
      <c r="N185" s="2"/>
      <c r="O185" s="2"/>
      <c r="P185" s="2"/>
      <c r="Q185" s="2"/>
      <c r="R185" s="2"/>
      <c r="S185" s="2"/>
      <c r="T185" s="2"/>
      <c r="U185" s="2"/>
      <c r="V185" s="2"/>
      <c r="W185" s="2"/>
      <c r="X185" s="2"/>
      <c r="Y185" s="2"/>
      <c r="Z185" s="2"/>
      <c r="AA185" s="828"/>
      <c r="AB185" s="2"/>
      <c r="AC185" s="2"/>
      <c r="AD185" s="2"/>
      <c r="AE185" s="2"/>
      <c r="AF185" s="2"/>
      <c r="AG185" s="2"/>
      <c r="AH185" s="2"/>
      <c r="AI185" s="2"/>
      <c r="AJ185" s="2"/>
      <c r="AK185" s="2"/>
      <c r="AL185" s="2"/>
      <c r="AM185" s="2"/>
      <c r="AN185" s="828"/>
      <c r="AO185" s="828"/>
      <c r="AP185" s="828"/>
      <c r="AQ185" s="828"/>
      <c r="AR185" s="828"/>
      <c r="AS185" s="828"/>
      <c r="AT185" s="828"/>
      <c r="AU185" s="2"/>
      <c r="AV185" s="2"/>
      <c r="AW185" s="2"/>
      <c r="AX185" s="2"/>
      <c r="AY185" s="2"/>
      <c r="AZ185" s="2"/>
      <c r="BA185" s="2"/>
      <c r="BB185" s="2"/>
      <c r="BC185" s="2"/>
      <c r="BD185" s="2"/>
      <c r="BE185" s="2"/>
      <c r="BF185" s="2"/>
      <c r="BG185" s="828"/>
      <c r="BJ185" s="5"/>
      <c r="BT185" s="828"/>
      <c r="CG185" s="828"/>
      <c r="CT185" s="828"/>
      <c r="DG185" s="828"/>
    </row>
    <row r="186" spans="1:111" ht="15.75" thickBot="1" x14ac:dyDescent="0.3">
      <c r="A186" s="35" t="s">
        <v>100</v>
      </c>
      <c r="B186" s="372"/>
      <c r="C186" s="10"/>
      <c r="D186" s="372"/>
      <c r="E186" s="10"/>
      <c r="F186" s="10"/>
      <c r="G186" s="10"/>
      <c r="H186" s="880"/>
      <c r="I186" s="345"/>
      <c r="J186" s="345"/>
      <c r="K186" s="23" t="e">
        <f>K184/C185</f>
        <v>#DIV/0!</v>
      </c>
      <c r="L186" s="23"/>
      <c r="M186" s="23"/>
      <c r="N186" s="69"/>
      <c r="O186" s="6"/>
      <c r="P186" s="6"/>
      <c r="Q186" s="6"/>
      <c r="R186" s="6"/>
      <c r="S186" s="6"/>
      <c r="T186" s="6"/>
      <c r="U186" s="6"/>
      <c r="V186" s="6"/>
      <c r="W186" s="6"/>
      <c r="X186" s="6"/>
      <c r="Y186" s="6"/>
      <c r="Z186" s="6"/>
      <c r="AA186" s="881"/>
      <c r="AB186" s="6"/>
      <c r="AC186" s="6"/>
      <c r="AD186" s="6"/>
      <c r="AE186" s="6"/>
      <c r="AF186" s="6"/>
      <c r="AG186" s="6"/>
      <c r="AH186" s="6"/>
      <c r="AI186" s="6"/>
      <c r="AJ186" s="6"/>
      <c r="AK186" s="6"/>
      <c r="AL186" s="6"/>
      <c r="AM186" s="6"/>
      <c r="AN186" s="881"/>
      <c r="AO186" s="881"/>
      <c r="AP186" s="881"/>
      <c r="AQ186" s="881"/>
      <c r="AR186" s="881"/>
      <c r="AS186" s="881"/>
      <c r="AT186" s="881"/>
      <c r="AU186" s="6"/>
      <c r="AV186" s="6"/>
      <c r="AW186" s="6"/>
      <c r="AX186" s="6"/>
      <c r="AY186" s="6"/>
      <c r="AZ186" s="6"/>
      <c r="BA186" s="6"/>
      <c r="BB186" s="6"/>
      <c r="BC186" s="6"/>
      <c r="BD186" s="6"/>
      <c r="BE186" s="6"/>
      <c r="BF186" s="6"/>
      <c r="BG186" s="881"/>
      <c r="BH186" s="6"/>
      <c r="BI186" s="6"/>
      <c r="BJ186" s="7"/>
      <c r="BT186" s="881"/>
      <c r="CG186" s="881"/>
      <c r="CT186" s="881"/>
      <c r="DG186" s="881"/>
    </row>
    <row r="187" spans="1:111" x14ac:dyDescent="0.25">
      <c r="H187" s="807"/>
      <c r="I187" s="330"/>
      <c r="J187" s="330"/>
      <c r="AC187" s="34" t="s">
        <v>101</v>
      </c>
      <c r="AD187" s="2">
        <f>SUM(O184:AD184)</f>
        <v>0</v>
      </c>
    </row>
    <row r="188" spans="1:111" x14ac:dyDescent="0.25">
      <c r="C188" t="s">
        <v>102</v>
      </c>
      <c r="H188" s="807"/>
      <c r="I188" s="330"/>
      <c r="J188" s="330"/>
    </row>
    <row r="189" spans="1:111" x14ac:dyDescent="0.25">
      <c r="C189" t="s">
        <v>103</v>
      </c>
      <c r="H189" s="807"/>
      <c r="I189" s="330"/>
      <c r="J189" s="330"/>
      <c r="K189" s="2"/>
      <c r="L189" s="2"/>
      <c r="M189" s="2"/>
    </row>
    <row r="190" spans="1:111" x14ac:dyDescent="0.25">
      <c r="H190" s="807"/>
      <c r="I190" s="330"/>
      <c r="J190" s="330"/>
      <c r="T190" s="2"/>
      <c r="U190" s="2"/>
      <c r="V190" s="2"/>
      <c r="W190" s="2"/>
      <c r="X190" s="2"/>
      <c r="Y190" s="2"/>
      <c r="Z190" s="2"/>
      <c r="AA190" s="828"/>
      <c r="AB190" s="2"/>
      <c r="AC190" s="2"/>
      <c r="AD190" s="2"/>
      <c r="AE190" s="2"/>
      <c r="AF190" s="2"/>
      <c r="AG190" s="2"/>
      <c r="AH190" s="2"/>
      <c r="AI190" s="2"/>
      <c r="AJ190" s="2"/>
      <c r="AK190" s="2"/>
      <c r="AL190" s="2"/>
      <c r="AM190" s="2"/>
      <c r="AN190" s="828"/>
      <c r="AO190" s="828"/>
      <c r="AP190" s="828"/>
      <c r="AQ190" s="828"/>
      <c r="AR190" s="828"/>
      <c r="AS190" s="828"/>
      <c r="AT190" s="828"/>
      <c r="AU190" s="2"/>
      <c r="AV190" s="2"/>
      <c r="AW190" s="2"/>
      <c r="AX190" s="2"/>
      <c r="AY190" s="2"/>
      <c r="AZ190" s="2"/>
      <c r="BA190" s="2"/>
      <c r="BB190" s="2"/>
      <c r="BC190" s="2"/>
      <c r="BD190" s="2"/>
      <c r="BE190" s="2"/>
      <c r="BF190" s="5"/>
      <c r="BG190" s="828"/>
      <c r="BH190" s="882"/>
      <c r="BI190" s="882"/>
      <c r="BJ190" s="882"/>
      <c r="BT190" s="828"/>
      <c r="CG190" s="828"/>
      <c r="CT190" s="828"/>
      <c r="DG190" s="828"/>
    </row>
    <row r="191" spans="1:111" x14ac:dyDescent="0.25">
      <c r="C191" t="s">
        <v>1072</v>
      </c>
      <c r="H191" s="807"/>
      <c r="I191" s="330"/>
      <c r="J191" s="330"/>
    </row>
    <row r="192" spans="1:111" x14ac:dyDescent="0.25">
      <c r="C192" t="s">
        <v>1073</v>
      </c>
      <c r="H192" s="807"/>
      <c r="I192" s="330"/>
      <c r="J192" s="330"/>
    </row>
    <row r="193" spans="3:15" customFormat="1" x14ac:dyDescent="0.25">
      <c r="C193" s="1" t="s">
        <v>104</v>
      </c>
      <c r="E193" s="1"/>
      <c r="F193" s="1"/>
      <c r="G193" s="1"/>
      <c r="H193" s="807"/>
      <c r="I193" s="330"/>
      <c r="J193" s="330"/>
    </row>
    <row r="194" spans="3:15" customFormat="1" x14ac:dyDescent="0.25">
      <c r="H194" s="807"/>
      <c r="I194" s="330"/>
      <c r="J194" s="330"/>
      <c r="K194" s="20"/>
      <c r="L194" s="2"/>
      <c r="M194" s="2"/>
      <c r="O194" s="2">
        <v>26221.74</v>
      </c>
    </row>
    <row r="195" spans="3:15" customFormat="1" x14ac:dyDescent="0.25">
      <c r="H195" s="807">
        <f>+H170</f>
        <v>8761793.2050000001</v>
      </c>
      <c r="I195" s="330"/>
      <c r="J195" s="330"/>
    </row>
    <row r="196" spans="3:15" customFormat="1" x14ac:dyDescent="0.25">
      <c r="H196" s="330"/>
      <c r="I196" s="330"/>
      <c r="J196" s="330"/>
    </row>
    <row r="197" spans="3:15" customFormat="1" x14ac:dyDescent="0.25">
      <c r="C197" t="s">
        <v>1074</v>
      </c>
      <c r="H197" s="807">
        <v>8339736</v>
      </c>
    </row>
    <row r="198" spans="3:15" customFormat="1" x14ac:dyDescent="0.25">
      <c r="C198" t="s">
        <v>1075</v>
      </c>
      <c r="H198" s="807">
        <f>+H197-H195</f>
        <v>-422057.20500000007</v>
      </c>
    </row>
  </sheetData>
  <mergeCells count="9">
    <mergeCell ref="BU3:CF3"/>
    <mergeCell ref="CH3:CS3"/>
    <mergeCell ref="CU3:DF3"/>
    <mergeCell ref="A6:A20"/>
    <mergeCell ref="A22:A24"/>
    <mergeCell ref="O3:Z3"/>
    <mergeCell ref="AB3:AM3"/>
    <mergeCell ref="AU3:BF3"/>
    <mergeCell ref="BH3:BS3"/>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4EF5-050E-4837-AFE4-2CF8888081D3}">
  <dimension ref="B1:AY59"/>
  <sheetViews>
    <sheetView topLeftCell="A2" zoomScale="80" zoomScaleNormal="80" workbookViewId="0">
      <selection activeCell="F44" sqref="F44"/>
    </sheetView>
  </sheetViews>
  <sheetFormatPr defaultRowHeight="15" x14ac:dyDescent="0.25"/>
  <cols>
    <col min="1" max="1" width="4.42578125" customWidth="1"/>
    <col min="2" max="2" width="57.140625" bestFit="1" customWidth="1"/>
    <col min="3" max="3" width="35.85546875" bestFit="1" customWidth="1"/>
    <col min="4" max="8" width="15.42578125" customWidth="1"/>
    <col min="9" max="11" width="15" customWidth="1"/>
    <col min="12" max="12" width="29" bestFit="1" customWidth="1"/>
    <col min="13" max="16" width="8.5703125" customWidth="1"/>
    <col min="17" max="17" width="9.42578125" customWidth="1"/>
    <col min="18" max="31" width="8.5703125" customWidth="1"/>
    <col min="32" max="34" width="8.7109375" bestFit="1" customWidth="1"/>
    <col min="35" max="35" width="9.5703125" bestFit="1" customWidth="1"/>
    <col min="16375" max="16384" width="8.7109375" bestFit="1" customWidth="1"/>
  </cols>
  <sheetData>
    <row r="1" spans="2:51" ht="15.75" thickBot="1" x14ac:dyDescent="0.3"/>
    <row r="2" spans="2:51" ht="30.75" thickBot="1" x14ac:dyDescent="0.3">
      <c r="B2" s="11" t="s">
        <v>1076</v>
      </c>
      <c r="C2" s="252"/>
      <c r="D2" s="252"/>
      <c r="E2" s="252"/>
      <c r="F2" s="252"/>
      <c r="G2" s="252"/>
      <c r="H2" s="252"/>
      <c r="I2" s="252"/>
      <c r="J2" s="252"/>
      <c r="K2" s="252"/>
      <c r="L2" s="252"/>
      <c r="M2" s="252"/>
      <c r="N2" s="252"/>
      <c r="O2" s="252"/>
      <c r="P2" s="252"/>
      <c r="Q2" s="252"/>
      <c r="R2" s="252"/>
      <c r="S2" s="252"/>
      <c r="T2" s="252"/>
      <c r="U2" s="252"/>
      <c r="V2" s="280" t="s">
        <v>165</v>
      </c>
      <c r="W2" s="252"/>
      <c r="X2" s="252"/>
      <c r="Y2" s="92"/>
      <c r="Z2" s="92"/>
      <c r="AA2" s="252"/>
      <c r="AB2" s="252"/>
      <c r="AC2" s="252"/>
      <c r="AD2" s="12"/>
      <c r="AE2" s="252"/>
      <c r="AF2" s="252"/>
      <c r="AG2" s="252"/>
      <c r="AH2" s="252"/>
      <c r="AI2" s="252"/>
      <c r="AJ2" s="252"/>
      <c r="AK2" s="252"/>
      <c r="AL2" s="252"/>
      <c r="AM2" s="12" t="s">
        <v>383</v>
      </c>
      <c r="AN2" s="252"/>
      <c r="AO2" s="252"/>
      <c r="AP2" s="252"/>
      <c r="AQ2" s="252"/>
      <c r="AR2" s="252"/>
      <c r="AS2" s="252"/>
      <c r="AT2" s="252"/>
      <c r="AU2" s="252"/>
      <c r="AV2" s="252"/>
      <c r="AW2" s="252"/>
      <c r="AX2" s="252"/>
      <c r="AY2" s="253"/>
    </row>
    <row r="3" spans="2:51" ht="45.75" thickBot="1" x14ac:dyDescent="0.3">
      <c r="B3" s="11" t="s">
        <v>16</v>
      </c>
      <c r="C3" s="12" t="s">
        <v>17</v>
      </c>
      <c r="D3" s="161" t="s">
        <v>184</v>
      </c>
      <c r="E3" s="161" t="s">
        <v>185</v>
      </c>
      <c r="F3" s="161" t="s">
        <v>24</v>
      </c>
      <c r="G3" s="161" t="s">
        <v>25</v>
      </c>
      <c r="H3" s="161" t="s">
        <v>26</v>
      </c>
      <c r="I3" s="161" t="s">
        <v>186</v>
      </c>
      <c r="J3" s="134" t="s">
        <v>187</v>
      </c>
      <c r="K3" s="134" t="s">
        <v>1077</v>
      </c>
      <c r="L3" s="41" t="s">
        <v>1078</v>
      </c>
      <c r="M3" s="899">
        <v>44197</v>
      </c>
      <c r="N3" s="898">
        <v>44562</v>
      </c>
      <c r="O3" s="899">
        <v>44927</v>
      </c>
      <c r="P3" s="143">
        <v>45322</v>
      </c>
      <c r="Q3" s="143">
        <v>45351</v>
      </c>
      <c r="R3" s="143">
        <v>45382</v>
      </c>
      <c r="S3" s="143">
        <v>45412</v>
      </c>
      <c r="T3" s="143">
        <v>45443</v>
      </c>
      <c r="U3" s="143">
        <v>45473</v>
      </c>
      <c r="V3" s="143">
        <v>45504</v>
      </c>
      <c r="W3" s="143">
        <v>45535</v>
      </c>
      <c r="X3" s="143">
        <v>45565</v>
      </c>
      <c r="Y3" s="143">
        <v>45596</v>
      </c>
      <c r="Z3" s="143">
        <v>45626</v>
      </c>
      <c r="AA3" s="143">
        <v>45657</v>
      </c>
      <c r="AB3" s="144">
        <v>45688</v>
      </c>
      <c r="AC3" s="144">
        <v>45716</v>
      </c>
      <c r="AD3" s="144">
        <v>45747</v>
      </c>
      <c r="AE3" s="144">
        <v>45777</v>
      </c>
      <c r="AF3" s="144">
        <v>45808</v>
      </c>
      <c r="AG3" s="144">
        <v>45838</v>
      </c>
      <c r="AH3" s="144">
        <v>45869</v>
      </c>
      <c r="AI3" s="144">
        <v>45900</v>
      </c>
      <c r="AJ3" s="144">
        <v>45930</v>
      </c>
      <c r="AK3" s="144">
        <v>45961</v>
      </c>
      <c r="AL3" s="144">
        <v>45991</v>
      </c>
      <c r="AM3" s="144">
        <v>46022</v>
      </c>
      <c r="AN3" s="144">
        <v>46023</v>
      </c>
      <c r="AO3" s="144">
        <v>46054</v>
      </c>
      <c r="AP3" s="144">
        <v>46082</v>
      </c>
      <c r="AQ3" s="144">
        <v>46113</v>
      </c>
      <c r="AR3" s="144">
        <v>46143</v>
      </c>
      <c r="AS3" s="144">
        <v>46174</v>
      </c>
      <c r="AT3" s="144">
        <v>46204</v>
      </c>
      <c r="AU3" s="144">
        <v>46235</v>
      </c>
      <c r="AV3" s="144">
        <v>46266</v>
      </c>
      <c r="AW3" s="144">
        <v>46296</v>
      </c>
      <c r="AX3" s="144">
        <v>46327</v>
      </c>
      <c r="AY3" s="145">
        <v>46357</v>
      </c>
    </row>
    <row r="4" spans="2:51" x14ac:dyDescent="0.25">
      <c r="B4" s="8" t="s">
        <v>29</v>
      </c>
      <c r="C4" t="s">
        <v>170</v>
      </c>
      <c r="D4" s="19">
        <v>37000</v>
      </c>
      <c r="E4" s="19">
        <f>SUM(M4:AT4)</f>
        <v>37000</v>
      </c>
      <c r="F4" s="19"/>
      <c r="G4" s="19"/>
      <c r="H4" s="19"/>
      <c r="I4" s="19">
        <f t="shared" ref="I4:J6" ca="1" si="0">SUMIF($P$3:$AT$3,"&lt;"&amp;TODAY(),$P4:$AT4)</f>
        <v>0</v>
      </c>
      <c r="J4" s="19">
        <f t="shared" ca="1" si="0"/>
        <v>0</v>
      </c>
      <c r="K4" s="67"/>
      <c r="L4" s="266" t="s">
        <v>1079</v>
      </c>
      <c r="M4" s="2">
        <v>37000</v>
      </c>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174"/>
      <c r="AT4" s="174"/>
      <c r="AU4" s="174"/>
      <c r="AV4" s="174"/>
      <c r="AW4" s="174"/>
      <c r="AX4" s="174"/>
      <c r="AY4" s="5"/>
    </row>
    <row r="5" spans="2:51" x14ac:dyDescent="0.25">
      <c r="B5" s="8"/>
      <c r="C5" t="s">
        <v>32</v>
      </c>
      <c r="D5" s="19"/>
      <c r="E5" s="19">
        <f>SUM(M5:AT5)</f>
        <v>0</v>
      </c>
      <c r="F5" s="19"/>
      <c r="G5" s="19"/>
      <c r="H5" s="19"/>
      <c r="I5" s="19">
        <f t="shared" ca="1" si="0"/>
        <v>0</v>
      </c>
      <c r="J5" s="19">
        <f t="shared" ca="1" si="0"/>
        <v>0</v>
      </c>
      <c r="K5" s="67"/>
      <c r="L5" s="19" t="s">
        <v>1079</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5"/>
    </row>
    <row r="6" spans="2:51" x14ac:dyDescent="0.25">
      <c r="B6" s="8"/>
      <c r="C6" t="s">
        <v>111</v>
      </c>
      <c r="D6" s="19">
        <v>1800</v>
      </c>
      <c r="E6" s="19">
        <f>SUM(M6:AT6)</f>
        <v>1800</v>
      </c>
      <c r="F6" s="19"/>
      <c r="G6" s="19"/>
      <c r="H6" s="19"/>
      <c r="I6" s="19">
        <f t="shared" ca="1" si="0"/>
        <v>0</v>
      </c>
      <c r="J6" s="19">
        <f t="shared" ca="1" si="0"/>
        <v>0</v>
      </c>
      <c r="K6" s="67"/>
      <c r="L6" s="19" t="s">
        <v>219</v>
      </c>
      <c r="M6" s="2">
        <v>1800</v>
      </c>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5"/>
    </row>
    <row r="7" spans="2:51" x14ac:dyDescent="0.25">
      <c r="B7" s="14" t="s">
        <v>35</v>
      </c>
      <c r="C7" s="15"/>
      <c r="D7" s="21">
        <v>24000</v>
      </c>
      <c r="E7" s="21">
        <f>SUM(M7:AT7)</f>
        <v>24000</v>
      </c>
      <c r="F7" s="21"/>
      <c r="G7" s="21"/>
      <c r="H7" s="21"/>
      <c r="I7" s="21"/>
      <c r="J7" s="21">
        <f t="shared" ref="J7:J44" ca="1" si="1">SUMIF($P$3:$AT$3,"&lt;"&amp;TODAY(),$P7:$AT7)</f>
        <v>0</v>
      </c>
      <c r="K7" s="101"/>
      <c r="L7" s="21" t="s">
        <v>1080</v>
      </c>
      <c r="M7" s="136"/>
      <c r="N7" s="136"/>
      <c r="O7" s="136">
        <v>24000</v>
      </c>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6"/>
      <c r="AT7" s="136"/>
      <c r="AU7" s="136"/>
      <c r="AV7" s="136"/>
      <c r="AW7" s="136"/>
      <c r="AX7" s="136"/>
      <c r="AY7" s="274"/>
    </row>
    <row r="8" spans="2:51" x14ac:dyDescent="0.25">
      <c r="B8" s="14" t="s">
        <v>301</v>
      </c>
      <c r="C8" s="15"/>
      <c r="D8" s="21"/>
      <c r="E8" s="21"/>
      <c r="F8" s="21"/>
      <c r="G8" s="21"/>
      <c r="H8" s="21"/>
      <c r="I8" s="21"/>
      <c r="J8" s="21">
        <f t="shared" ca="1" si="1"/>
        <v>0</v>
      </c>
      <c r="K8" s="101"/>
      <c r="L8" s="21"/>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274"/>
    </row>
    <row r="9" spans="2:51" x14ac:dyDescent="0.25">
      <c r="B9" s="14" t="s">
        <v>329</v>
      </c>
      <c r="C9" s="15"/>
      <c r="D9" s="21"/>
      <c r="E9" s="21"/>
      <c r="F9" s="21"/>
      <c r="G9" s="21"/>
      <c r="H9" s="21"/>
      <c r="I9" s="21"/>
      <c r="J9" s="21">
        <f t="shared" ca="1" si="1"/>
        <v>0</v>
      </c>
      <c r="K9" s="101"/>
      <c r="L9" s="21"/>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274"/>
    </row>
    <row r="10" spans="2:51" x14ac:dyDescent="0.25">
      <c r="B10" s="257" t="s">
        <v>1081</v>
      </c>
      <c r="C10" t="s">
        <v>1082</v>
      </c>
      <c r="D10" s="25">
        <v>3000</v>
      </c>
      <c r="E10" s="25"/>
      <c r="F10" s="25"/>
      <c r="G10" s="25"/>
      <c r="H10" s="25"/>
      <c r="I10" s="25"/>
      <c r="J10" s="19">
        <f t="shared" ca="1" si="1"/>
        <v>0</v>
      </c>
      <c r="K10" s="897"/>
      <c r="L10" s="25" t="s">
        <v>1083</v>
      </c>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5"/>
    </row>
    <row r="11" spans="2:51" x14ac:dyDescent="0.25">
      <c r="B11" s="13"/>
      <c r="C11" s="264" t="s">
        <v>1084</v>
      </c>
      <c r="D11" s="76">
        <v>45000</v>
      </c>
      <c r="E11" s="19"/>
      <c r="F11" s="19"/>
      <c r="G11" s="19"/>
      <c r="H11" s="19"/>
      <c r="I11" s="19"/>
      <c r="J11" s="19">
        <f t="shared" ca="1" si="1"/>
        <v>0</v>
      </c>
      <c r="K11" s="67"/>
      <c r="L11" s="19" t="s">
        <v>1083</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5"/>
    </row>
    <row r="12" spans="2:51" x14ac:dyDescent="0.25">
      <c r="B12" s="257" t="s">
        <v>40</v>
      </c>
      <c r="C12" t="s">
        <v>1085</v>
      </c>
      <c r="D12" s="25">
        <v>20000</v>
      </c>
      <c r="E12" s="25"/>
      <c r="F12" s="25"/>
      <c r="G12" s="25"/>
      <c r="H12" s="25"/>
      <c r="I12" s="25"/>
      <c r="J12" s="25">
        <f t="shared" ca="1" si="1"/>
        <v>0</v>
      </c>
      <c r="K12" s="897"/>
      <c r="L12" s="25"/>
      <c r="M12" s="321"/>
      <c r="N12" s="321"/>
      <c r="O12" s="321"/>
      <c r="P12" s="321"/>
      <c r="Q12" s="321"/>
      <c r="R12" s="321"/>
      <c r="S12" s="321"/>
      <c r="T12" s="321"/>
      <c r="U12" s="321"/>
      <c r="V12" s="321"/>
      <c r="W12" s="321"/>
      <c r="X12" s="321"/>
      <c r="Y12" s="321"/>
      <c r="Z12" s="321"/>
      <c r="AA12" s="321"/>
      <c r="AB12" s="321"/>
      <c r="AC12" s="321"/>
      <c r="AD12" s="321"/>
      <c r="AE12" s="321"/>
      <c r="AF12" s="321"/>
      <c r="AG12" s="321"/>
      <c r="AH12" s="321"/>
      <c r="AI12" s="321"/>
      <c r="AJ12" s="321"/>
      <c r="AK12" s="321"/>
      <c r="AL12" s="321"/>
      <c r="AM12" s="321"/>
      <c r="AN12" s="321"/>
      <c r="AO12" s="321"/>
      <c r="AP12" s="321"/>
      <c r="AQ12" s="321"/>
      <c r="AR12" s="321"/>
      <c r="AS12" s="321"/>
      <c r="AT12" s="321"/>
      <c r="AU12" s="321"/>
      <c r="AV12" s="321"/>
      <c r="AW12" s="321"/>
      <c r="AX12" s="321"/>
      <c r="AY12" s="307"/>
    </row>
    <row r="13" spans="2:51" x14ac:dyDescent="0.25">
      <c r="B13" s="16"/>
      <c r="C13" s="131" t="s">
        <v>1086</v>
      </c>
      <c r="D13" s="76">
        <v>8000</v>
      </c>
      <c r="E13" s="19"/>
      <c r="F13" s="78"/>
      <c r="G13" s="78"/>
      <c r="H13" s="78"/>
      <c r="I13" s="78"/>
      <c r="J13" s="19">
        <f t="shared" ca="1" si="1"/>
        <v>0</v>
      </c>
      <c r="K13" s="131"/>
      <c r="L13" s="19"/>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5"/>
    </row>
    <row r="14" spans="2:51" x14ac:dyDescent="0.25">
      <c r="B14" s="13"/>
      <c r="C14" s="6" t="s">
        <v>1087</v>
      </c>
      <c r="D14" s="20">
        <v>8000</v>
      </c>
      <c r="E14" s="20"/>
      <c r="F14" s="79"/>
      <c r="G14" s="79"/>
      <c r="H14" s="79"/>
      <c r="I14" s="79"/>
      <c r="J14" s="20">
        <f t="shared" ca="1" si="1"/>
        <v>0</v>
      </c>
      <c r="K14" s="264"/>
      <c r="L14" s="79"/>
      <c r="M14" s="79"/>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275"/>
    </row>
    <row r="15" spans="2:51" x14ac:dyDescent="0.25">
      <c r="B15" s="16" t="s">
        <v>42</v>
      </c>
      <c r="C15" t="s">
        <v>1088</v>
      </c>
      <c r="D15" s="19">
        <v>1200</v>
      </c>
      <c r="E15" s="19">
        <v>1200</v>
      </c>
      <c r="F15" s="366">
        <v>1200</v>
      </c>
      <c r="G15" s="19"/>
      <c r="H15" s="19"/>
      <c r="I15" s="19">
        <v>1200</v>
      </c>
      <c r="J15" s="19">
        <f t="shared" ca="1" si="1"/>
        <v>0</v>
      </c>
      <c r="K15" s="67" t="s">
        <v>1089</v>
      </c>
      <c r="L15" s="19" t="s">
        <v>339</v>
      </c>
      <c r="M15" s="2"/>
      <c r="N15" s="2"/>
      <c r="O15" s="2"/>
      <c r="P15" s="2"/>
      <c r="Q15" s="2"/>
      <c r="R15" s="2"/>
      <c r="S15" s="2"/>
      <c r="T15" s="2"/>
      <c r="U15" s="2"/>
      <c r="V15" s="2"/>
      <c r="W15" s="2">
        <v>1200</v>
      </c>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5"/>
    </row>
    <row r="16" spans="2:51" x14ac:dyDescent="0.25">
      <c r="B16" s="16"/>
      <c r="C16" t="s">
        <v>408</v>
      </c>
      <c r="D16" s="19">
        <v>2500</v>
      </c>
      <c r="E16" s="19"/>
      <c r="F16" s="19"/>
      <c r="G16" s="19"/>
      <c r="H16" s="19"/>
      <c r="I16" s="19"/>
      <c r="J16" s="19">
        <f t="shared" ca="1" si="1"/>
        <v>0</v>
      </c>
      <c r="K16" s="67"/>
      <c r="L16" s="19"/>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5"/>
    </row>
    <row r="17" spans="2:51" x14ac:dyDescent="0.25">
      <c r="B17" s="16"/>
      <c r="C17" t="s">
        <v>46</v>
      </c>
      <c r="D17" s="19">
        <v>3000</v>
      </c>
      <c r="E17" s="19"/>
      <c r="F17" s="19"/>
      <c r="G17" s="19"/>
      <c r="H17" s="19"/>
      <c r="I17" s="19"/>
      <c r="J17" s="19">
        <f t="shared" ca="1" si="1"/>
        <v>0</v>
      </c>
      <c r="K17" s="67"/>
      <c r="L17" s="19"/>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5"/>
    </row>
    <row r="18" spans="2:51" x14ac:dyDescent="0.25">
      <c r="B18" s="16"/>
      <c r="C18" t="s">
        <v>404</v>
      </c>
      <c r="D18" s="19">
        <v>4000</v>
      </c>
      <c r="E18" s="19"/>
      <c r="F18" s="19"/>
      <c r="G18" s="19"/>
      <c r="H18" s="19"/>
      <c r="I18" s="19"/>
      <c r="J18" s="19">
        <f t="shared" ca="1" si="1"/>
        <v>0</v>
      </c>
      <c r="K18" s="67"/>
      <c r="L18" s="19"/>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5"/>
    </row>
    <row r="19" spans="2:51" x14ac:dyDescent="0.25">
      <c r="B19" s="16"/>
      <c r="C19" t="s">
        <v>48</v>
      </c>
      <c r="D19" s="19">
        <v>7000</v>
      </c>
      <c r="E19" s="19"/>
      <c r="F19" s="19"/>
      <c r="G19" s="19"/>
      <c r="H19" s="19"/>
      <c r="I19" s="19"/>
      <c r="J19" s="19">
        <f t="shared" ca="1" si="1"/>
        <v>0</v>
      </c>
      <c r="K19" s="67"/>
      <c r="L19" s="19"/>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5"/>
    </row>
    <row r="20" spans="2:51" x14ac:dyDescent="0.25">
      <c r="B20" s="16"/>
      <c r="C20" t="s">
        <v>171</v>
      </c>
      <c r="D20" s="19"/>
      <c r="E20" s="19"/>
      <c r="F20" s="19"/>
      <c r="G20" s="19"/>
      <c r="H20" s="19"/>
      <c r="I20" s="19"/>
      <c r="J20" s="19">
        <f t="shared" ca="1" si="1"/>
        <v>0</v>
      </c>
      <c r="K20" s="67"/>
      <c r="L20" s="19"/>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5"/>
    </row>
    <row r="21" spans="2:51" x14ac:dyDescent="0.25">
      <c r="B21" s="16"/>
      <c r="C21" t="s">
        <v>44</v>
      </c>
      <c r="D21" s="19">
        <v>2200</v>
      </c>
      <c r="E21" s="19">
        <v>2200</v>
      </c>
      <c r="F21" s="366">
        <v>2200</v>
      </c>
      <c r="G21" s="19"/>
      <c r="H21" s="19"/>
      <c r="I21" s="19"/>
      <c r="J21" s="19">
        <f t="shared" ca="1" si="1"/>
        <v>0</v>
      </c>
      <c r="K21" s="67"/>
      <c r="L21" s="19" t="s">
        <v>405</v>
      </c>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5"/>
    </row>
    <row r="22" spans="2:51" x14ac:dyDescent="0.25">
      <c r="B22" s="16"/>
      <c r="C22" t="s">
        <v>1090</v>
      </c>
      <c r="D22" s="19">
        <v>3000</v>
      </c>
      <c r="E22" s="19"/>
      <c r="F22" s="19"/>
      <c r="G22" s="19"/>
      <c r="H22" s="19"/>
      <c r="I22" s="19"/>
      <c r="J22" s="19">
        <f t="shared" ca="1" si="1"/>
        <v>0</v>
      </c>
      <c r="K22" s="67"/>
      <c r="L22" s="19"/>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5"/>
    </row>
    <row r="23" spans="2:51" x14ac:dyDescent="0.25">
      <c r="B23" s="16"/>
      <c r="C23" t="s">
        <v>1091</v>
      </c>
      <c r="D23" s="19">
        <v>3000</v>
      </c>
      <c r="E23" s="19"/>
      <c r="F23" s="19"/>
      <c r="G23" s="19"/>
      <c r="H23" s="19"/>
      <c r="I23" s="19"/>
      <c r="J23" s="19">
        <f t="shared" ca="1" si="1"/>
        <v>0</v>
      </c>
      <c r="K23" s="67"/>
      <c r="L23" s="19"/>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5"/>
    </row>
    <row r="24" spans="2:51" x14ac:dyDescent="0.25">
      <c r="B24" s="16"/>
      <c r="C24" t="s">
        <v>1092</v>
      </c>
      <c r="D24" s="19">
        <v>2500</v>
      </c>
      <c r="E24" s="19"/>
      <c r="F24" s="19"/>
      <c r="G24" s="19"/>
      <c r="H24" s="19"/>
      <c r="I24" s="19"/>
      <c r="J24" s="19"/>
      <c r="K24" s="67"/>
      <c r="L24" s="19"/>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5"/>
    </row>
    <row r="25" spans="2:51" x14ac:dyDescent="0.25">
      <c r="B25" s="16"/>
      <c r="C25" t="s">
        <v>1093</v>
      </c>
      <c r="D25" s="19">
        <v>1500</v>
      </c>
      <c r="E25" s="19"/>
      <c r="F25" s="19"/>
      <c r="G25" s="19"/>
      <c r="H25" s="19"/>
      <c r="I25" s="19"/>
      <c r="J25" s="19"/>
      <c r="K25" s="67"/>
      <c r="L25" s="19"/>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5"/>
    </row>
    <row r="26" spans="2:51" x14ac:dyDescent="0.25">
      <c r="B26" s="16"/>
      <c r="C26" t="s">
        <v>1094</v>
      </c>
      <c r="D26" s="19">
        <v>2500</v>
      </c>
      <c r="E26" s="19"/>
      <c r="F26" s="19"/>
      <c r="G26" s="19"/>
      <c r="H26" s="19"/>
      <c r="I26" s="19"/>
      <c r="J26" s="19">
        <f t="shared" ca="1" si="1"/>
        <v>0</v>
      </c>
      <c r="K26" s="67"/>
      <c r="L26" s="19"/>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5"/>
    </row>
    <row r="27" spans="2:51" x14ac:dyDescent="0.25">
      <c r="B27" s="16"/>
      <c r="C27" t="s">
        <v>172</v>
      </c>
      <c r="D27" s="19">
        <v>3000</v>
      </c>
      <c r="E27" s="19"/>
      <c r="F27" s="19"/>
      <c r="G27" s="19"/>
      <c r="H27" s="19"/>
      <c r="I27" s="19"/>
      <c r="J27" s="19">
        <f t="shared" ca="1" si="1"/>
        <v>0</v>
      </c>
      <c r="K27" s="67"/>
      <c r="L27" s="19"/>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5"/>
    </row>
    <row r="28" spans="2:51" x14ac:dyDescent="0.25">
      <c r="B28" s="16"/>
      <c r="C28" t="s">
        <v>47</v>
      </c>
      <c r="D28" s="19">
        <v>4000</v>
      </c>
      <c r="E28" s="19"/>
      <c r="F28" s="19"/>
      <c r="G28" s="19"/>
      <c r="H28" s="19"/>
      <c r="I28" s="19"/>
      <c r="J28" s="19">
        <f t="shared" ca="1" si="1"/>
        <v>0</v>
      </c>
      <c r="K28" s="67"/>
      <c r="L28" s="19"/>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5"/>
    </row>
    <row r="29" spans="2:51" x14ac:dyDescent="0.25">
      <c r="B29" s="16"/>
      <c r="C29" t="s">
        <v>54</v>
      </c>
      <c r="D29" s="19">
        <v>5000</v>
      </c>
      <c r="E29" s="19"/>
      <c r="F29" s="19"/>
      <c r="G29" s="19"/>
      <c r="H29" s="19"/>
      <c r="I29" s="19"/>
      <c r="J29" s="19">
        <f t="shared" ca="1" si="1"/>
        <v>0</v>
      </c>
      <c r="K29" s="67"/>
      <c r="L29" s="19"/>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5"/>
    </row>
    <row r="30" spans="2:51" x14ac:dyDescent="0.25">
      <c r="B30" s="16"/>
      <c r="C30" t="s">
        <v>1095</v>
      </c>
      <c r="D30" s="19">
        <v>8000</v>
      </c>
      <c r="E30" s="19"/>
      <c r="F30" s="19"/>
      <c r="G30" s="19"/>
      <c r="H30" s="19"/>
      <c r="I30" s="19"/>
      <c r="J30" s="19">
        <f t="shared" ca="1" si="1"/>
        <v>0</v>
      </c>
      <c r="K30" s="67"/>
      <c r="L30" s="19"/>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5"/>
    </row>
    <row r="31" spans="2:51" x14ac:dyDescent="0.25">
      <c r="B31" s="16"/>
      <c r="C31" t="s">
        <v>59</v>
      </c>
      <c r="D31" s="19">
        <v>2500</v>
      </c>
      <c r="E31" s="19"/>
      <c r="F31" s="19"/>
      <c r="G31" s="19"/>
      <c r="H31" s="19"/>
      <c r="I31" s="19"/>
      <c r="J31" s="19">
        <f t="shared" ca="1" si="1"/>
        <v>0</v>
      </c>
      <c r="K31" s="67"/>
      <c r="L31" s="19"/>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5"/>
    </row>
    <row r="32" spans="2:51" x14ac:dyDescent="0.25">
      <c r="B32" s="16"/>
      <c r="C32" t="s">
        <v>1096</v>
      </c>
      <c r="D32" s="19">
        <v>3000</v>
      </c>
      <c r="E32" s="19"/>
      <c r="F32" s="19"/>
      <c r="G32" s="19"/>
      <c r="H32" s="19"/>
      <c r="I32" s="19"/>
      <c r="J32" s="19"/>
      <c r="K32" s="67"/>
      <c r="L32" s="19"/>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5"/>
    </row>
    <row r="33" spans="2:51" x14ac:dyDescent="0.25">
      <c r="B33" s="16"/>
      <c r="C33" t="s">
        <v>311</v>
      </c>
      <c r="D33" s="19">
        <v>2500</v>
      </c>
      <c r="E33" s="19"/>
      <c r="F33" s="19"/>
      <c r="G33" s="19"/>
      <c r="H33" s="19"/>
      <c r="I33" s="19"/>
      <c r="J33" s="19">
        <f t="shared" ca="1" si="1"/>
        <v>0</v>
      </c>
      <c r="K33" s="67"/>
      <c r="L33" s="19"/>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5"/>
    </row>
    <row r="34" spans="2:51" x14ac:dyDescent="0.25">
      <c r="B34" s="16"/>
      <c r="C34" t="s">
        <v>1097</v>
      </c>
      <c r="D34" s="19">
        <v>1500</v>
      </c>
      <c r="E34" s="19"/>
      <c r="F34" s="19"/>
      <c r="G34" s="19"/>
      <c r="H34" s="19"/>
      <c r="I34" s="19"/>
      <c r="J34" s="19">
        <f t="shared" ca="1" si="1"/>
        <v>0</v>
      </c>
      <c r="K34" s="67"/>
      <c r="L34" s="19"/>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5"/>
    </row>
    <row r="35" spans="2:51" x14ac:dyDescent="0.25">
      <c r="B35" s="16"/>
      <c r="C35" t="s">
        <v>1098</v>
      </c>
      <c r="D35" s="19">
        <v>5000</v>
      </c>
      <c r="E35" s="19"/>
      <c r="F35" s="19"/>
      <c r="G35" s="19"/>
      <c r="H35" s="19"/>
      <c r="I35" s="19"/>
      <c r="J35" s="19">
        <f t="shared" ca="1" si="1"/>
        <v>0</v>
      </c>
      <c r="K35" s="67"/>
      <c r="L35" s="19"/>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5"/>
    </row>
    <row r="36" spans="2:51" x14ac:dyDescent="0.25">
      <c r="B36" s="16"/>
      <c r="C36" t="s">
        <v>58</v>
      </c>
      <c r="D36" s="19">
        <v>15000</v>
      </c>
      <c r="E36" s="19"/>
      <c r="F36" s="19"/>
      <c r="G36" s="19"/>
      <c r="H36" s="19"/>
      <c r="I36" s="19"/>
      <c r="J36" s="19">
        <f t="shared" ca="1" si="1"/>
        <v>0</v>
      </c>
      <c r="K36" s="67"/>
      <c r="L36" s="19"/>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5"/>
    </row>
    <row r="37" spans="2:51" x14ac:dyDescent="0.25">
      <c r="B37" s="16"/>
      <c r="C37" t="s">
        <v>1099</v>
      </c>
      <c r="D37" s="19">
        <v>7000</v>
      </c>
      <c r="E37" s="19"/>
      <c r="F37" s="19"/>
      <c r="G37" s="19"/>
      <c r="H37" s="19"/>
      <c r="I37" s="19"/>
      <c r="J37" s="19">
        <f t="shared" ca="1" si="1"/>
        <v>0</v>
      </c>
      <c r="K37" s="67"/>
      <c r="L37" s="19"/>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5"/>
    </row>
    <row r="38" spans="2:51" x14ac:dyDescent="0.25">
      <c r="B38" s="16"/>
      <c r="C38" t="s">
        <v>1100</v>
      </c>
      <c r="D38" s="19">
        <v>5000</v>
      </c>
      <c r="E38" s="19"/>
      <c r="F38" s="19"/>
      <c r="G38" s="19"/>
      <c r="H38" s="19"/>
      <c r="I38" s="19"/>
      <c r="J38" s="19">
        <f t="shared" ca="1" si="1"/>
        <v>0</v>
      </c>
      <c r="K38" s="67"/>
      <c r="L38" s="19"/>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5"/>
    </row>
    <row r="39" spans="2:51" x14ac:dyDescent="0.25">
      <c r="B39" s="16"/>
      <c r="C39" t="s">
        <v>1101</v>
      </c>
      <c r="D39" s="19">
        <v>2000</v>
      </c>
      <c r="E39" s="19"/>
      <c r="F39" s="19"/>
      <c r="G39" s="19"/>
      <c r="H39" s="19"/>
      <c r="I39" s="19"/>
      <c r="J39" s="19">
        <f t="shared" ca="1" si="1"/>
        <v>0</v>
      </c>
      <c r="K39" s="67"/>
      <c r="L39" s="19"/>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5"/>
    </row>
    <row r="40" spans="2:51" x14ac:dyDescent="0.25">
      <c r="B40" s="16"/>
      <c r="C40" t="s">
        <v>1102</v>
      </c>
      <c r="D40" s="19">
        <v>2000</v>
      </c>
      <c r="E40" s="19"/>
      <c r="F40" s="19"/>
      <c r="G40" s="19"/>
      <c r="H40" s="19"/>
      <c r="I40" s="19"/>
      <c r="J40" s="19">
        <f t="shared" ca="1" si="1"/>
        <v>0</v>
      </c>
      <c r="K40" s="67"/>
      <c r="L40" s="19"/>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5"/>
    </row>
    <row r="41" spans="2:51" x14ac:dyDescent="0.25">
      <c r="B41" s="16"/>
      <c r="C41" t="s">
        <v>1103</v>
      </c>
      <c r="D41" s="19">
        <v>3000</v>
      </c>
      <c r="E41" s="19"/>
      <c r="F41" s="19"/>
      <c r="G41" s="19"/>
      <c r="H41" s="19"/>
      <c r="I41" s="19"/>
      <c r="J41" s="19">
        <f t="shared" ca="1" si="1"/>
        <v>0</v>
      </c>
      <c r="K41" s="67"/>
      <c r="L41" s="19"/>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5"/>
    </row>
    <row r="42" spans="2:51" x14ac:dyDescent="0.25">
      <c r="B42" s="285" t="s">
        <v>512</v>
      </c>
      <c r="C42" s="15"/>
      <c r="D42" s="21">
        <v>10000</v>
      </c>
      <c r="E42" s="21"/>
      <c r="F42" s="80"/>
      <c r="G42" s="80"/>
      <c r="H42" s="80"/>
      <c r="I42" s="80"/>
      <c r="J42" s="21">
        <f t="shared" ca="1" si="1"/>
        <v>0</v>
      </c>
      <c r="K42" s="250"/>
      <c r="L42" s="21"/>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36"/>
      <c r="AT42" s="136"/>
      <c r="AU42" s="136"/>
      <c r="AV42" s="136"/>
      <c r="AW42" s="136"/>
      <c r="AX42" s="136"/>
      <c r="AY42" s="307"/>
    </row>
    <row r="43" spans="2:51" x14ac:dyDescent="0.25">
      <c r="B43" s="16" t="s">
        <v>1104</v>
      </c>
      <c r="C43" t="s">
        <v>1104</v>
      </c>
      <c r="D43" s="19"/>
      <c r="E43" s="19"/>
      <c r="F43" s="19"/>
      <c r="G43" s="19"/>
      <c r="H43" s="19"/>
      <c r="I43" s="19"/>
      <c r="J43" s="19">
        <f t="shared" ca="1" si="1"/>
        <v>0</v>
      </c>
      <c r="K43" s="67"/>
      <c r="L43" s="19"/>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307"/>
    </row>
    <row r="44" spans="2:51" x14ac:dyDescent="0.25">
      <c r="B44" s="17"/>
      <c r="C44" s="6" t="s">
        <v>515</v>
      </c>
      <c r="D44" s="20">
        <v>1500</v>
      </c>
      <c r="E44" s="20"/>
      <c r="F44" s="20"/>
      <c r="G44" s="20"/>
      <c r="H44" s="20"/>
      <c r="I44" s="20"/>
      <c r="J44" s="68">
        <f t="shared" ca="1" si="1"/>
        <v>0</v>
      </c>
      <c r="K44" s="68"/>
      <c r="L44" s="20" t="s">
        <v>569</v>
      </c>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275"/>
    </row>
    <row r="45" spans="2:51" x14ac:dyDescent="0.25">
      <c r="B45" s="13" t="s">
        <v>93</v>
      </c>
      <c r="C45" s="6" t="s">
        <v>94</v>
      </c>
      <c r="D45" s="20" cm="1">
        <f t="array" ref="D45">SUM(D12:D41*0.1)</f>
        <v>13690</v>
      </c>
      <c r="E45" s="20">
        <f ca="1">SUMIF($P$3:$AT$3,"&gt;"&amp;TODAY(),$P45:$AT45)</f>
        <v>120</v>
      </c>
      <c r="F45" s="20"/>
      <c r="G45" s="20"/>
      <c r="H45" s="20"/>
      <c r="I45" s="20">
        <f>SUM(I10:I41)*0.1</f>
        <v>120</v>
      </c>
      <c r="J45" s="68" t="s">
        <v>199</v>
      </c>
      <c r="K45" s="68"/>
      <c r="L45" s="20"/>
      <c r="M45" s="320">
        <f t="shared" ref="M45:X45" si="2">SUM(M10:M41)*0.1</f>
        <v>0</v>
      </c>
      <c r="N45" s="320">
        <f t="shared" si="2"/>
        <v>0</v>
      </c>
      <c r="O45" s="320">
        <f t="shared" si="2"/>
        <v>0</v>
      </c>
      <c r="P45" s="320">
        <f t="shared" si="2"/>
        <v>0</v>
      </c>
      <c r="Q45" s="320">
        <f t="shared" si="2"/>
        <v>0</v>
      </c>
      <c r="R45" s="320">
        <f t="shared" si="2"/>
        <v>0</v>
      </c>
      <c r="S45" s="320">
        <f t="shared" si="2"/>
        <v>0</v>
      </c>
      <c r="T45" s="320">
        <f t="shared" si="2"/>
        <v>0</v>
      </c>
      <c r="U45" s="320">
        <f t="shared" si="2"/>
        <v>0</v>
      </c>
      <c r="V45" s="320">
        <f t="shared" si="2"/>
        <v>0</v>
      </c>
      <c r="W45" s="320">
        <f t="shared" si="2"/>
        <v>120</v>
      </c>
      <c r="X45" s="320">
        <f t="shared" si="2"/>
        <v>0</v>
      </c>
      <c r="Y45" s="320">
        <f t="shared" ref="Y45:AG45" si="3">SUM(AK10:AK41)*0.1</f>
        <v>0</v>
      </c>
      <c r="Z45" s="320">
        <f t="shared" si="3"/>
        <v>0</v>
      </c>
      <c r="AA45" s="320">
        <f t="shared" si="3"/>
        <v>0</v>
      </c>
      <c r="AB45" s="320">
        <f t="shared" si="3"/>
        <v>0</v>
      </c>
      <c r="AC45" s="320">
        <f t="shared" si="3"/>
        <v>0</v>
      </c>
      <c r="AD45" s="320">
        <f t="shared" si="3"/>
        <v>0</v>
      </c>
      <c r="AE45" s="320">
        <f t="shared" si="3"/>
        <v>0</v>
      </c>
      <c r="AF45" s="320">
        <f t="shared" si="3"/>
        <v>0</v>
      </c>
      <c r="AG45" s="320">
        <f t="shared" si="3"/>
        <v>0</v>
      </c>
      <c r="AH45" s="320">
        <f t="shared" ref="AH45:AY45" si="4">SUM(AH10:AH41)*0.1</f>
        <v>0</v>
      </c>
      <c r="AI45" s="320">
        <f t="shared" si="4"/>
        <v>0</v>
      </c>
      <c r="AJ45" s="320">
        <f t="shared" si="4"/>
        <v>0</v>
      </c>
      <c r="AK45" s="320">
        <f t="shared" si="4"/>
        <v>0</v>
      </c>
      <c r="AL45" s="320">
        <f t="shared" si="4"/>
        <v>0</v>
      </c>
      <c r="AM45" s="320">
        <f t="shared" si="4"/>
        <v>0</v>
      </c>
      <c r="AN45" s="320">
        <f t="shared" si="4"/>
        <v>0</v>
      </c>
      <c r="AO45" s="320">
        <f t="shared" si="4"/>
        <v>0</v>
      </c>
      <c r="AP45" s="320">
        <f t="shared" si="4"/>
        <v>0</v>
      </c>
      <c r="AQ45" s="320">
        <f t="shared" si="4"/>
        <v>0</v>
      </c>
      <c r="AR45" s="320">
        <f t="shared" si="4"/>
        <v>0</v>
      </c>
      <c r="AS45" s="320">
        <f t="shared" si="4"/>
        <v>0</v>
      </c>
      <c r="AT45" s="320">
        <f t="shared" si="4"/>
        <v>0</v>
      </c>
      <c r="AU45" s="320">
        <f t="shared" si="4"/>
        <v>0</v>
      </c>
      <c r="AV45" s="320">
        <f t="shared" si="4"/>
        <v>0</v>
      </c>
      <c r="AW45" s="320">
        <f t="shared" si="4"/>
        <v>0</v>
      </c>
      <c r="AX45" s="320">
        <f t="shared" si="4"/>
        <v>0</v>
      </c>
      <c r="AY45" s="274">
        <f t="shared" si="4"/>
        <v>0</v>
      </c>
    </row>
    <row r="46" spans="2:51" x14ac:dyDescent="0.25">
      <c r="B46" s="13" t="s">
        <v>148</v>
      </c>
      <c r="C46" s="6"/>
      <c r="D46" s="20"/>
      <c r="E46" s="21">
        <f>SUM(P46:AT46)</f>
        <v>0</v>
      </c>
      <c r="F46" s="20"/>
      <c r="G46" s="20"/>
      <c r="H46" s="20"/>
      <c r="I46" s="20"/>
      <c r="J46" s="20">
        <f ca="1">SUMIF($P$3:$AT$3,"&lt;"&amp;TODAY(),$P46:$AT46)</f>
        <v>0</v>
      </c>
      <c r="K46" s="68"/>
      <c r="L46" s="20"/>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5"/>
    </row>
    <row r="47" spans="2:51" x14ac:dyDescent="0.25">
      <c r="B47" s="13" t="s">
        <v>1105</v>
      </c>
      <c r="C47" s="6"/>
      <c r="D47" s="20">
        <f>60000+10000+5000+2500</f>
        <v>77500</v>
      </c>
      <c r="E47" s="20"/>
      <c r="F47" s="20"/>
      <c r="G47" s="20"/>
      <c r="H47" s="20"/>
      <c r="I47" s="20"/>
      <c r="J47" s="20"/>
      <c r="K47" s="68"/>
      <c r="L47" s="20"/>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5"/>
    </row>
    <row r="48" spans="2:51" x14ac:dyDescent="0.25">
      <c r="B48" s="13" t="s">
        <v>95</v>
      </c>
      <c r="C48" s="6"/>
      <c r="D48" s="20"/>
      <c r="E48" s="20">
        <f>SUM(P48:AT48)</f>
        <v>0</v>
      </c>
      <c r="F48" s="20"/>
      <c r="G48" s="20"/>
      <c r="H48" s="20"/>
      <c r="I48" s="20">
        <v>15000</v>
      </c>
      <c r="J48" s="20">
        <f ca="1">SUMIF($P$3:$AT$3,"&lt;"&amp;TODAY(),$P48:$AT48)</f>
        <v>0</v>
      </c>
      <c r="K48" s="68"/>
      <c r="L48" s="20"/>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5"/>
    </row>
    <row r="49" spans="2:51" x14ac:dyDescent="0.25">
      <c r="B49" s="8" t="s">
        <v>97</v>
      </c>
      <c r="D49" s="19"/>
      <c r="E49" s="19">
        <f>SUM(P49:AT49)</f>
        <v>0</v>
      </c>
      <c r="F49" s="19"/>
      <c r="G49" s="19"/>
      <c r="H49" s="19"/>
      <c r="I49" s="19">
        <v>15000</v>
      </c>
      <c r="J49" s="19">
        <f ca="1">SUMIF($P$3:$AT$3,"&lt;"&amp;TODAY(),$P49:$AT49)</f>
        <v>0</v>
      </c>
      <c r="K49" s="67"/>
      <c r="L49" s="19"/>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5"/>
    </row>
    <row r="50" spans="2:51" x14ac:dyDescent="0.25">
      <c r="B50" s="160" t="s">
        <v>98</v>
      </c>
      <c r="C50" s="123"/>
      <c r="D50" s="895">
        <f t="shared" ref="D50:J50" si="5">SUM(D4:D49)</f>
        <v>350390</v>
      </c>
      <c r="E50" s="895">
        <f t="shared" ca="1" si="5"/>
        <v>66320</v>
      </c>
      <c r="F50" s="895">
        <f t="shared" si="5"/>
        <v>3400</v>
      </c>
      <c r="G50" s="895">
        <f t="shared" si="5"/>
        <v>0</v>
      </c>
      <c r="H50" s="895">
        <f t="shared" si="5"/>
        <v>0</v>
      </c>
      <c r="I50" s="895">
        <f t="shared" ca="1" si="5"/>
        <v>31320</v>
      </c>
      <c r="J50" s="896">
        <f t="shared" ca="1" si="5"/>
        <v>0</v>
      </c>
      <c r="K50" s="896"/>
      <c r="L50" s="21"/>
      <c r="M50" s="136">
        <f t="shared" ref="M50:AY50" si="6">SUM(M4:M49)</f>
        <v>38800</v>
      </c>
      <c r="N50" s="136">
        <f t="shared" si="6"/>
        <v>0</v>
      </c>
      <c r="O50" s="136">
        <f t="shared" si="6"/>
        <v>24000</v>
      </c>
      <c r="P50" s="136">
        <f t="shared" si="6"/>
        <v>0</v>
      </c>
      <c r="Q50" s="136">
        <f t="shared" si="6"/>
        <v>0</v>
      </c>
      <c r="R50" s="136">
        <f t="shared" si="6"/>
        <v>0</v>
      </c>
      <c r="S50" s="136">
        <f t="shared" si="6"/>
        <v>0</v>
      </c>
      <c r="T50" s="136">
        <f t="shared" si="6"/>
        <v>0</v>
      </c>
      <c r="U50" s="136">
        <f t="shared" si="6"/>
        <v>0</v>
      </c>
      <c r="V50" s="136">
        <f t="shared" si="6"/>
        <v>0</v>
      </c>
      <c r="W50" s="136">
        <f t="shared" si="6"/>
        <v>1320</v>
      </c>
      <c r="X50" s="136">
        <f t="shared" si="6"/>
        <v>0</v>
      </c>
      <c r="Y50" s="136">
        <f t="shared" si="6"/>
        <v>0</v>
      </c>
      <c r="Z50" s="136">
        <f t="shared" si="6"/>
        <v>0</v>
      </c>
      <c r="AA50" s="136">
        <f t="shared" si="6"/>
        <v>0</v>
      </c>
      <c r="AB50" s="136">
        <f t="shared" si="6"/>
        <v>0</v>
      </c>
      <c r="AC50" s="136">
        <f t="shared" si="6"/>
        <v>0</v>
      </c>
      <c r="AD50" s="136">
        <f t="shared" si="6"/>
        <v>0</v>
      </c>
      <c r="AE50" s="136">
        <f t="shared" si="6"/>
        <v>0</v>
      </c>
      <c r="AF50" s="136">
        <f t="shared" si="6"/>
        <v>0</v>
      </c>
      <c r="AG50" s="136">
        <f t="shared" si="6"/>
        <v>0</v>
      </c>
      <c r="AH50" s="136">
        <f t="shared" si="6"/>
        <v>0</v>
      </c>
      <c r="AI50" s="136">
        <f t="shared" si="6"/>
        <v>0</v>
      </c>
      <c r="AJ50" s="136">
        <f t="shared" si="6"/>
        <v>0</v>
      </c>
      <c r="AK50" s="136">
        <f t="shared" si="6"/>
        <v>0</v>
      </c>
      <c r="AL50" s="136">
        <f t="shared" si="6"/>
        <v>0</v>
      </c>
      <c r="AM50" s="136">
        <f t="shared" si="6"/>
        <v>0</v>
      </c>
      <c r="AN50" s="136">
        <f t="shared" si="6"/>
        <v>0</v>
      </c>
      <c r="AO50" s="136">
        <f t="shared" si="6"/>
        <v>0</v>
      </c>
      <c r="AP50" s="136">
        <f t="shared" si="6"/>
        <v>0</v>
      </c>
      <c r="AQ50" s="136">
        <f t="shared" si="6"/>
        <v>0</v>
      </c>
      <c r="AR50" s="136">
        <f t="shared" si="6"/>
        <v>0</v>
      </c>
      <c r="AS50" s="136">
        <f t="shared" si="6"/>
        <v>0</v>
      </c>
      <c r="AT50" s="136">
        <f t="shared" si="6"/>
        <v>0</v>
      </c>
      <c r="AU50" s="136">
        <f t="shared" si="6"/>
        <v>0</v>
      </c>
      <c r="AV50" s="136">
        <f t="shared" si="6"/>
        <v>0</v>
      </c>
      <c r="AW50" s="136">
        <f t="shared" si="6"/>
        <v>0</v>
      </c>
      <c r="AX50" s="136">
        <f t="shared" si="6"/>
        <v>0</v>
      </c>
      <c r="AY50" s="307">
        <f t="shared" si="6"/>
        <v>0</v>
      </c>
    </row>
    <row r="51" spans="2:51" ht="15.75" thickBot="1" x14ac:dyDescent="0.3">
      <c r="B51" s="35" t="s">
        <v>319</v>
      </c>
      <c r="C51" s="122">
        <v>125</v>
      </c>
      <c r="D51" s="119"/>
      <c r="E51" s="119"/>
      <c r="F51" s="119"/>
      <c r="G51" s="119"/>
      <c r="H51" s="119"/>
      <c r="I51" s="119"/>
      <c r="J51" s="119"/>
      <c r="K51" s="119"/>
      <c r="L51" s="36"/>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307"/>
    </row>
    <row r="52" spans="2:51" ht="15.75" thickBot="1" x14ac:dyDescent="0.3">
      <c r="B52" s="35" t="s">
        <v>410</v>
      </c>
      <c r="C52" s="10"/>
      <c r="D52" s="284">
        <f>SUM(D50/C51)</f>
        <v>2803.12</v>
      </c>
      <c r="E52" s="284">
        <f t="shared" ref="E52:J52" ca="1" si="7">E50/$C$51</f>
        <v>530.55999999999995</v>
      </c>
      <c r="F52" s="284">
        <f t="shared" si="7"/>
        <v>27.2</v>
      </c>
      <c r="G52" s="284">
        <f t="shared" si="7"/>
        <v>0</v>
      </c>
      <c r="H52" s="284">
        <f t="shared" si="7"/>
        <v>0</v>
      </c>
      <c r="I52" s="284">
        <f t="shared" ca="1" si="7"/>
        <v>250.56</v>
      </c>
      <c r="J52" s="284">
        <f t="shared" ca="1" si="7"/>
        <v>0</v>
      </c>
      <c r="K52" s="284"/>
      <c r="L52" s="23"/>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32"/>
    </row>
    <row r="55" spans="2:51" x14ac:dyDescent="0.25">
      <c r="B55">
        <v>1242000</v>
      </c>
    </row>
    <row r="59" spans="2:51" x14ac:dyDescent="0.25">
      <c r="AG59" s="2"/>
    </row>
  </sheetData>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536D-F97C-4EF9-902B-1AD11A635767}">
  <dimension ref="B1:S41"/>
  <sheetViews>
    <sheetView workbookViewId="0">
      <selection activeCell="J23" sqref="J23"/>
    </sheetView>
  </sheetViews>
  <sheetFormatPr defaultRowHeight="15" x14ac:dyDescent="0.25"/>
  <cols>
    <col min="1" max="1" width="4.42578125" customWidth="1"/>
    <col min="2" max="2" width="30.5703125" customWidth="1"/>
    <col min="3" max="3" width="35.28515625" bestFit="1" customWidth="1"/>
    <col min="4" max="7" width="16.5703125" customWidth="1"/>
    <col min="8" max="8" width="21.5703125" customWidth="1"/>
  </cols>
  <sheetData>
    <row r="1" spans="2:19" ht="15.75" thickBot="1" x14ac:dyDescent="0.3"/>
    <row r="2" spans="2:19" ht="15.75" thickBot="1" x14ac:dyDescent="0.3">
      <c r="B2" s="281" t="s">
        <v>1106</v>
      </c>
      <c r="I2" s="232"/>
      <c r="J2" s="232"/>
      <c r="K2" s="232"/>
      <c r="L2" s="232"/>
      <c r="M2" s="232"/>
      <c r="N2" s="232"/>
      <c r="O2" s="146"/>
      <c r="P2" s="146"/>
      <c r="Q2" s="146"/>
      <c r="R2" s="146"/>
      <c r="S2" s="249"/>
    </row>
    <row r="3" spans="2:19" ht="45.75" thickBot="1" x14ac:dyDescent="0.3">
      <c r="B3" s="39" t="s">
        <v>1107</v>
      </c>
      <c r="C3" s="40" t="s">
        <v>17</v>
      </c>
      <c r="D3" s="120" t="s">
        <v>184</v>
      </c>
      <c r="E3" s="121" t="s">
        <v>185</v>
      </c>
      <c r="F3" s="41" t="s">
        <v>186</v>
      </c>
      <c r="G3" s="134" t="s">
        <v>187</v>
      </c>
      <c r="H3" s="41" t="s">
        <v>111</v>
      </c>
      <c r="I3" s="171">
        <v>45474</v>
      </c>
      <c r="J3" s="171">
        <v>45505</v>
      </c>
      <c r="K3" s="171">
        <v>45536</v>
      </c>
      <c r="L3" s="171">
        <v>45566</v>
      </c>
      <c r="M3" s="171">
        <v>45597</v>
      </c>
      <c r="N3" s="171">
        <v>45627</v>
      </c>
      <c r="O3" s="171">
        <v>45658</v>
      </c>
      <c r="P3" s="171">
        <v>45689</v>
      </c>
      <c r="Q3" s="171">
        <v>45717</v>
      </c>
      <c r="R3" s="171">
        <v>45748</v>
      </c>
      <c r="S3" s="270">
        <v>45778</v>
      </c>
    </row>
    <row r="4" spans="2:19" x14ac:dyDescent="0.25">
      <c r="B4" s="8" t="s">
        <v>1108</v>
      </c>
      <c r="C4" t="s">
        <v>1109</v>
      </c>
      <c r="D4" s="19"/>
      <c r="E4" s="19"/>
      <c r="F4" s="19"/>
      <c r="G4" s="19">
        <f>SUM(I4:S4)</f>
        <v>10000</v>
      </c>
      <c r="H4" s="19"/>
      <c r="I4" s="174">
        <f>10000</f>
        <v>10000</v>
      </c>
      <c r="J4" s="174"/>
      <c r="K4" s="174"/>
      <c r="L4" s="174"/>
      <c r="M4" s="174"/>
      <c r="N4" s="118"/>
      <c r="O4" s="118"/>
      <c r="P4" s="118"/>
      <c r="Q4" s="118"/>
      <c r="R4" s="118"/>
      <c r="S4" s="175"/>
    </row>
    <row r="5" spans="2:19" x14ac:dyDescent="0.25">
      <c r="B5" s="8"/>
      <c r="D5" s="19"/>
      <c r="E5" s="19"/>
      <c r="F5" s="19"/>
      <c r="G5" s="19">
        <f t="shared" ref="G5:G34" si="0">SUM(I5:S5)</f>
        <v>0</v>
      </c>
      <c r="H5" s="19"/>
      <c r="I5" s="2"/>
      <c r="J5" s="2"/>
      <c r="K5" s="2"/>
      <c r="L5" s="2"/>
      <c r="M5" s="2"/>
      <c r="S5" s="131"/>
    </row>
    <row r="6" spans="2:19" x14ac:dyDescent="0.25">
      <c r="B6" s="13"/>
      <c r="C6" s="6"/>
      <c r="D6" s="20"/>
      <c r="E6" s="20"/>
      <c r="F6" s="20"/>
      <c r="G6" s="20">
        <f t="shared" si="0"/>
        <v>0</v>
      </c>
      <c r="H6" s="20"/>
      <c r="I6" s="2"/>
      <c r="J6" s="2"/>
      <c r="K6" s="2"/>
      <c r="L6" s="2"/>
      <c r="M6" s="2"/>
      <c r="S6" s="131"/>
    </row>
    <row r="7" spans="2:19" x14ac:dyDescent="0.25">
      <c r="B7" s="14"/>
      <c r="C7" s="15"/>
      <c r="D7" s="21"/>
      <c r="E7" s="21"/>
      <c r="F7" s="21"/>
      <c r="G7" s="21">
        <f t="shared" si="0"/>
        <v>0</v>
      </c>
      <c r="H7" s="21"/>
      <c r="I7" s="2"/>
      <c r="J7" s="2"/>
      <c r="K7" s="2"/>
      <c r="L7" s="2"/>
      <c r="M7" s="2"/>
      <c r="S7" s="131"/>
    </row>
    <row r="8" spans="2:19" x14ac:dyDescent="0.25">
      <c r="B8" s="14"/>
      <c r="C8" s="15"/>
      <c r="D8" s="21"/>
      <c r="E8" s="21"/>
      <c r="F8" s="21"/>
      <c r="G8" s="21">
        <f t="shared" si="0"/>
        <v>0</v>
      </c>
      <c r="H8" s="21"/>
      <c r="I8" s="2"/>
      <c r="J8" s="2"/>
      <c r="K8" s="2"/>
      <c r="L8" s="2"/>
      <c r="M8" s="2"/>
      <c r="S8" s="131"/>
    </row>
    <row r="9" spans="2:19" x14ac:dyDescent="0.25">
      <c r="B9" s="14"/>
      <c r="C9" s="15"/>
      <c r="D9" s="21"/>
      <c r="E9" s="21"/>
      <c r="F9" s="21"/>
      <c r="G9" s="21">
        <f t="shared" si="0"/>
        <v>0</v>
      </c>
      <c r="H9" s="21"/>
      <c r="J9" s="2"/>
      <c r="K9" s="2"/>
      <c r="L9" s="2"/>
      <c r="M9" s="2"/>
      <c r="N9" s="2"/>
      <c r="O9" s="2"/>
      <c r="P9" s="2"/>
      <c r="S9" s="131"/>
    </row>
    <row r="10" spans="2:19" x14ac:dyDescent="0.25">
      <c r="B10" s="14"/>
      <c r="C10" s="15"/>
      <c r="D10" s="21"/>
      <c r="E10" s="21"/>
      <c r="F10" s="21"/>
      <c r="G10" s="21">
        <f t="shared" si="0"/>
        <v>0</v>
      </c>
      <c r="H10" s="21"/>
      <c r="I10" s="2"/>
      <c r="J10" s="2"/>
      <c r="K10" s="2"/>
      <c r="L10" s="2"/>
      <c r="M10" s="2"/>
      <c r="S10" s="131"/>
    </row>
    <row r="11" spans="2:19" x14ac:dyDescent="0.25">
      <c r="B11" s="257"/>
      <c r="D11" s="19"/>
      <c r="E11" s="19"/>
      <c r="F11" s="19"/>
      <c r="G11" s="19">
        <f t="shared" si="0"/>
        <v>0</v>
      </c>
      <c r="H11" s="19"/>
      <c r="I11" s="2"/>
      <c r="J11" s="2"/>
      <c r="K11" s="2"/>
      <c r="L11" s="2"/>
      <c r="M11" s="2"/>
      <c r="S11" s="131"/>
    </row>
    <row r="12" spans="2:19" x14ac:dyDescent="0.25">
      <c r="B12" s="16"/>
      <c r="D12" s="19"/>
      <c r="E12" s="19"/>
      <c r="F12" s="19"/>
      <c r="G12" s="19">
        <f t="shared" si="0"/>
        <v>0</v>
      </c>
      <c r="H12" s="19"/>
      <c r="I12" s="2"/>
      <c r="J12" s="2"/>
      <c r="K12" s="2"/>
      <c r="L12" s="2"/>
      <c r="M12" s="2"/>
      <c r="S12" s="131"/>
    </row>
    <row r="13" spans="2:19" x14ac:dyDescent="0.25">
      <c r="B13" s="16"/>
      <c r="D13" s="19"/>
      <c r="E13" s="19"/>
      <c r="F13" s="19"/>
      <c r="G13" s="19">
        <f t="shared" si="0"/>
        <v>0</v>
      </c>
      <c r="H13" s="19"/>
      <c r="I13" s="2"/>
      <c r="J13" s="2"/>
      <c r="K13" s="2"/>
      <c r="L13" s="2"/>
      <c r="M13" s="2"/>
      <c r="S13" s="131"/>
    </row>
    <row r="14" spans="2:19" x14ac:dyDescent="0.25">
      <c r="B14" s="16"/>
      <c r="D14" s="19"/>
      <c r="E14" s="19"/>
      <c r="F14" s="19"/>
      <c r="G14" s="19">
        <f t="shared" si="0"/>
        <v>0</v>
      </c>
      <c r="H14" s="420"/>
      <c r="I14" s="2"/>
      <c r="J14" s="2"/>
      <c r="K14" s="2"/>
      <c r="L14" s="2"/>
      <c r="M14" s="2"/>
      <c r="S14" s="131"/>
    </row>
    <row r="15" spans="2:19" x14ac:dyDescent="0.25">
      <c r="B15" s="16"/>
      <c r="D15" s="19"/>
      <c r="E15" s="19"/>
      <c r="F15" s="19"/>
      <c r="G15" s="19">
        <f t="shared" si="0"/>
        <v>0</v>
      </c>
      <c r="H15" s="19"/>
      <c r="I15" s="2"/>
      <c r="J15" s="2"/>
      <c r="K15" s="2"/>
      <c r="L15" s="2"/>
      <c r="M15" s="2"/>
      <c r="S15" s="131"/>
    </row>
    <row r="16" spans="2:19" x14ac:dyDescent="0.25">
      <c r="B16" s="16"/>
      <c r="D16" s="19"/>
      <c r="E16" s="19"/>
      <c r="F16" s="19"/>
      <c r="G16" s="19">
        <f t="shared" si="0"/>
        <v>0</v>
      </c>
      <c r="H16" s="19"/>
      <c r="I16" s="2"/>
      <c r="J16" s="2"/>
      <c r="K16" s="2"/>
      <c r="L16" s="2"/>
      <c r="M16" s="2"/>
      <c r="S16" s="131"/>
    </row>
    <row r="17" spans="2:19" x14ac:dyDescent="0.25">
      <c r="B17" s="16"/>
      <c r="D17" s="19"/>
      <c r="E17" s="19"/>
      <c r="F17" s="19"/>
      <c r="G17" s="19">
        <f t="shared" si="0"/>
        <v>0</v>
      </c>
      <c r="H17" s="19"/>
      <c r="I17" s="2"/>
      <c r="J17" s="2"/>
      <c r="K17" s="2"/>
      <c r="L17" s="2"/>
      <c r="M17" s="2"/>
      <c r="S17" s="131"/>
    </row>
    <row r="18" spans="2:19" x14ac:dyDescent="0.25">
      <c r="B18" s="16"/>
      <c r="D18" s="19"/>
      <c r="E18" s="19"/>
      <c r="F18" s="19"/>
      <c r="G18" s="19">
        <f t="shared" si="0"/>
        <v>0</v>
      </c>
      <c r="H18" s="19"/>
      <c r="I18" s="2"/>
      <c r="L18" s="2"/>
      <c r="M18" s="2"/>
      <c r="N18" s="2"/>
      <c r="S18" s="131"/>
    </row>
    <row r="19" spans="2:19" x14ac:dyDescent="0.25">
      <c r="B19" s="16"/>
      <c r="D19" s="19"/>
      <c r="E19" s="19"/>
      <c r="F19" s="19"/>
      <c r="G19" s="19">
        <f t="shared" si="0"/>
        <v>0</v>
      </c>
      <c r="H19" s="19"/>
      <c r="I19" s="2"/>
      <c r="J19" s="2"/>
      <c r="K19" s="2"/>
      <c r="L19" s="2"/>
      <c r="M19" s="2"/>
      <c r="S19" s="131"/>
    </row>
    <row r="20" spans="2:19" x14ac:dyDescent="0.25">
      <c r="B20" s="16"/>
      <c r="D20" s="19"/>
      <c r="E20" s="19"/>
      <c r="F20" s="19"/>
      <c r="G20" s="19">
        <f t="shared" si="0"/>
        <v>0</v>
      </c>
      <c r="H20" s="19"/>
      <c r="I20" s="2"/>
      <c r="J20" s="2"/>
      <c r="K20" s="2"/>
      <c r="L20" s="2"/>
      <c r="M20" s="2"/>
      <c r="S20" s="131"/>
    </row>
    <row r="21" spans="2:19" x14ac:dyDescent="0.25">
      <c r="B21" s="16"/>
      <c r="D21" s="19"/>
      <c r="E21" s="19"/>
      <c r="F21" s="19"/>
      <c r="G21" s="19">
        <f t="shared" si="0"/>
        <v>0</v>
      </c>
      <c r="H21" s="19"/>
      <c r="I21" s="2"/>
      <c r="J21" s="2"/>
      <c r="K21" s="2"/>
      <c r="L21" s="2"/>
      <c r="M21" s="2"/>
      <c r="S21" s="131"/>
    </row>
    <row r="22" spans="2:19" x14ac:dyDescent="0.25">
      <c r="B22" s="16"/>
      <c r="D22" s="19"/>
      <c r="E22" s="19"/>
      <c r="F22" s="19"/>
      <c r="G22" s="19">
        <f t="shared" si="0"/>
        <v>0</v>
      </c>
      <c r="H22" s="19"/>
      <c r="I22" s="2"/>
      <c r="J22" s="2"/>
      <c r="K22" s="2"/>
      <c r="L22" s="2"/>
      <c r="M22" s="2"/>
      <c r="S22" s="131"/>
    </row>
    <row r="23" spans="2:19" x14ac:dyDescent="0.25">
      <c r="B23" s="16"/>
      <c r="D23" s="19"/>
      <c r="E23" s="19"/>
      <c r="F23" s="19"/>
      <c r="G23" s="19">
        <f t="shared" si="0"/>
        <v>0</v>
      </c>
      <c r="H23" s="19"/>
      <c r="I23" s="2"/>
      <c r="J23" s="2"/>
      <c r="K23" s="2"/>
      <c r="L23" s="2"/>
      <c r="M23" s="2"/>
      <c r="S23" s="131"/>
    </row>
    <row r="24" spans="2:19" x14ac:dyDescent="0.25">
      <c r="B24" s="16"/>
      <c r="D24" s="19"/>
      <c r="E24" s="19"/>
      <c r="F24" s="19"/>
      <c r="G24" s="19">
        <f t="shared" si="0"/>
        <v>0</v>
      </c>
      <c r="H24" s="19"/>
      <c r="I24" s="2"/>
      <c r="J24" s="2"/>
      <c r="K24" s="2"/>
      <c r="L24" s="2"/>
      <c r="M24" s="2"/>
      <c r="S24" s="131"/>
    </row>
    <row r="25" spans="2:19" x14ac:dyDescent="0.25">
      <c r="B25" s="16"/>
      <c r="D25" s="19"/>
      <c r="E25" s="19"/>
      <c r="F25" s="19"/>
      <c r="G25" s="19">
        <f t="shared" si="0"/>
        <v>0</v>
      </c>
      <c r="H25" s="19"/>
      <c r="I25" s="2"/>
      <c r="K25" s="2"/>
      <c r="L25" s="2"/>
      <c r="M25" s="2"/>
      <c r="S25" s="131"/>
    </row>
    <row r="26" spans="2:19" x14ac:dyDescent="0.25">
      <c r="B26" s="16"/>
      <c r="D26" s="19"/>
      <c r="E26" s="19"/>
      <c r="F26" s="19"/>
      <c r="G26" s="19">
        <f t="shared" si="0"/>
        <v>0</v>
      </c>
      <c r="H26" s="19"/>
      <c r="I26" s="2"/>
      <c r="J26" s="2"/>
      <c r="K26" s="2"/>
      <c r="L26" s="2"/>
      <c r="M26" s="2"/>
      <c r="S26" s="131"/>
    </row>
    <row r="27" spans="2:19" x14ac:dyDescent="0.25">
      <c r="B27" s="16"/>
      <c r="D27" s="19"/>
      <c r="E27" s="19"/>
      <c r="F27" s="19"/>
      <c r="G27" s="19">
        <f t="shared" si="0"/>
        <v>0</v>
      </c>
      <c r="H27" s="19"/>
      <c r="I27" s="2"/>
      <c r="J27" s="2"/>
      <c r="K27" s="2"/>
      <c r="L27" s="2"/>
      <c r="M27" s="2"/>
      <c r="S27" s="131"/>
    </row>
    <row r="28" spans="2:19" x14ac:dyDescent="0.25">
      <c r="B28" s="16"/>
      <c r="D28" s="19"/>
      <c r="E28" s="19"/>
      <c r="F28" s="19"/>
      <c r="G28" s="19">
        <f t="shared" si="0"/>
        <v>0</v>
      </c>
      <c r="H28" s="19"/>
      <c r="I28" s="2"/>
      <c r="J28" s="2"/>
      <c r="K28" s="2"/>
      <c r="L28" s="2"/>
      <c r="M28" s="2"/>
      <c r="S28" s="131"/>
    </row>
    <row r="29" spans="2:19" x14ac:dyDescent="0.25">
      <c r="B29" s="16"/>
      <c r="D29" s="19"/>
      <c r="E29" s="19"/>
      <c r="F29" s="19"/>
      <c r="G29" s="19">
        <f t="shared" si="0"/>
        <v>0</v>
      </c>
      <c r="H29" s="19"/>
      <c r="I29" s="2"/>
      <c r="J29" s="2"/>
      <c r="K29" s="2"/>
      <c r="L29" s="2"/>
      <c r="M29" s="2"/>
      <c r="S29" s="131"/>
    </row>
    <row r="30" spans="2:19" x14ac:dyDescent="0.25">
      <c r="B30" s="16"/>
      <c r="D30" s="19"/>
      <c r="E30" s="19"/>
      <c r="F30" s="19"/>
      <c r="G30" s="19">
        <f t="shared" si="0"/>
        <v>0</v>
      </c>
      <c r="H30" s="19"/>
      <c r="I30" s="2"/>
      <c r="J30" s="2"/>
      <c r="K30" s="2"/>
      <c r="L30" s="2"/>
      <c r="M30" s="2"/>
      <c r="S30" s="131"/>
    </row>
    <row r="31" spans="2:19" x14ac:dyDescent="0.25">
      <c r="B31" s="16"/>
      <c r="D31" s="19"/>
      <c r="E31" s="19"/>
      <c r="F31" s="19"/>
      <c r="G31" s="19">
        <f t="shared" si="0"/>
        <v>0</v>
      </c>
      <c r="H31" s="19"/>
      <c r="I31" s="2"/>
      <c r="J31" s="2"/>
      <c r="K31" s="2"/>
      <c r="L31" s="2"/>
      <c r="M31" s="2"/>
      <c r="S31" s="131"/>
    </row>
    <row r="32" spans="2:19" x14ac:dyDescent="0.25">
      <c r="B32" s="16"/>
      <c r="D32" s="19"/>
      <c r="E32" s="19"/>
      <c r="F32" s="19"/>
      <c r="G32" s="19">
        <f t="shared" si="0"/>
        <v>0</v>
      </c>
      <c r="H32" s="19"/>
      <c r="I32" s="2"/>
      <c r="J32" s="2"/>
      <c r="K32" s="2"/>
      <c r="L32" s="2"/>
      <c r="M32" s="2"/>
      <c r="S32" s="131"/>
    </row>
    <row r="33" spans="2:19" x14ac:dyDescent="0.25">
      <c r="B33" s="16"/>
      <c r="D33" s="19"/>
      <c r="E33" s="19"/>
      <c r="F33" s="19"/>
      <c r="G33" s="19">
        <f t="shared" si="0"/>
        <v>0</v>
      </c>
      <c r="H33" s="440"/>
      <c r="I33" s="2"/>
      <c r="J33" s="2"/>
      <c r="K33" s="2"/>
      <c r="L33" s="2"/>
      <c r="M33" s="2"/>
      <c r="S33" s="131"/>
    </row>
    <row r="34" spans="2:19" x14ac:dyDescent="0.25">
      <c r="B34" s="17"/>
      <c r="C34" s="6"/>
      <c r="D34" s="20"/>
      <c r="E34" s="20"/>
      <c r="F34" s="20"/>
      <c r="G34" s="20">
        <f t="shared" si="0"/>
        <v>0</v>
      </c>
      <c r="H34" s="19"/>
      <c r="I34" s="2"/>
      <c r="J34" s="2"/>
      <c r="K34" s="2"/>
      <c r="L34" s="2"/>
      <c r="M34" s="2"/>
      <c r="S34" s="131"/>
    </row>
    <row r="35" spans="2:19" x14ac:dyDescent="0.25">
      <c r="B35" s="14"/>
      <c r="C35" s="15"/>
      <c r="D35" s="20"/>
      <c r="E35" s="20"/>
      <c r="F35" s="20"/>
      <c r="G35" s="176"/>
      <c r="H35" s="80"/>
      <c r="I35" s="136">
        <f t="shared" ref="I35:L35" si="1">SUM(I9:I34)*0.1</f>
        <v>0</v>
      </c>
      <c r="J35" s="136">
        <f>SUM(J9:J34)*0.1</f>
        <v>0</v>
      </c>
      <c r="K35" s="136">
        <f t="shared" si="1"/>
        <v>0</v>
      </c>
      <c r="L35" s="136">
        <f t="shared" si="1"/>
        <v>0</v>
      </c>
      <c r="M35" s="136">
        <f>SUM(M9:M34)*0.1</f>
        <v>0</v>
      </c>
      <c r="N35" s="136">
        <f t="shared" ref="N35:S35" si="2">SUM(N9:N34)*0.1</f>
        <v>0</v>
      </c>
      <c r="O35" s="136">
        <f t="shared" si="2"/>
        <v>0</v>
      </c>
      <c r="P35" s="136">
        <f t="shared" si="2"/>
        <v>0</v>
      </c>
      <c r="Q35" s="136">
        <f t="shared" si="2"/>
        <v>0</v>
      </c>
      <c r="R35" s="136">
        <f t="shared" si="2"/>
        <v>0</v>
      </c>
      <c r="S35" s="140">
        <f t="shared" si="2"/>
        <v>0</v>
      </c>
    </row>
    <row r="36" spans="2:19" x14ac:dyDescent="0.25">
      <c r="B36" s="14"/>
      <c r="C36" s="15"/>
      <c r="D36" s="21"/>
      <c r="E36" s="21"/>
      <c r="F36" s="21"/>
      <c r="G36" s="20"/>
      <c r="H36" s="20"/>
      <c r="I36" s="2"/>
      <c r="J36" s="2"/>
      <c r="K36" s="2"/>
      <c r="L36" s="2"/>
      <c r="M36" s="2"/>
      <c r="S36" s="131"/>
    </row>
    <row r="37" spans="2:19" x14ac:dyDescent="0.25">
      <c r="B37" s="14"/>
      <c r="C37" s="15"/>
      <c r="D37" s="21"/>
      <c r="E37" s="21"/>
      <c r="F37" s="21"/>
      <c r="G37" s="20"/>
      <c r="J37" s="2"/>
      <c r="K37" s="2"/>
      <c r="L37" s="2"/>
      <c r="M37" s="2"/>
      <c r="N37" s="2"/>
      <c r="O37" s="2"/>
      <c r="S37" s="131"/>
    </row>
    <row r="38" spans="2:19" ht="15.75" thickBot="1" x14ac:dyDescent="0.3">
      <c r="B38" s="8"/>
      <c r="D38" s="19"/>
      <c r="E38" s="21"/>
      <c r="F38" s="19"/>
      <c r="G38" s="20"/>
      <c r="H38" s="19"/>
      <c r="J38" s="2"/>
      <c r="K38" s="2"/>
      <c r="L38" s="2"/>
      <c r="M38" s="2"/>
      <c r="N38" s="2"/>
      <c r="O38" s="2"/>
      <c r="S38" s="131"/>
    </row>
    <row r="39" spans="2:19" ht="15.75" thickBot="1" x14ac:dyDescent="0.3">
      <c r="B39" s="11" t="s">
        <v>98</v>
      </c>
      <c r="C39" s="12"/>
      <c r="D39" s="22">
        <f>SUM(D4:D38)</f>
        <v>0</v>
      </c>
      <c r="E39" s="22">
        <f t="shared" ref="E39:F39" si="3">SUM(E4:E38)</f>
        <v>0</v>
      </c>
      <c r="F39" s="22">
        <f t="shared" si="3"/>
        <v>0</v>
      </c>
      <c r="G39" s="22">
        <f>SUM(G4:G38)</f>
        <v>10000</v>
      </c>
      <c r="H39" s="22"/>
      <c r="I39" s="155">
        <f t="shared" ref="I39:L39" si="4">SUM(I4:I38)</f>
        <v>10000</v>
      </c>
      <c r="J39" s="155">
        <f t="shared" si="4"/>
        <v>0</v>
      </c>
      <c r="K39" s="155">
        <f t="shared" si="4"/>
        <v>0</v>
      </c>
      <c r="L39" s="155">
        <f t="shared" si="4"/>
        <v>0</v>
      </c>
      <c r="M39" s="155">
        <f>SUM(M4:M38)</f>
        <v>0</v>
      </c>
      <c r="N39" s="155">
        <f>SUM(N4:N38)</f>
        <v>0</v>
      </c>
      <c r="O39" s="155">
        <f>SUM(O4:O38)</f>
        <v>0</v>
      </c>
      <c r="P39" s="155">
        <f t="shared" ref="P39:S39" si="5">SUM(P4:P38)</f>
        <v>0</v>
      </c>
      <c r="Q39" s="155">
        <f t="shared" si="5"/>
        <v>0</v>
      </c>
      <c r="R39" s="155">
        <f t="shared" si="5"/>
        <v>0</v>
      </c>
      <c r="S39" s="156">
        <f t="shared" si="5"/>
        <v>0</v>
      </c>
    </row>
    <row r="40" spans="2:19" ht="15.75" thickBot="1" x14ac:dyDescent="0.3">
      <c r="B40" s="9" t="s">
        <v>176</v>
      </c>
      <c r="C40" s="183">
        <v>249</v>
      </c>
      <c r="D40" s="36"/>
      <c r="E40" s="36"/>
      <c r="F40" s="36"/>
      <c r="G40" s="36"/>
      <c r="H40" s="36"/>
      <c r="I40" s="2"/>
      <c r="J40" s="2"/>
      <c r="K40" s="2"/>
      <c r="L40" s="2"/>
      <c r="M40" s="2"/>
      <c r="S40" s="131"/>
    </row>
    <row r="41" spans="2:19" ht="15.75" thickBot="1" x14ac:dyDescent="0.3">
      <c r="B41" s="35" t="s">
        <v>100</v>
      </c>
      <c r="C41" s="10"/>
      <c r="D41" s="23">
        <f>SUM(D39/C40)</f>
        <v>0</v>
      </c>
      <c r="E41" s="23">
        <f>E39/$C$40</f>
        <v>0</v>
      </c>
      <c r="F41" s="23">
        <f t="shared" ref="F41:G41" si="6">F39/$C$40</f>
        <v>0</v>
      </c>
      <c r="G41" s="23">
        <f t="shared" si="6"/>
        <v>40.160642570281126</v>
      </c>
      <c r="H41" s="23"/>
      <c r="I41" s="10"/>
      <c r="J41" s="10"/>
      <c r="K41" s="10"/>
      <c r="L41" s="10"/>
      <c r="M41" s="10"/>
      <c r="N41" s="10"/>
      <c r="O41" s="10"/>
      <c r="P41" s="10"/>
      <c r="Q41" s="10"/>
      <c r="R41" s="10"/>
      <c r="S41" s="132"/>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5B0E7F76F24F4BA4389C55667B58A1" ma:contentTypeVersion="18" ma:contentTypeDescription="Create a new document." ma:contentTypeScope="" ma:versionID="8fd249fa3bc296518d810e9e92614a0f">
  <xsd:schema xmlns:xsd="http://www.w3.org/2001/XMLSchema" xmlns:xs="http://www.w3.org/2001/XMLSchema" xmlns:p="http://schemas.microsoft.com/office/2006/metadata/properties" xmlns:ns2="dc9c6c10-ac96-492d-ab7e-de0ed06861ec" xmlns:ns3="096c0412-3091-4798-a238-005c46ce2769" targetNamespace="http://schemas.microsoft.com/office/2006/metadata/properties" ma:root="true" ma:fieldsID="5ecc55d08aa57699f54d7f11833dedf0" ns2:_="" ns3:_="">
    <xsd:import namespace="dc9c6c10-ac96-492d-ab7e-de0ed06861ec"/>
    <xsd:import namespace="096c0412-3091-4798-a238-005c46ce276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9c6c10-ac96-492d-ab7e-de0ed06861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74dfda4-b3f2-4668-a06d-c9a35333937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96c0412-3091-4798-a238-005c46ce276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306bf5d-fa17-47df-aef0-bd1d271f568e}" ma:internalName="TaxCatchAll" ma:showField="CatchAllData" ma:web="096c0412-3091-4798-a238-005c46ce27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96c0412-3091-4798-a238-005c46ce2769" xsi:nil="true"/>
    <lcf76f155ced4ddcb4097134ff3c332f xmlns="dc9c6c10-ac96-492d-ab7e-de0ed06861e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022DB1-9726-4789-AB1B-874916A031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9c6c10-ac96-492d-ab7e-de0ed06861ec"/>
    <ds:schemaRef ds:uri="096c0412-3091-4798-a238-005c46ce27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FE5403-B356-40FA-9C77-C3205A98D05A}">
  <ds:schemaRefs>
    <ds:schemaRef ds:uri="http://schemas.microsoft.com/office/2006/metadata/properties"/>
    <ds:schemaRef ds:uri="http://schemas.microsoft.com/office/infopath/2007/PartnerControls"/>
    <ds:schemaRef ds:uri="096c0412-3091-4798-a238-005c46ce2769"/>
    <ds:schemaRef ds:uri="dc9c6c10-ac96-492d-ab7e-de0ed06861ec"/>
  </ds:schemaRefs>
</ds:datastoreItem>
</file>

<file path=customXml/itemProps3.xml><?xml version="1.0" encoding="utf-8"?>
<ds:datastoreItem xmlns:ds="http://schemas.openxmlformats.org/officeDocument/2006/customXml" ds:itemID="{B1D1DEA8-C6D8-4F75-8BF1-C002E73B80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West Burton</vt:lpstr>
      <vt:lpstr>Cottam</vt:lpstr>
      <vt:lpstr>Euston</vt:lpstr>
      <vt:lpstr>Lullington</vt:lpstr>
      <vt:lpstr>Camblesforth</vt:lpstr>
      <vt:lpstr>Brynrhyd</vt:lpstr>
      <vt:lpstr>Hardwick</vt:lpstr>
      <vt:lpstr>Kinmuck</vt:lpstr>
      <vt:lpstr>Welby</vt:lpstr>
      <vt:lpstr>Carlton</vt:lpstr>
      <vt:lpstr>Tean Leys</vt:lpstr>
      <vt:lpstr>Bonsdale (Ragwhistle)</vt:lpstr>
      <vt:lpstr>Bodelwyddan </vt:lpstr>
      <vt:lpstr>Lime Down (Melksham)</vt:lpstr>
      <vt:lpstr>Green Hill (Grendon)</vt:lpstr>
      <vt:lpstr>Branxton</vt:lpstr>
      <vt:lpstr>Lullington (Resubmission)</vt:lpstr>
      <vt:lpstr>Whitehouse</vt:lpstr>
      <vt:lpstr>New Deer</vt:lpstr>
      <vt:lpstr>East Pye (Long Stratton)</vt:lpstr>
      <vt:lpstr>The Droves (Kings Lynn)</vt:lpstr>
      <vt:lpstr>Grange (Stallingborough)</vt:lpstr>
      <vt:lpstr>Light Valley S (Monk Fryston)</vt:lpstr>
      <vt:lpstr>Exeter</vt:lpstr>
      <vt:lpstr>Phase 2 spends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Brindle</dc:creator>
  <cp:keywords/>
  <dc:description/>
  <cp:lastModifiedBy>Georgiy Savchenko</cp:lastModifiedBy>
  <cp:revision/>
  <dcterms:created xsi:type="dcterms:W3CDTF">2019-01-16T15:45:51Z</dcterms:created>
  <dcterms:modified xsi:type="dcterms:W3CDTF">2024-08-07T11:28:30Z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0x010100AA5B0E7F76F24F4BA4389C55667B58A1</vt:lpwstr>
  </property>
  <property fmtid="{D5CDD505-2E9C-101B-9397-08002B2CF9AE}" pid="3" name="MediaServiceImageTags">
    <vt:lpwstr/>
  </property>
</Properties>
</file>