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Workflows\"/>
    </mc:Choice>
  </mc:AlternateContent>
  <xr:revisionPtr revIDLastSave="1" documentId="11_829F71C531069C95E253B1C0BFE5DB38656A56A5" xr6:coauthVersionLast="36" xr6:coauthVersionMax="36" xr10:uidLastSave="{7282524F-F95C-4A22-9321-828D8AEDDB90}"/>
  <bookViews>
    <workbookView xWindow="0" yWindow="0" windowWidth="27270" windowHeight="9180" xr2:uid="{00000000-000D-0000-FFFF-FFFF00000000}"/>
  </bookViews>
  <sheets>
    <sheet name="Por-Perm-Logs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0" i="1" l="1"/>
  <c r="AO45" i="1" l="1"/>
  <c r="AO23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G124" i="1" l="1"/>
  <c r="G123" i="1"/>
  <c r="G120" i="1"/>
  <c r="G121" i="1"/>
  <c r="G122" i="1"/>
  <c r="F121" i="1"/>
  <c r="G39" i="1"/>
  <c r="F124" i="1"/>
  <c r="G27" i="1"/>
  <c r="G33" i="1"/>
  <c r="F123" i="1"/>
  <c r="F122" i="1"/>
  <c r="G70" i="1"/>
  <c r="G58" i="1"/>
  <c r="G82" i="1"/>
  <c r="G34" i="1"/>
  <c r="G106" i="1"/>
  <c r="G46" i="1"/>
  <c r="G112" i="1"/>
  <c r="G64" i="1"/>
  <c r="G100" i="1"/>
  <c r="G76" i="1"/>
  <c r="G88" i="1"/>
  <c r="G52" i="1"/>
  <c r="G118" i="1"/>
  <c r="G40" i="1"/>
  <c r="G94" i="1"/>
  <c r="F33" i="1"/>
  <c r="F39" i="1"/>
  <c r="F45" i="1"/>
  <c r="F51" i="1"/>
  <c r="F57" i="1"/>
  <c r="F63" i="1"/>
  <c r="F69" i="1"/>
  <c r="F75" i="1"/>
  <c r="F81" i="1"/>
  <c r="F93" i="1"/>
  <c r="F99" i="1"/>
  <c r="F105" i="1"/>
  <c r="F117" i="1"/>
  <c r="G45" i="1"/>
  <c r="G51" i="1"/>
  <c r="G57" i="1"/>
  <c r="G63" i="1"/>
  <c r="G69" i="1"/>
  <c r="G75" i="1"/>
  <c r="G81" i="1"/>
  <c r="G87" i="1"/>
  <c r="G93" i="1"/>
  <c r="G99" i="1"/>
  <c r="G105" i="1"/>
  <c r="G111" i="1"/>
  <c r="G117" i="1"/>
  <c r="F27" i="1"/>
  <c r="F40" i="1"/>
  <c r="F46" i="1"/>
  <c r="F52" i="1"/>
  <c r="F58" i="1"/>
  <c r="F64" i="1"/>
  <c r="F70" i="1"/>
  <c r="F76" i="1"/>
  <c r="F82" i="1"/>
  <c r="F88" i="1"/>
  <c r="F94" i="1"/>
  <c r="F100" i="1"/>
  <c r="F106" i="1"/>
  <c r="F112" i="1"/>
  <c r="F118" i="1"/>
  <c r="F41" i="1"/>
  <c r="F59" i="1"/>
  <c r="F65" i="1"/>
  <c r="F83" i="1"/>
  <c r="F89" i="1"/>
  <c r="F95" i="1"/>
  <c r="F113" i="1"/>
  <c r="F119" i="1"/>
  <c r="F29" i="1"/>
  <c r="F53" i="1"/>
  <c r="F77" i="1"/>
  <c r="F107" i="1"/>
  <c r="F111" i="1"/>
  <c r="F35" i="1"/>
  <c r="F47" i="1"/>
  <c r="F71" i="1"/>
  <c r="F101" i="1"/>
  <c r="F87" i="1"/>
  <c r="G30" i="1"/>
  <c r="G36" i="1"/>
  <c r="G42" i="1"/>
  <c r="G48" i="1"/>
  <c r="G54" i="1"/>
  <c r="G60" i="1"/>
  <c r="G66" i="1"/>
  <c r="G72" i="1"/>
  <c r="G78" i="1"/>
  <c r="G84" i="1"/>
  <c r="G90" i="1"/>
  <c r="G96" i="1"/>
  <c r="G102" i="1"/>
  <c r="G108" i="1"/>
  <c r="G114" i="1"/>
  <c r="F28" i="1"/>
  <c r="F25" i="1"/>
  <c r="F31" i="1"/>
  <c r="F37" i="1"/>
  <c r="F43" i="1"/>
  <c r="F49" i="1"/>
  <c r="F55" i="1"/>
  <c r="F61" i="1"/>
  <c r="F67" i="1"/>
  <c r="F73" i="1"/>
  <c r="F79" i="1"/>
  <c r="F85" i="1"/>
  <c r="F91" i="1"/>
  <c r="F97" i="1"/>
  <c r="F103" i="1"/>
  <c r="F109" i="1"/>
  <c r="F115" i="1"/>
  <c r="G28" i="1"/>
  <c r="G25" i="1"/>
  <c r="G29" i="1"/>
  <c r="G35" i="1"/>
  <c r="G43" i="1"/>
  <c r="G49" i="1"/>
  <c r="G53" i="1"/>
  <c r="G59" i="1"/>
  <c r="G67" i="1"/>
  <c r="G71" i="1"/>
  <c r="G77" i="1"/>
  <c r="G83" i="1"/>
  <c r="G89" i="1"/>
  <c r="G97" i="1"/>
  <c r="G103" i="1"/>
  <c r="G109" i="1"/>
  <c r="G113" i="1"/>
  <c r="G119" i="1"/>
  <c r="F26" i="1"/>
  <c r="F30" i="1"/>
  <c r="F38" i="1"/>
  <c r="F44" i="1"/>
  <c r="F50" i="1"/>
  <c r="F54" i="1"/>
  <c r="F60" i="1"/>
  <c r="F68" i="1"/>
  <c r="F74" i="1"/>
  <c r="F78" i="1"/>
  <c r="F86" i="1"/>
  <c r="F90" i="1"/>
  <c r="F98" i="1"/>
  <c r="F102" i="1"/>
  <c r="F108" i="1"/>
  <c r="F116" i="1"/>
  <c r="F34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G116" i="1"/>
  <c r="G41" i="1"/>
  <c r="G107" i="1"/>
  <c r="F36" i="1"/>
  <c r="F72" i="1"/>
  <c r="G24" i="1"/>
  <c r="G47" i="1"/>
  <c r="G101" i="1"/>
  <c r="F42" i="1"/>
  <c r="F66" i="1"/>
  <c r="F120" i="1"/>
  <c r="G95" i="1"/>
  <c r="F48" i="1"/>
  <c r="F114" i="1"/>
  <c r="G65" i="1"/>
  <c r="F84" i="1"/>
  <c r="G31" i="1"/>
  <c r="G37" i="1"/>
  <c r="G55" i="1"/>
  <c r="G61" i="1"/>
  <c r="G73" i="1"/>
  <c r="G79" i="1"/>
  <c r="G85" i="1"/>
  <c r="G91" i="1"/>
  <c r="G115" i="1"/>
  <c r="F96" i="1"/>
  <c r="F32" i="1"/>
  <c r="F56" i="1"/>
  <c r="F62" i="1"/>
  <c r="F80" i="1"/>
  <c r="F92" i="1"/>
  <c r="F104" i="1"/>
  <c r="F110" i="1"/>
  <c r="F23" i="1"/>
  <c r="G20" i="1"/>
  <c r="G21" i="1"/>
  <c r="G22" i="1"/>
  <c r="G23" i="1"/>
  <c r="F21" i="1"/>
  <c r="F22" i="1"/>
  <c r="F20" i="1"/>
  <c r="F24" i="1"/>
  <c r="G15" i="1" l="1"/>
  <c r="G14" i="1"/>
  <c r="G12" i="1"/>
  <c r="G11" i="1"/>
  <c r="I20" i="1" l="1"/>
  <c r="I116" i="1"/>
  <c r="I50" i="1"/>
  <c r="I43" i="1"/>
  <c r="I49" i="1"/>
  <c r="I76" i="1"/>
  <c r="I52" i="1"/>
  <c r="I79" i="1"/>
  <c r="I27" i="1"/>
  <c r="I110" i="1"/>
  <c r="I56" i="1"/>
  <c r="I32" i="1"/>
  <c r="I78" i="1"/>
  <c r="I107" i="1"/>
  <c r="I122" i="1"/>
  <c r="I95" i="1"/>
  <c r="I112" i="1"/>
  <c r="I64" i="1"/>
  <c r="I66" i="1"/>
  <c r="I41" i="1"/>
  <c r="I23" i="1"/>
  <c r="I124" i="1"/>
  <c r="I21" i="1"/>
  <c r="I104" i="1"/>
  <c r="I65" i="1"/>
  <c r="I106" i="1"/>
  <c r="I46" i="1"/>
  <c r="I57" i="1"/>
  <c r="I63" i="1"/>
  <c r="I77" i="1"/>
  <c r="I87" i="1"/>
  <c r="I81" i="1"/>
  <c r="I70" i="1"/>
  <c r="I123" i="1"/>
  <c r="I25" i="1"/>
  <c r="I89" i="1"/>
  <c r="I45" i="1"/>
  <c r="I51" i="1"/>
  <c r="I54" i="1"/>
  <c r="I60" i="1"/>
  <c r="I92" i="1"/>
  <c r="I119" i="1"/>
  <c r="I22" i="1"/>
  <c r="I62" i="1"/>
  <c r="I118" i="1"/>
  <c r="I58" i="1"/>
  <c r="I120" i="1"/>
  <c r="I97" i="1"/>
  <c r="I117" i="1"/>
  <c r="I48" i="1"/>
  <c r="I67" i="1"/>
  <c r="I71" i="1"/>
  <c r="I73" i="1"/>
  <c r="I113" i="1"/>
  <c r="I69" i="1"/>
  <c r="I93" i="1"/>
  <c r="I40" i="1"/>
  <c r="I82" i="1"/>
  <c r="I121" i="1"/>
  <c r="I42" i="1"/>
  <c r="I59" i="1"/>
  <c r="I80" i="1"/>
  <c r="I86" i="1"/>
  <c r="I33" i="1"/>
  <c r="I90" i="1"/>
  <c r="I99" i="1"/>
  <c r="I114" i="1"/>
  <c r="I74" i="1"/>
  <c r="I47" i="1"/>
  <c r="I101" i="1"/>
  <c r="I98" i="1"/>
  <c r="I83" i="1"/>
  <c r="I29" i="1"/>
  <c r="I96" i="1"/>
  <c r="I105" i="1"/>
  <c r="I111" i="1"/>
  <c r="I53" i="1"/>
  <c r="I24" i="1"/>
  <c r="I55" i="1"/>
  <c r="I61" i="1"/>
  <c r="I88" i="1"/>
  <c r="I115" i="1"/>
  <c r="I100" i="1"/>
  <c r="I38" i="1"/>
  <c r="I94" i="1"/>
  <c r="I103" i="1"/>
  <c r="I35" i="1"/>
  <c r="I30" i="1"/>
  <c r="I36" i="1"/>
  <c r="I68" i="1"/>
  <c r="I37" i="1"/>
  <c r="I75" i="1"/>
  <c r="I85" i="1"/>
  <c r="I28" i="1"/>
  <c r="I39" i="1"/>
  <c r="I34" i="1"/>
  <c r="I44" i="1"/>
  <c r="I109" i="1"/>
  <c r="I102" i="1"/>
  <c r="I108" i="1"/>
  <c r="I31" i="1"/>
  <c r="I72" i="1"/>
  <c r="I26" i="1"/>
  <c r="I91" i="1"/>
  <c r="I84" i="1"/>
  <c r="H20" i="1"/>
  <c r="H95" i="1"/>
  <c r="H32" i="1"/>
  <c r="H83" i="1"/>
  <c r="H27" i="1"/>
  <c r="H77" i="1"/>
  <c r="H103" i="1"/>
  <c r="H34" i="1"/>
  <c r="H23" i="1"/>
  <c r="H82" i="1"/>
  <c r="H87" i="1"/>
  <c r="H21" i="1"/>
  <c r="H39" i="1"/>
  <c r="H106" i="1"/>
  <c r="H25" i="1"/>
  <c r="H44" i="1"/>
  <c r="H42" i="1"/>
  <c r="H71" i="1"/>
  <c r="H45" i="1"/>
  <c r="H67" i="1"/>
  <c r="H33" i="1"/>
  <c r="H100" i="1"/>
  <c r="H53" i="1"/>
  <c r="H97" i="1"/>
  <c r="H116" i="1"/>
  <c r="H110" i="1"/>
  <c r="H68" i="1"/>
  <c r="H66" i="1"/>
  <c r="H93" i="1"/>
  <c r="H78" i="1"/>
  <c r="H117" i="1"/>
  <c r="H29" i="1"/>
  <c r="H28" i="1"/>
  <c r="H38" i="1"/>
  <c r="H104" i="1"/>
  <c r="H81" i="1"/>
  <c r="H123" i="1"/>
  <c r="H50" i="1"/>
  <c r="H76" i="1"/>
  <c r="H114" i="1"/>
  <c r="H94" i="1"/>
  <c r="H85" i="1"/>
  <c r="H91" i="1"/>
  <c r="H108" i="1"/>
  <c r="H55" i="1"/>
  <c r="H69" i="1"/>
  <c r="H75" i="1"/>
  <c r="H112" i="1"/>
  <c r="H89" i="1"/>
  <c r="H96" i="1"/>
  <c r="H119" i="1"/>
  <c r="H26" i="1"/>
  <c r="H30" i="1"/>
  <c r="H92" i="1"/>
  <c r="H63" i="1"/>
  <c r="H58" i="1"/>
  <c r="H64" i="1"/>
  <c r="H101" i="1"/>
  <c r="H122" i="1"/>
  <c r="H79" i="1"/>
  <c r="H98" i="1"/>
  <c r="H102" i="1"/>
  <c r="H124" i="1"/>
  <c r="H52" i="1"/>
  <c r="H59" i="1"/>
  <c r="H65" i="1"/>
  <c r="H31" i="1"/>
  <c r="H61" i="1"/>
  <c r="H105" i="1"/>
  <c r="H90" i="1"/>
  <c r="H72" i="1"/>
  <c r="H80" i="1"/>
  <c r="H57" i="1"/>
  <c r="H41" i="1"/>
  <c r="H35" i="1"/>
  <c r="H47" i="1"/>
  <c r="H74" i="1"/>
  <c r="H88" i="1"/>
  <c r="H36" i="1"/>
  <c r="H62" i="1"/>
  <c r="H24" i="1"/>
  <c r="H46" i="1"/>
  <c r="H111" i="1"/>
  <c r="H43" i="1"/>
  <c r="H49" i="1"/>
  <c r="H22" i="1"/>
  <c r="H48" i="1"/>
  <c r="H113" i="1"/>
  <c r="H84" i="1"/>
  <c r="H70" i="1"/>
  <c r="H51" i="1"/>
  <c r="H118" i="1"/>
  <c r="H37" i="1"/>
  <c r="H115" i="1"/>
  <c r="H60" i="1"/>
  <c r="H86" i="1"/>
  <c r="H99" i="1"/>
  <c r="H73" i="1"/>
  <c r="H56" i="1"/>
  <c r="H121" i="1"/>
  <c r="H40" i="1"/>
  <c r="H107" i="1"/>
  <c r="H109" i="1"/>
  <c r="H54" i="1"/>
  <c r="H120" i="1"/>
  <c r="I12" i="1" l="1"/>
  <c r="I11" i="1"/>
  <c r="I15" i="1"/>
  <c r="I14" i="1"/>
  <c r="J25" i="1" l="1"/>
  <c r="J40" i="1"/>
  <c r="J54" i="1"/>
  <c r="J44" i="1"/>
  <c r="J57" i="1"/>
  <c r="J106" i="1"/>
  <c r="J48" i="1"/>
  <c r="J124" i="1"/>
  <c r="J65" i="1"/>
  <c r="J32" i="1"/>
  <c r="J99" i="1"/>
  <c r="J60" i="1"/>
  <c r="J89" i="1"/>
  <c r="J29" i="1"/>
  <c r="J62" i="1"/>
  <c r="J55" i="1"/>
  <c r="J52" i="1"/>
  <c r="J121" i="1"/>
  <c r="J114" i="1"/>
  <c r="J107" i="1"/>
  <c r="J108" i="1"/>
  <c r="J93" i="1"/>
  <c r="J70" i="1"/>
  <c r="J63" i="1"/>
  <c r="J64" i="1"/>
  <c r="J105" i="1"/>
  <c r="J26" i="1"/>
  <c r="J122" i="1"/>
  <c r="J115" i="1"/>
  <c r="J116" i="1"/>
  <c r="J53" i="1"/>
  <c r="J72" i="1"/>
  <c r="J79" i="1"/>
  <c r="J30" i="1"/>
  <c r="J75" i="1"/>
  <c r="J109" i="1"/>
  <c r="J46" i="1"/>
  <c r="J39" i="1"/>
  <c r="J36" i="1"/>
  <c r="J50" i="1"/>
  <c r="J43" i="1"/>
  <c r="J69" i="1"/>
  <c r="J38" i="1"/>
  <c r="J41" i="1"/>
  <c r="J113" i="1"/>
  <c r="J74" i="1"/>
  <c r="J67" i="1"/>
  <c r="J68" i="1"/>
  <c r="J61" i="1"/>
  <c r="J78" i="1"/>
  <c r="J27" i="1"/>
  <c r="J84" i="1"/>
  <c r="J83" i="1"/>
  <c r="J42" i="1"/>
  <c r="J77" i="1"/>
  <c r="J94" i="1"/>
  <c r="J87" i="1"/>
  <c r="J88" i="1"/>
  <c r="J97" i="1"/>
  <c r="J98" i="1"/>
  <c r="J91" i="1"/>
  <c r="J92" i="1"/>
  <c r="J37" i="1"/>
  <c r="J47" i="1"/>
  <c r="J96" i="1"/>
  <c r="J58" i="1"/>
  <c r="J51" i="1"/>
  <c r="J100" i="1"/>
  <c r="J117" i="1"/>
  <c r="J80" i="1"/>
  <c r="J90" i="1"/>
  <c r="J95" i="1"/>
  <c r="J31" i="1"/>
  <c r="J102" i="1"/>
  <c r="J103" i="1"/>
  <c r="J120" i="1"/>
  <c r="J59" i="1"/>
  <c r="J22" i="1"/>
  <c r="J112" i="1"/>
  <c r="J82" i="1"/>
  <c r="J33" i="1"/>
  <c r="J21" i="1"/>
  <c r="J104" i="1"/>
  <c r="J23" i="1"/>
  <c r="J81" i="1"/>
  <c r="J86" i="1"/>
  <c r="J56" i="1"/>
  <c r="J118" i="1"/>
  <c r="J35" i="1"/>
  <c r="J101" i="1"/>
  <c r="J49" i="1"/>
  <c r="J71" i="1"/>
  <c r="J73" i="1"/>
  <c r="J28" i="1"/>
  <c r="J110" i="1"/>
  <c r="J66" i="1"/>
  <c r="J119" i="1"/>
  <c r="J45" i="1"/>
  <c r="J123" i="1"/>
  <c r="J76" i="1"/>
  <c r="J111" i="1"/>
  <c r="J34" i="1"/>
  <c r="J24" i="1"/>
  <c r="J20" i="1"/>
  <c r="J85" i="1"/>
  <c r="K20" i="1" l="1"/>
  <c r="L20" i="1"/>
  <c r="L118" i="1"/>
  <c r="K118" i="1"/>
  <c r="M118" i="1" s="1"/>
  <c r="O118" i="1" s="1"/>
  <c r="L94" i="1"/>
  <c r="K94" i="1"/>
  <c r="M94" i="1" s="1"/>
  <c r="O94" i="1" s="1"/>
  <c r="K24" i="1"/>
  <c r="M24" i="1" s="1"/>
  <c r="O24" i="1" s="1"/>
  <c r="K56" i="1"/>
  <c r="M56" i="1" s="1"/>
  <c r="O56" i="1" s="1"/>
  <c r="L112" i="1"/>
  <c r="K112" i="1"/>
  <c r="M112" i="1" s="1"/>
  <c r="O112" i="1" s="1"/>
  <c r="L90" i="1"/>
  <c r="K90" i="1"/>
  <c r="M90" i="1" s="1"/>
  <c r="O90" i="1" s="1"/>
  <c r="L37" i="1"/>
  <c r="K37" i="1"/>
  <c r="M37" i="1" s="1"/>
  <c r="O37" i="1" s="1"/>
  <c r="K77" i="1"/>
  <c r="M77" i="1" s="1"/>
  <c r="O77" i="1" s="1"/>
  <c r="L67" i="1"/>
  <c r="K67" i="1"/>
  <c r="M67" i="1" s="1"/>
  <c r="O67" i="1" s="1"/>
  <c r="L36" i="1"/>
  <c r="K36" i="1"/>
  <c r="M36" i="1" s="1"/>
  <c r="O36" i="1" s="1"/>
  <c r="L53" i="1"/>
  <c r="K53" i="1"/>
  <c r="M53" i="1" s="1"/>
  <c r="O53" i="1" s="1"/>
  <c r="L70" i="1"/>
  <c r="K70" i="1"/>
  <c r="M70" i="1" s="1"/>
  <c r="O70" i="1" s="1"/>
  <c r="L62" i="1"/>
  <c r="K62" i="1"/>
  <c r="M62" i="1" s="1"/>
  <c r="O62" i="1" s="1"/>
  <c r="K48" i="1"/>
  <c r="M48" i="1" s="1"/>
  <c r="O48" i="1" s="1"/>
  <c r="K47" i="1"/>
  <c r="M47" i="1" s="1"/>
  <c r="O47" i="1" s="1"/>
  <c r="L72" i="1"/>
  <c r="K72" i="1"/>
  <c r="M72" i="1" s="1"/>
  <c r="O72" i="1" s="1"/>
  <c r="L22" i="1"/>
  <c r="K22" i="1"/>
  <c r="M22" i="1" s="1"/>
  <c r="O22" i="1" s="1"/>
  <c r="K80" i="1"/>
  <c r="M80" i="1" s="1"/>
  <c r="O80" i="1" s="1"/>
  <c r="L92" i="1"/>
  <c r="K92" i="1"/>
  <c r="M92" i="1" s="1"/>
  <c r="O92" i="1" s="1"/>
  <c r="L42" i="1"/>
  <c r="K42" i="1"/>
  <c r="M42" i="1" s="1"/>
  <c r="O42" i="1" s="1"/>
  <c r="K74" i="1"/>
  <c r="M74" i="1" s="1"/>
  <c r="O74" i="1" s="1"/>
  <c r="K39" i="1"/>
  <c r="M39" i="1" s="1"/>
  <c r="O39" i="1" s="1"/>
  <c r="K116" i="1"/>
  <c r="M116" i="1" s="1"/>
  <c r="O116" i="1" s="1"/>
  <c r="K93" i="1"/>
  <c r="M93" i="1" s="1"/>
  <c r="O93" i="1" s="1"/>
  <c r="K29" i="1"/>
  <c r="M29" i="1" s="1"/>
  <c r="O29" i="1" s="1"/>
  <c r="K106" i="1"/>
  <c r="M106" i="1" s="1"/>
  <c r="O106" i="1" s="1"/>
  <c r="K124" i="1"/>
  <c r="M124" i="1" s="1"/>
  <c r="O124" i="1" s="1"/>
  <c r="L34" i="1"/>
  <c r="K34" i="1"/>
  <c r="M34" i="1" s="1"/>
  <c r="O34" i="1" s="1"/>
  <c r="L111" i="1"/>
  <c r="K111" i="1"/>
  <c r="M111" i="1" s="1"/>
  <c r="O111" i="1" s="1"/>
  <c r="L73" i="1"/>
  <c r="K73" i="1"/>
  <c r="M73" i="1" s="1"/>
  <c r="O73" i="1" s="1"/>
  <c r="L81" i="1"/>
  <c r="K81" i="1"/>
  <c r="M81" i="1" s="1"/>
  <c r="O81" i="1" s="1"/>
  <c r="L59" i="1"/>
  <c r="K59" i="1"/>
  <c r="M59" i="1" s="1"/>
  <c r="O59" i="1" s="1"/>
  <c r="L117" i="1"/>
  <c r="K117" i="1"/>
  <c r="M117" i="1" s="1"/>
  <c r="O117" i="1" s="1"/>
  <c r="K91" i="1"/>
  <c r="M91" i="1" s="1"/>
  <c r="O91" i="1" s="1"/>
  <c r="L83" i="1"/>
  <c r="K83" i="1"/>
  <c r="M83" i="1" s="1"/>
  <c r="O83" i="1" s="1"/>
  <c r="L113" i="1"/>
  <c r="K113" i="1"/>
  <c r="M113" i="1" s="1"/>
  <c r="O113" i="1" s="1"/>
  <c r="K46" i="1"/>
  <c r="M46" i="1" s="1"/>
  <c r="O46" i="1" s="1"/>
  <c r="K115" i="1"/>
  <c r="M115" i="1" s="1"/>
  <c r="O115" i="1" s="1"/>
  <c r="K108" i="1"/>
  <c r="M108" i="1" s="1"/>
  <c r="O108" i="1" s="1"/>
  <c r="L89" i="1"/>
  <c r="K89" i="1"/>
  <c r="M89" i="1" s="1"/>
  <c r="O89" i="1" s="1"/>
  <c r="K57" i="1"/>
  <c r="M57" i="1" s="1"/>
  <c r="O57" i="1" s="1"/>
  <c r="L66" i="1"/>
  <c r="K66" i="1"/>
  <c r="M66" i="1" s="1"/>
  <c r="O66" i="1" s="1"/>
  <c r="L63" i="1"/>
  <c r="K63" i="1"/>
  <c r="M63" i="1" s="1"/>
  <c r="O63" i="1" s="1"/>
  <c r="K28" i="1"/>
  <c r="M28" i="1" s="1"/>
  <c r="O28" i="1" s="1"/>
  <c r="L76" i="1"/>
  <c r="K76" i="1"/>
  <c r="M76" i="1" s="1"/>
  <c r="O76" i="1" s="1"/>
  <c r="K71" i="1"/>
  <c r="M71" i="1" s="1"/>
  <c r="O71" i="1" s="1"/>
  <c r="K23" i="1"/>
  <c r="M23" i="1" s="1"/>
  <c r="O23" i="1" s="1"/>
  <c r="K120" i="1"/>
  <c r="M120" i="1" s="1"/>
  <c r="O120" i="1" s="1"/>
  <c r="K100" i="1"/>
  <c r="M100" i="1" s="1"/>
  <c r="O100" i="1" s="1"/>
  <c r="L98" i="1"/>
  <c r="K98" i="1"/>
  <c r="M98" i="1" s="1"/>
  <c r="O98" i="1" s="1"/>
  <c r="K84" i="1"/>
  <c r="M84" i="1" s="1"/>
  <c r="O84" i="1" s="1"/>
  <c r="K41" i="1"/>
  <c r="M41" i="1" s="1"/>
  <c r="O41" i="1" s="1"/>
  <c r="K109" i="1"/>
  <c r="M109" i="1" s="1"/>
  <c r="O109" i="1" s="1"/>
  <c r="K122" i="1"/>
  <c r="M122" i="1" s="1"/>
  <c r="O122" i="1" s="1"/>
  <c r="K107" i="1"/>
  <c r="M107" i="1" s="1"/>
  <c r="O107" i="1" s="1"/>
  <c r="L60" i="1"/>
  <c r="K60" i="1"/>
  <c r="M60" i="1" s="1"/>
  <c r="O60" i="1" s="1"/>
  <c r="L44" i="1"/>
  <c r="K44" i="1"/>
  <c r="M44" i="1" s="1"/>
  <c r="O44" i="1" s="1"/>
  <c r="K55" i="1"/>
  <c r="M55" i="1" s="1"/>
  <c r="O55" i="1" s="1"/>
  <c r="L110" i="1"/>
  <c r="K110" i="1"/>
  <c r="M110" i="1" s="1"/>
  <c r="O110" i="1" s="1"/>
  <c r="L123" i="1"/>
  <c r="K123" i="1"/>
  <c r="M123" i="1" s="1"/>
  <c r="O123" i="1" s="1"/>
  <c r="K49" i="1"/>
  <c r="M49" i="1" s="1"/>
  <c r="O49" i="1" s="1"/>
  <c r="K104" i="1"/>
  <c r="M104" i="1" s="1"/>
  <c r="O104" i="1" s="1"/>
  <c r="L103" i="1"/>
  <c r="K103" i="1"/>
  <c r="M103" i="1" s="1"/>
  <c r="O103" i="1" s="1"/>
  <c r="K51" i="1"/>
  <c r="M51" i="1" s="1"/>
  <c r="O51" i="1" s="1"/>
  <c r="L97" i="1"/>
  <c r="K97" i="1"/>
  <c r="M97" i="1" s="1"/>
  <c r="O97" i="1" s="1"/>
  <c r="L27" i="1"/>
  <c r="K27" i="1"/>
  <c r="M27" i="1" s="1"/>
  <c r="O27" i="1" s="1"/>
  <c r="L38" i="1"/>
  <c r="K38" i="1"/>
  <c r="M38" i="1" s="1"/>
  <c r="O38" i="1" s="1"/>
  <c r="K75" i="1"/>
  <c r="M75" i="1" s="1"/>
  <c r="O75" i="1" s="1"/>
  <c r="L26" i="1"/>
  <c r="K26" i="1"/>
  <c r="M26" i="1" s="1"/>
  <c r="O26" i="1" s="1"/>
  <c r="L114" i="1"/>
  <c r="K114" i="1"/>
  <c r="M114" i="1" s="1"/>
  <c r="O114" i="1" s="1"/>
  <c r="L99" i="1"/>
  <c r="K99" i="1"/>
  <c r="M99" i="1" s="1"/>
  <c r="O99" i="1" s="1"/>
  <c r="L54" i="1"/>
  <c r="K54" i="1"/>
  <c r="M54" i="1" s="1"/>
  <c r="O54" i="1" s="1"/>
  <c r="L95" i="1"/>
  <c r="K95" i="1"/>
  <c r="M95" i="1" s="1"/>
  <c r="O95" i="1" s="1"/>
  <c r="L50" i="1"/>
  <c r="K50" i="1"/>
  <c r="M50" i="1" s="1"/>
  <c r="O50" i="1" s="1"/>
  <c r="L86" i="1"/>
  <c r="K86" i="1"/>
  <c r="M86" i="1" s="1"/>
  <c r="O86" i="1" s="1"/>
  <c r="K45" i="1"/>
  <c r="M45" i="1" s="1"/>
  <c r="O45" i="1" s="1"/>
  <c r="L101" i="1"/>
  <c r="K101" i="1"/>
  <c r="M101" i="1" s="1"/>
  <c r="O101" i="1" s="1"/>
  <c r="L21" i="1"/>
  <c r="K21" i="1"/>
  <c r="M21" i="1" s="1"/>
  <c r="O21" i="1" s="1"/>
  <c r="L102" i="1"/>
  <c r="K102" i="1"/>
  <c r="M102" i="1" s="1"/>
  <c r="O102" i="1" s="1"/>
  <c r="L58" i="1"/>
  <c r="K58" i="1"/>
  <c r="M58" i="1" s="1"/>
  <c r="O58" i="1" s="1"/>
  <c r="K88" i="1"/>
  <c r="M88" i="1" s="1"/>
  <c r="O88" i="1" s="1"/>
  <c r="L78" i="1"/>
  <c r="K78" i="1"/>
  <c r="M78" i="1" s="1"/>
  <c r="O78" i="1" s="1"/>
  <c r="K69" i="1"/>
  <c r="M69" i="1" s="1"/>
  <c r="O69" i="1" s="1"/>
  <c r="K30" i="1"/>
  <c r="M30" i="1" s="1"/>
  <c r="O30" i="1" s="1"/>
  <c r="K105" i="1"/>
  <c r="M105" i="1" s="1"/>
  <c r="O105" i="1" s="1"/>
  <c r="K121" i="1"/>
  <c r="M121" i="1" s="1"/>
  <c r="O121" i="1" s="1"/>
  <c r="K32" i="1"/>
  <c r="M32" i="1" s="1"/>
  <c r="O32" i="1" s="1"/>
  <c r="K40" i="1"/>
  <c r="M40" i="1" s="1"/>
  <c r="O40" i="1" s="1"/>
  <c r="L82" i="1"/>
  <c r="K82" i="1"/>
  <c r="M82" i="1" s="1"/>
  <c r="O82" i="1" s="1"/>
  <c r="L68" i="1"/>
  <c r="K68" i="1"/>
  <c r="M68" i="1" s="1"/>
  <c r="O68" i="1" s="1"/>
  <c r="L85" i="1"/>
  <c r="K85" i="1"/>
  <c r="M85" i="1" s="1"/>
  <c r="O85" i="1" s="1"/>
  <c r="L119" i="1"/>
  <c r="K119" i="1"/>
  <c r="M119" i="1" s="1"/>
  <c r="O119" i="1" s="1"/>
  <c r="K35" i="1"/>
  <c r="M35" i="1" s="1"/>
  <c r="O35" i="1" s="1"/>
  <c r="K33" i="1"/>
  <c r="M33" i="1" s="1"/>
  <c r="O33" i="1" s="1"/>
  <c r="K31" i="1"/>
  <c r="M31" i="1" s="1"/>
  <c r="O31" i="1" s="1"/>
  <c r="L96" i="1"/>
  <c r="K96" i="1"/>
  <c r="M96" i="1" s="1"/>
  <c r="O96" i="1" s="1"/>
  <c r="L87" i="1"/>
  <c r="K87" i="1"/>
  <c r="M87" i="1" s="1"/>
  <c r="O87" i="1" s="1"/>
  <c r="K61" i="1"/>
  <c r="M61" i="1" s="1"/>
  <c r="O61" i="1" s="1"/>
  <c r="K43" i="1"/>
  <c r="M43" i="1" s="1"/>
  <c r="O43" i="1" s="1"/>
  <c r="L79" i="1"/>
  <c r="K79" i="1"/>
  <c r="M79" i="1" s="1"/>
  <c r="O79" i="1" s="1"/>
  <c r="L64" i="1"/>
  <c r="K64" i="1"/>
  <c r="M64" i="1" s="1"/>
  <c r="O64" i="1" s="1"/>
  <c r="K52" i="1"/>
  <c r="M52" i="1" s="1"/>
  <c r="O52" i="1" s="1"/>
  <c r="K65" i="1"/>
  <c r="M65" i="1" s="1"/>
  <c r="O65" i="1" s="1"/>
  <c r="K25" i="1"/>
  <c r="M25" i="1" s="1"/>
  <c r="O25" i="1" s="1"/>
  <c r="M20" i="1"/>
  <c r="O20" i="1" s="1"/>
  <c r="L33" i="1"/>
  <c r="L39" i="1"/>
  <c r="L23" i="1"/>
  <c r="L93" i="1"/>
  <c r="L69" i="1"/>
  <c r="L105" i="1"/>
  <c r="L29" i="1"/>
  <c r="L49" i="1"/>
  <c r="L116" i="1"/>
  <c r="L32" i="1"/>
  <c r="L30" i="1"/>
  <c r="L100" i="1"/>
  <c r="L40" i="1"/>
  <c r="L45" i="1"/>
  <c r="L121" i="1"/>
  <c r="N20" i="1"/>
  <c r="L106" i="1"/>
  <c r="L56" i="1"/>
  <c r="L104" i="1"/>
  <c r="L31" i="1"/>
  <c r="L51" i="1"/>
  <c r="L91" i="1"/>
  <c r="L77" i="1"/>
  <c r="L61" i="1"/>
  <c r="L43" i="1"/>
  <c r="L46" i="1"/>
  <c r="L115" i="1"/>
  <c r="L108" i="1"/>
  <c r="L52" i="1"/>
  <c r="L65" i="1"/>
  <c r="L57" i="1"/>
  <c r="L25" i="1"/>
  <c r="L120" i="1"/>
  <c r="L24" i="1"/>
  <c r="L35" i="1"/>
  <c r="L71" i="1"/>
  <c r="L28" i="1"/>
  <c r="L41" i="1"/>
  <c r="L109" i="1"/>
  <c r="L122" i="1"/>
  <c r="L107" i="1"/>
  <c r="L55" i="1"/>
  <c r="L124" i="1"/>
  <c r="L80" i="1"/>
  <c r="L47" i="1"/>
  <c r="N47" i="1" s="1"/>
  <c r="L88" i="1"/>
  <c r="L84" i="1"/>
  <c r="L74" i="1"/>
  <c r="L75" i="1"/>
  <c r="L48" i="1"/>
  <c r="O15" i="1" l="1"/>
  <c r="O14" i="1"/>
  <c r="U20" i="1" s="1"/>
  <c r="N32" i="1"/>
  <c r="N31" i="1"/>
  <c r="N124" i="1"/>
  <c r="N55" i="1"/>
  <c r="N56" i="1"/>
  <c r="N29" i="1"/>
  <c r="N101" i="1"/>
  <c r="N60" i="1"/>
  <c r="N37" i="1"/>
  <c r="N49" i="1"/>
  <c r="N99" i="1"/>
  <c r="N81" i="1"/>
  <c r="N65" i="1"/>
  <c r="N64" i="1"/>
  <c r="N107" i="1"/>
  <c r="N52" i="1"/>
  <c r="N106" i="1"/>
  <c r="N105" i="1"/>
  <c r="N119" i="1"/>
  <c r="N114" i="1"/>
  <c r="N103" i="1"/>
  <c r="N76" i="1"/>
  <c r="N73" i="1"/>
  <c r="N62" i="1"/>
  <c r="N113" i="1"/>
  <c r="N42" i="1"/>
  <c r="N90" i="1"/>
  <c r="N91" i="1"/>
  <c r="N96" i="1"/>
  <c r="N51" i="1"/>
  <c r="N80" i="1"/>
  <c r="N116" i="1"/>
  <c r="N57" i="1"/>
  <c r="N104" i="1"/>
  <c r="N109" i="1"/>
  <c r="N115" i="1"/>
  <c r="N121" i="1"/>
  <c r="N93" i="1"/>
  <c r="N85" i="1"/>
  <c r="N78" i="1"/>
  <c r="N86" i="1"/>
  <c r="N26" i="1"/>
  <c r="N111" i="1"/>
  <c r="N70" i="1"/>
  <c r="N63" i="1"/>
  <c r="N83" i="1"/>
  <c r="N92" i="1"/>
  <c r="N112" i="1"/>
  <c r="N108" i="1"/>
  <c r="N79" i="1"/>
  <c r="N48" i="1"/>
  <c r="N45" i="1"/>
  <c r="N34" i="1"/>
  <c r="N53" i="1"/>
  <c r="N102" i="1"/>
  <c r="N120" i="1"/>
  <c r="N25" i="1"/>
  <c r="N122" i="1"/>
  <c r="N69" i="1"/>
  <c r="N43" i="1"/>
  <c r="N68" i="1"/>
  <c r="N74" i="1"/>
  <c r="N58" i="1"/>
  <c r="N38" i="1"/>
  <c r="N66" i="1"/>
  <c r="N24" i="1"/>
  <c r="N41" i="1"/>
  <c r="N46" i="1"/>
  <c r="N23" i="1"/>
  <c r="N75" i="1"/>
  <c r="N28" i="1"/>
  <c r="N40" i="1"/>
  <c r="N39" i="1"/>
  <c r="N50" i="1"/>
  <c r="N123" i="1"/>
  <c r="N71" i="1"/>
  <c r="N61" i="1"/>
  <c r="N100" i="1"/>
  <c r="N33" i="1"/>
  <c r="N87" i="1"/>
  <c r="N84" i="1"/>
  <c r="N35" i="1"/>
  <c r="N77" i="1"/>
  <c r="N30" i="1"/>
  <c r="N82" i="1"/>
  <c r="N95" i="1"/>
  <c r="N110" i="1"/>
  <c r="N98" i="1"/>
  <c r="N117" i="1"/>
  <c r="N22" i="1"/>
  <c r="N36" i="1"/>
  <c r="N88" i="1"/>
  <c r="N27" i="1"/>
  <c r="N94" i="1"/>
  <c r="N54" i="1"/>
  <c r="N89" i="1"/>
  <c r="N59" i="1"/>
  <c r="N72" i="1"/>
  <c r="N67" i="1"/>
  <c r="N21" i="1"/>
  <c r="N97" i="1"/>
  <c r="N44" i="1"/>
  <c r="N118" i="1"/>
  <c r="Z123" i="1" l="1" a="1"/>
  <c r="Z123" i="1" s="1"/>
  <c r="AF75" i="1"/>
  <c r="AH75" i="1" s="1"/>
  <c r="U29" i="1"/>
  <c r="U38" i="1"/>
  <c r="U22" i="1"/>
  <c r="U49" i="1"/>
  <c r="U112" i="1"/>
  <c r="U85" i="1"/>
  <c r="U39" i="1"/>
  <c r="U76" i="1"/>
  <c r="U59" i="1"/>
  <c r="U123" i="1"/>
  <c r="U124" i="1"/>
  <c r="U43" i="1"/>
  <c r="U92" i="1"/>
  <c r="U99" i="1"/>
  <c r="U71" i="1"/>
  <c r="U103" i="1"/>
  <c r="U100" i="1"/>
  <c r="U109" i="1"/>
  <c r="U98" i="1"/>
  <c r="U56" i="1"/>
  <c r="U63" i="1"/>
  <c r="U90" i="1"/>
  <c r="U105" i="1"/>
  <c r="U30" i="1"/>
  <c r="U88" i="1"/>
  <c r="U120" i="1"/>
  <c r="U114" i="1"/>
  <c r="U44" i="1"/>
  <c r="U80" i="1"/>
  <c r="U48" i="1"/>
  <c r="U54" i="1"/>
  <c r="U65" i="1"/>
  <c r="U91" i="1"/>
  <c r="U121" i="1"/>
  <c r="U40" i="1"/>
  <c r="U82" i="1"/>
  <c r="U58" i="1"/>
  <c r="U93" i="1"/>
  <c r="U81" i="1"/>
  <c r="U25" i="1"/>
  <c r="U57" i="1"/>
  <c r="U66" i="1"/>
  <c r="U52" i="1"/>
  <c r="U122" i="1"/>
  <c r="U45" i="1"/>
  <c r="U31" i="1"/>
  <c r="U101" i="1"/>
  <c r="U89" i="1"/>
  <c r="U51" i="1"/>
  <c r="U55" i="1"/>
  <c r="U42" i="1"/>
  <c r="U113" i="1"/>
  <c r="U107" i="1"/>
  <c r="U108" i="1"/>
  <c r="U106" i="1"/>
  <c r="U50" i="1"/>
  <c r="U84" i="1"/>
  <c r="U53" i="1"/>
  <c r="U104" i="1"/>
  <c r="U69" i="1"/>
  <c r="U62" i="1"/>
  <c r="U35" i="1"/>
  <c r="U117" i="1"/>
  <c r="U83" i="1"/>
  <c r="U97" i="1"/>
  <c r="U77" i="1"/>
  <c r="U110" i="1"/>
  <c r="U70" i="1"/>
  <c r="U64" i="1"/>
  <c r="U47" i="1"/>
  <c r="U95" i="1"/>
  <c r="U111" i="1"/>
  <c r="U115" i="1"/>
  <c r="U116" i="1"/>
  <c r="U94" i="1"/>
  <c r="U28" i="1"/>
  <c r="U60" i="1"/>
  <c r="U23" i="1"/>
  <c r="U27" i="1"/>
  <c r="U21" i="1"/>
  <c r="U87" i="1"/>
  <c r="U34" i="1"/>
  <c r="U26" i="1"/>
  <c r="U79" i="1"/>
  <c r="U74" i="1"/>
  <c r="U33" i="1"/>
  <c r="U67" i="1"/>
  <c r="U102" i="1"/>
  <c r="U24" i="1"/>
  <c r="U75" i="1"/>
  <c r="U41" i="1"/>
  <c r="U86" i="1"/>
  <c r="U119" i="1"/>
  <c r="U73" i="1"/>
  <c r="U32" i="1"/>
  <c r="U72" i="1"/>
  <c r="U96" i="1"/>
  <c r="U36" i="1"/>
  <c r="U68" i="1"/>
  <c r="U61" i="1"/>
  <c r="U78" i="1"/>
  <c r="U37" i="1"/>
  <c r="U46" i="1"/>
  <c r="U118" i="1"/>
  <c r="O12" i="1"/>
  <c r="O11" i="1"/>
  <c r="P108" i="1" s="1"/>
  <c r="AM21" i="1"/>
  <c r="AP19" i="1" s="1"/>
  <c r="AM43" i="1"/>
  <c r="AP41" i="1" s="1"/>
  <c r="AM44" i="1"/>
  <c r="AZ43" i="1" s="1"/>
  <c r="AO43" i="1"/>
  <c r="AM22" i="1"/>
  <c r="AZ21" i="1" s="1"/>
  <c r="AO21" i="1"/>
  <c r="Z127" i="1" l="1"/>
  <c r="AJ135" i="1" s="1"/>
  <c r="Z124" i="1"/>
  <c r="AA126" i="1"/>
  <c r="AQ137" i="1" s="1"/>
  <c r="AA125" i="1"/>
  <c r="AA124" i="1"/>
  <c r="AA123" i="1"/>
  <c r="AA127" i="1"/>
  <c r="AJ136" i="1" s="1"/>
  <c r="Z126" i="1"/>
  <c r="Z125" i="1"/>
  <c r="AF125" i="1" s="1"/>
  <c r="Q20" i="1"/>
  <c r="Q71" i="1"/>
  <c r="Q70" i="1"/>
  <c r="Q68" i="1"/>
  <c r="Q87" i="1"/>
  <c r="Q95" i="1"/>
  <c r="Q96" i="1"/>
  <c r="Q55" i="1"/>
  <c r="Q31" i="1"/>
  <c r="Q121" i="1"/>
  <c r="Q80" i="1"/>
  <c r="Q115" i="1"/>
  <c r="Q30" i="1"/>
  <c r="Q88" i="1"/>
  <c r="Q58" i="1"/>
  <c r="Q110" i="1"/>
  <c r="Q102" i="1"/>
  <c r="Q100" i="1"/>
  <c r="Q32" i="1"/>
  <c r="Q99" i="1"/>
  <c r="Q34" i="1"/>
  <c r="Q93" i="1"/>
  <c r="Q74" i="1"/>
  <c r="Q113" i="1"/>
  <c r="Q107" i="1"/>
  <c r="Q111" i="1"/>
  <c r="Q33" i="1"/>
  <c r="Q39" i="1"/>
  <c r="Q49" i="1"/>
  <c r="Q50" i="1"/>
  <c r="Q38" i="1"/>
  <c r="Q98" i="1"/>
  <c r="Q27" i="1"/>
  <c r="Q89" i="1"/>
  <c r="Q21" i="1"/>
  <c r="Q23" i="1"/>
  <c r="Q119" i="1"/>
  <c r="Q28" i="1"/>
  <c r="Q86" i="1"/>
  <c r="Q78" i="1"/>
  <c r="Q48" i="1"/>
  <c r="Q109" i="1"/>
  <c r="Q75" i="1"/>
  <c r="Q84" i="1"/>
  <c r="Q117" i="1"/>
  <c r="Q57" i="1"/>
  <c r="Q59" i="1"/>
  <c r="Q97" i="1"/>
  <c r="Q108" i="1"/>
  <c r="R108" i="1" s="1"/>
  <c r="Q36" i="1"/>
  <c r="Q61" i="1"/>
  <c r="Q46" i="1"/>
  <c r="Q69" i="1"/>
  <c r="Q118" i="1"/>
  <c r="Q43" i="1"/>
  <c r="Q37" i="1"/>
  <c r="Q63" i="1"/>
  <c r="Q123" i="1"/>
  <c r="Q66" i="1"/>
  <c r="Q124" i="1"/>
  <c r="Q106" i="1"/>
  <c r="Q29" i="1"/>
  <c r="Q44" i="1"/>
  <c r="Q81" i="1"/>
  <c r="Q92" i="1"/>
  <c r="Q67" i="1"/>
  <c r="Q114" i="1"/>
  <c r="Q103" i="1"/>
  <c r="Q83" i="1"/>
  <c r="Q41" i="1"/>
  <c r="Q91" i="1"/>
  <c r="Q22" i="1"/>
  <c r="Q94" i="1"/>
  <c r="Q72" i="1"/>
  <c r="Q120" i="1"/>
  <c r="Q116" i="1"/>
  <c r="Q47" i="1"/>
  <c r="Q73" i="1"/>
  <c r="Q90" i="1"/>
  <c r="Q52" i="1"/>
  <c r="Q65" i="1"/>
  <c r="Q79" i="1"/>
  <c r="Q51" i="1"/>
  <c r="Q122" i="1"/>
  <c r="Q42" i="1"/>
  <c r="Q26" i="1"/>
  <c r="Q112" i="1"/>
  <c r="Q53" i="1"/>
  <c r="Q56" i="1"/>
  <c r="Q24" i="1"/>
  <c r="Q62" i="1"/>
  <c r="Q101" i="1"/>
  <c r="Q64" i="1"/>
  <c r="Q77" i="1"/>
  <c r="Q25" i="1"/>
  <c r="Q40" i="1"/>
  <c r="Q54" i="1"/>
  <c r="Q104" i="1"/>
  <c r="Q35" i="1"/>
  <c r="Q60" i="1"/>
  <c r="Q105" i="1"/>
  <c r="Q76" i="1"/>
  <c r="Q45" i="1"/>
  <c r="Q85" i="1"/>
  <c r="Q82" i="1"/>
  <c r="P20" i="1"/>
  <c r="S20" i="1" s="1"/>
  <c r="AQ41" i="1"/>
  <c r="AQ42" i="1" s="1"/>
  <c r="AP42" i="1"/>
  <c r="AP44" i="1" s="1"/>
  <c r="AP45" i="1" s="1"/>
  <c r="AP21" i="1"/>
  <c r="AQ21" i="1" s="1"/>
  <c r="AR21" i="1" s="1"/>
  <c r="AS21" i="1" s="1"/>
  <c r="AT21" i="1" s="1"/>
  <c r="AU21" i="1" s="1"/>
  <c r="AV21" i="1" s="1"/>
  <c r="AW21" i="1" s="1"/>
  <c r="AX21" i="1" s="1"/>
  <c r="AY21" i="1" s="1"/>
  <c r="P58" i="1"/>
  <c r="S58" i="1" s="1"/>
  <c r="P99" i="1"/>
  <c r="S99" i="1" s="1"/>
  <c r="P114" i="1"/>
  <c r="S114" i="1" s="1"/>
  <c r="P41" i="1"/>
  <c r="S41" i="1" s="1"/>
  <c r="P31" i="1"/>
  <c r="S31" i="1" s="1"/>
  <c r="P105" i="1"/>
  <c r="S105" i="1" s="1"/>
  <c r="P98" i="1"/>
  <c r="S98" i="1" s="1"/>
  <c r="P53" i="1"/>
  <c r="S53" i="1" s="1"/>
  <c r="P89" i="1"/>
  <c r="S89" i="1" s="1"/>
  <c r="P32" i="1"/>
  <c r="S32" i="1" s="1"/>
  <c r="P68" i="1"/>
  <c r="S68" i="1" s="1"/>
  <c r="P47" i="1"/>
  <c r="S47" i="1" s="1"/>
  <c r="P124" i="1"/>
  <c r="S124" i="1" s="1"/>
  <c r="P42" i="1"/>
  <c r="S42" i="1" s="1"/>
  <c r="P62" i="1"/>
  <c r="S62" i="1" s="1"/>
  <c r="P21" i="1"/>
  <c r="S21" i="1" s="1"/>
  <c r="P121" i="1"/>
  <c r="S121" i="1" s="1"/>
  <c r="P85" i="1"/>
  <c r="S85" i="1" s="1"/>
  <c r="P51" i="1"/>
  <c r="S51" i="1" s="1"/>
  <c r="P101" i="1"/>
  <c r="S101" i="1" s="1"/>
  <c r="P66" i="1"/>
  <c r="S66" i="1" s="1"/>
  <c r="P117" i="1"/>
  <c r="S117" i="1" s="1"/>
  <c r="P88" i="1"/>
  <c r="S88" i="1" s="1"/>
  <c r="P104" i="1"/>
  <c r="P94" i="1"/>
  <c r="S94" i="1" s="1"/>
  <c r="P102" i="1"/>
  <c r="S102" i="1" s="1"/>
  <c r="P59" i="1"/>
  <c r="S59" i="1" s="1"/>
  <c r="P70" i="1"/>
  <c r="S70" i="1" s="1"/>
  <c r="P29" i="1"/>
  <c r="S29" i="1" s="1"/>
  <c r="P103" i="1"/>
  <c r="S103" i="1" s="1"/>
  <c r="P65" i="1"/>
  <c r="S65" i="1" s="1"/>
  <c r="P74" i="1"/>
  <c r="S74" i="1" s="1"/>
  <c r="P115" i="1"/>
  <c r="S115" i="1" s="1"/>
  <c r="P96" i="1"/>
  <c r="S96" i="1" s="1"/>
  <c r="P25" i="1"/>
  <c r="S25" i="1" s="1"/>
  <c r="P119" i="1"/>
  <c r="S119" i="1" s="1"/>
  <c r="P107" i="1"/>
  <c r="S107" i="1" s="1"/>
  <c r="P73" i="1"/>
  <c r="S73" i="1" s="1"/>
  <c r="P80" i="1"/>
  <c r="S80" i="1" s="1"/>
  <c r="P111" i="1"/>
  <c r="S111" i="1" s="1"/>
  <c r="P76" i="1"/>
  <c r="S76" i="1" s="1"/>
  <c r="P26" i="1"/>
  <c r="S26" i="1" s="1"/>
  <c r="P90" i="1"/>
  <c r="S90" i="1" s="1"/>
  <c r="P113" i="1"/>
  <c r="S113" i="1" s="1"/>
  <c r="P78" i="1"/>
  <c r="S78" i="1" s="1"/>
  <c r="P23" i="1"/>
  <c r="S23" i="1" s="1"/>
  <c r="P109" i="1"/>
  <c r="S109" i="1" s="1"/>
  <c r="P67" i="1"/>
  <c r="S67" i="1" s="1"/>
  <c r="P61" i="1"/>
  <c r="S61" i="1" s="1"/>
  <c r="P40" i="1"/>
  <c r="S40" i="1" s="1"/>
  <c r="P43" i="1"/>
  <c r="S43" i="1" s="1"/>
  <c r="P93" i="1"/>
  <c r="S93" i="1" s="1"/>
  <c r="P100" i="1"/>
  <c r="S100" i="1" s="1"/>
  <c r="P35" i="1"/>
  <c r="S35" i="1" s="1"/>
  <c r="P57" i="1"/>
  <c r="S57" i="1" s="1"/>
  <c r="P112" i="1"/>
  <c r="S112" i="1" s="1"/>
  <c r="P33" i="1"/>
  <c r="P86" i="1"/>
  <c r="S86" i="1" s="1"/>
  <c r="P63" i="1"/>
  <c r="R63" i="1" s="1"/>
  <c r="P122" i="1"/>
  <c r="S122" i="1" s="1"/>
  <c r="P81" i="1"/>
  <c r="R81" i="1" s="1"/>
  <c r="P50" i="1"/>
  <c r="S50" i="1" s="1"/>
  <c r="P75" i="1"/>
  <c r="S75" i="1" s="1"/>
  <c r="P77" i="1"/>
  <c r="S77" i="1" s="1"/>
  <c r="P46" i="1"/>
  <c r="S46" i="1" s="1"/>
  <c r="P106" i="1"/>
  <c r="S106" i="1" s="1"/>
  <c r="P87" i="1"/>
  <c r="S87" i="1" s="1"/>
  <c r="P28" i="1"/>
  <c r="S28" i="1" s="1"/>
  <c r="P22" i="1"/>
  <c r="P49" i="1"/>
  <c r="S49" i="1" s="1"/>
  <c r="P34" i="1"/>
  <c r="S34" i="1" s="1"/>
  <c r="P84" i="1"/>
  <c r="S84" i="1" s="1"/>
  <c r="P91" i="1"/>
  <c r="S91" i="1" s="1"/>
  <c r="P44" i="1"/>
  <c r="S44" i="1" s="1"/>
  <c r="P71" i="1"/>
  <c r="S71" i="1" s="1"/>
  <c r="P79" i="1"/>
  <c r="S79" i="1" s="1"/>
  <c r="P64" i="1"/>
  <c r="S64" i="1" s="1"/>
  <c r="P92" i="1"/>
  <c r="S92" i="1" s="1"/>
  <c r="P37" i="1"/>
  <c r="S37" i="1" s="1"/>
  <c r="P97" i="1"/>
  <c r="S97" i="1" s="1"/>
  <c r="P56" i="1"/>
  <c r="R56" i="1" s="1"/>
  <c r="P39" i="1"/>
  <c r="S39" i="1" s="1"/>
  <c r="P48" i="1"/>
  <c r="R48" i="1" s="1"/>
  <c r="P38" i="1"/>
  <c r="S38" i="1" s="1"/>
  <c r="P24" i="1"/>
  <c r="S24" i="1" s="1"/>
  <c r="P30" i="1"/>
  <c r="S30" i="1" s="1"/>
  <c r="P110" i="1"/>
  <c r="S110" i="1" s="1"/>
  <c r="P120" i="1"/>
  <c r="S120" i="1" s="1"/>
  <c r="P123" i="1"/>
  <c r="S123" i="1" s="1"/>
  <c r="P55" i="1"/>
  <c r="S55" i="1" s="1"/>
  <c r="P83" i="1"/>
  <c r="S83" i="1" s="1"/>
  <c r="P82" i="1"/>
  <c r="S82" i="1" s="1"/>
  <c r="P36" i="1"/>
  <c r="S36" i="1" s="1"/>
  <c r="P52" i="1"/>
  <c r="S52" i="1" s="1"/>
  <c r="P54" i="1"/>
  <c r="P116" i="1"/>
  <c r="S116" i="1" s="1"/>
  <c r="P95" i="1"/>
  <c r="S95" i="1" s="1"/>
  <c r="P69" i="1"/>
  <c r="S69" i="1" s="1"/>
  <c r="P45" i="1"/>
  <c r="S45" i="1" s="1"/>
  <c r="P118" i="1"/>
  <c r="S118" i="1" s="1"/>
  <c r="P72" i="1"/>
  <c r="S72" i="1" s="1"/>
  <c r="P27" i="1"/>
  <c r="S27" i="1" s="1"/>
  <c r="P60" i="1"/>
  <c r="S60" i="1" s="1"/>
  <c r="AK126" i="1"/>
  <c r="AG136" i="1" s="1"/>
  <c r="AF124" i="1"/>
  <c r="AK123" i="1"/>
  <c r="AK125" i="1"/>
  <c r="AF126" i="1"/>
  <c r="AN137" i="1" s="1"/>
  <c r="AK124" i="1"/>
  <c r="AF123" i="1"/>
  <c r="S108" i="1"/>
  <c r="AQ19" i="1"/>
  <c r="AP20" i="1"/>
  <c r="AP22" i="1" s="1"/>
  <c r="AP23" i="1" s="1"/>
  <c r="R21" i="1" l="1"/>
  <c r="S81" i="1"/>
  <c r="R54" i="1"/>
  <c r="R94" i="1"/>
  <c r="R99" i="1"/>
  <c r="R58" i="1"/>
  <c r="R33" i="1"/>
  <c r="R107" i="1"/>
  <c r="R102" i="1"/>
  <c r="R42" i="1"/>
  <c r="R73" i="1"/>
  <c r="R124" i="1"/>
  <c r="R70" i="1"/>
  <c r="R75" i="1"/>
  <c r="R71" i="1"/>
  <c r="R80" i="1"/>
  <c r="R104" i="1"/>
  <c r="R47" i="1"/>
  <c r="R119" i="1"/>
  <c r="S104" i="1"/>
  <c r="R31" i="1"/>
  <c r="R28" i="1"/>
  <c r="R20" i="1"/>
  <c r="R113" i="1"/>
  <c r="R115" i="1"/>
  <c r="R34" i="1"/>
  <c r="R123" i="1"/>
  <c r="R95" i="1"/>
  <c r="S56" i="1"/>
  <c r="AR41" i="1"/>
  <c r="AS41" i="1" s="1"/>
  <c r="S63" i="1"/>
  <c r="S48" i="1"/>
  <c r="R22" i="1"/>
  <c r="R101" i="1"/>
  <c r="R118" i="1"/>
  <c r="R117" i="1"/>
  <c r="S54" i="1"/>
  <c r="R79" i="1"/>
  <c r="S22" i="1"/>
  <c r="R96" i="1"/>
  <c r="AP43" i="1"/>
  <c r="R32" i="1"/>
  <c r="S33" i="1"/>
  <c r="R78" i="1"/>
  <c r="R114" i="1"/>
  <c r="R24" i="1"/>
  <c r="R76" i="1"/>
  <c r="R85" i="1"/>
  <c r="R64" i="1"/>
  <c r="R105" i="1"/>
  <c r="R55" i="1"/>
  <c r="R45" i="1"/>
  <c r="R51" i="1"/>
  <c r="R53" i="1"/>
  <c r="R120" i="1"/>
  <c r="R93" i="1"/>
  <c r="R65" i="1"/>
  <c r="R41" i="1"/>
  <c r="R98" i="1"/>
  <c r="R60" i="1"/>
  <c r="R90" i="1"/>
  <c r="R43" i="1"/>
  <c r="AQ44" i="1"/>
  <c r="AQ45" i="1" s="1"/>
  <c r="R46" i="1"/>
  <c r="R66" i="1"/>
  <c r="R38" i="1"/>
  <c r="R97" i="1"/>
  <c r="R112" i="1"/>
  <c r="R89" i="1"/>
  <c r="R86" i="1"/>
  <c r="R23" i="1"/>
  <c r="R88" i="1"/>
  <c r="R68" i="1"/>
  <c r="R27" i="1"/>
  <c r="R49" i="1"/>
  <c r="R39" i="1"/>
  <c r="R36" i="1"/>
  <c r="R25" i="1"/>
  <c r="R103" i="1"/>
  <c r="R52" i="1"/>
  <c r="R82" i="1"/>
  <c r="R74" i="1"/>
  <c r="R59" i="1"/>
  <c r="R100" i="1"/>
  <c r="R121" i="1"/>
  <c r="R111" i="1"/>
  <c r="R69" i="1"/>
  <c r="R30" i="1"/>
  <c r="R29" i="1"/>
  <c r="R122" i="1"/>
  <c r="R84" i="1"/>
  <c r="R116" i="1"/>
  <c r="R91" i="1"/>
  <c r="R110" i="1"/>
  <c r="R44" i="1"/>
  <c r="R40" i="1"/>
  <c r="R50" i="1"/>
  <c r="R72" i="1"/>
  <c r="R109" i="1"/>
  <c r="R62" i="1"/>
  <c r="R77" i="1"/>
  <c r="R67" i="1"/>
  <c r="R61" i="1"/>
  <c r="R83" i="1"/>
  <c r="R37" i="1"/>
  <c r="R106" i="1"/>
  <c r="R57" i="1"/>
  <c r="R87" i="1"/>
  <c r="R35" i="1"/>
  <c r="R92" i="1"/>
  <c r="R26" i="1"/>
  <c r="AA129" i="1"/>
  <c r="AK127" i="1"/>
  <c r="AK129" i="1" s="1"/>
  <c r="AF127" i="1"/>
  <c r="AM139" i="1"/>
  <c r="AZ131" i="1"/>
  <c r="AW141" i="1"/>
  <c r="AX131" i="1"/>
  <c r="AX139" i="1"/>
  <c r="AE136" i="1"/>
  <c r="AE139" i="1" s="1"/>
  <c r="AC136" i="1"/>
  <c r="AC137" i="1" s="1"/>
  <c r="AQ43" i="1"/>
  <c r="AR19" i="1"/>
  <c r="AQ20" i="1"/>
  <c r="AQ22" i="1" s="1"/>
  <c r="AQ23" i="1" s="1"/>
  <c r="AC139" i="1" l="1"/>
  <c r="AR42" i="1"/>
  <c r="AR44" i="1" s="1"/>
  <c r="AR45" i="1" s="1"/>
  <c r="AA95" i="1"/>
  <c r="AC95" i="1" s="1"/>
  <c r="V20" i="1" s="1"/>
  <c r="AK135" i="1"/>
  <c r="AY139" i="1"/>
  <c r="AE137" i="1"/>
  <c r="AR20" i="1"/>
  <c r="AR22" i="1" s="1"/>
  <c r="AR23" i="1" s="1"/>
  <c r="AS19" i="1"/>
  <c r="AR43" i="1"/>
  <c r="AS42" i="1"/>
  <c r="AT41" i="1"/>
  <c r="T20" i="1" l="1"/>
  <c r="W20" i="1"/>
  <c r="V64" i="1"/>
  <c r="V72" i="1"/>
  <c r="W72" i="1" s="1"/>
  <c r="V106" i="1"/>
  <c r="W106" i="1" s="1"/>
  <c r="V48" i="1"/>
  <c r="W48" i="1" s="1"/>
  <c r="V84" i="1"/>
  <c r="V115" i="1"/>
  <c r="V98" i="1"/>
  <c r="W98" i="1" s="1"/>
  <c r="V29" i="1"/>
  <c r="V120" i="1"/>
  <c r="W120" i="1" s="1"/>
  <c r="V78" i="1"/>
  <c r="V55" i="1"/>
  <c r="W55" i="1" s="1"/>
  <c r="V85" i="1"/>
  <c r="V95" i="1"/>
  <c r="W95" i="1" s="1"/>
  <c r="V76" i="1"/>
  <c r="V86" i="1"/>
  <c r="V122" i="1"/>
  <c r="W122" i="1" s="1"/>
  <c r="V24" i="1"/>
  <c r="V90" i="1"/>
  <c r="V82" i="1"/>
  <c r="V107" i="1"/>
  <c r="W107" i="1" s="1"/>
  <c r="V51" i="1"/>
  <c r="V60" i="1"/>
  <c r="V63" i="1"/>
  <c r="W63" i="1" s="1"/>
  <c r="V108" i="1"/>
  <c r="W108" i="1" s="1"/>
  <c r="V37" i="1"/>
  <c r="W37" i="1" s="1"/>
  <c r="V124" i="1"/>
  <c r="V114" i="1"/>
  <c r="V96" i="1"/>
  <c r="V75" i="1"/>
  <c r="V101" i="1"/>
  <c r="V88" i="1"/>
  <c r="V47" i="1"/>
  <c r="V103" i="1"/>
  <c r="W103" i="1" s="1"/>
  <c r="V26" i="1"/>
  <c r="V87" i="1"/>
  <c r="W87" i="1" s="1"/>
  <c r="V31" i="1"/>
  <c r="W31" i="1" s="1"/>
  <c r="V102" i="1"/>
  <c r="V116" i="1"/>
  <c r="W116" i="1" s="1"/>
  <c r="V111" i="1"/>
  <c r="V67" i="1"/>
  <c r="V93" i="1"/>
  <c r="W93" i="1" s="1"/>
  <c r="V123" i="1"/>
  <c r="V104" i="1"/>
  <c r="V46" i="1"/>
  <c r="V53" i="1"/>
  <c r="W53" i="1" s="1"/>
  <c r="V36" i="1"/>
  <c r="W36" i="1" s="1"/>
  <c r="V83" i="1"/>
  <c r="V43" i="1"/>
  <c r="W43" i="1" s="1"/>
  <c r="V97" i="1"/>
  <c r="W97" i="1" s="1"/>
  <c r="V91" i="1"/>
  <c r="W91" i="1" s="1"/>
  <c r="V80" i="1"/>
  <c r="V69" i="1"/>
  <c r="W69" i="1" s="1"/>
  <c r="V79" i="1"/>
  <c r="V121" i="1"/>
  <c r="V44" i="1"/>
  <c r="W44" i="1" s="1"/>
  <c r="V21" i="1"/>
  <c r="W21" i="1" s="1"/>
  <c r="V117" i="1"/>
  <c r="V56" i="1"/>
  <c r="W56" i="1" s="1"/>
  <c r="V50" i="1"/>
  <c r="W50" i="1" s="1"/>
  <c r="V57" i="1"/>
  <c r="W57" i="1" s="1"/>
  <c r="V39" i="1"/>
  <c r="V34" i="1"/>
  <c r="V25" i="1"/>
  <c r="W25" i="1" s="1"/>
  <c r="V100" i="1"/>
  <c r="V92" i="1"/>
  <c r="W92" i="1" s="1"/>
  <c r="V61" i="1"/>
  <c r="V112" i="1"/>
  <c r="W112" i="1" s="1"/>
  <c r="V89" i="1"/>
  <c r="V32" i="1"/>
  <c r="V49" i="1"/>
  <c r="W49" i="1" s="1"/>
  <c r="V45" i="1"/>
  <c r="V73" i="1"/>
  <c r="W73" i="1" s="1"/>
  <c r="V99" i="1"/>
  <c r="W99" i="1" s="1"/>
  <c r="V105" i="1"/>
  <c r="V109" i="1"/>
  <c r="W109" i="1" s="1"/>
  <c r="V38" i="1"/>
  <c r="AB99" i="1"/>
  <c r="V70" i="1"/>
  <c r="W70" i="1" s="1"/>
  <c r="V62" i="1"/>
  <c r="W62" i="1" s="1"/>
  <c r="AB98" i="1"/>
  <c r="V68" i="1"/>
  <c r="V22" i="1"/>
  <c r="W22" i="1" s="1"/>
  <c r="V41" i="1"/>
  <c r="V118" i="1"/>
  <c r="W118" i="1" s="1"/>
  <c r="V74" i="1"/>
  <c r="W74" i="1" s="1"/>
  <c r="V113" i="1"/>
  <c r="V35" i="1"/>
  <c r="W35" i="1" s="1"/>
  <c r="V28" i="1"/>
  <c r="W28" i="1" s="1"/>
  <c r="V58" i="1"/>
  <c r="V23" i="1"/>
  <c r="W23" i="1" s="1"/>
  <c r="V110" i="1"/>
  <c r="V54" i="1"/>
  <c r="W54" i="1" s="1"/>
  <c r="V71" i="1"/>
  <c r="W71" i="1" s="1"/>
  <c r="V40" i="1"/>
  <c r="W40" i="1" s="1"/>
  <c r="V65" i="1"/>
  <c r="V33" i="1"/>
  <c r="W33" i="1" s="1"/>
  <c r="V77" i="1"/>
  <c r="V42" i="1"/>
  <c r="V81" i="1"/>
  <c r="V94" i="1"/>
  <c r="V30" i="1"/>
  <c r="V59" i="1"/>
  <c r="W59" i="1" s="1"/>
  <c r="V27" i="1"/>
  <c r="V66" i="1"/>
  <c r="W66" i="1" s="1"/>
  <c r="V119" i="1"/>
  <c r="W119" i="1" s="1"/>
  <c r="V52" i="1"/>
  <c r="AS44" i="1"/>
  <c r="AS45" i="1" s="1"/>
  <c r="AS43" i="1"/>
  <c r="AT42" i="1"/>
  <c r="AU41" i="1"/>
  <c r="AS20" i="1"/>
  <c r="AS22" i="1" s="1"/>
  <c r="AS23" i="1" s="1"/>
  <c r="AT19" i="1"/>
  <c r="T26" i="1" l="1"/>
  <c r="W26" i="1"/>
  <c r="T60" i="1"/>
  <c r="W60" i="1"/>
  <c r="T78" i="1"/>
  <c r="W78" i="1"/>
  <c r="T68" i="1"/>
  <c r="W68" i="1"/>
  <c r="T32" i="1"/>
  <c r="W32" i="1"/>
  <c r="T117" i="1"/>
  <c r="W117" i="1"/>
  <c r="T51" i="1"/>
  <c r="W51" i="1"/>
  <c r="T89" i="1"/>
  <c r="W89" i="1"/>
  <c r="T46" i="1"/>
  <c r="W46" i="1"/>
  <c r="T47" i="1"/>
  <c r="W47" i="1"/>
  <c r="T29" i="1"/>
  <c r="W29" i="1"/>
  <c r="T52" i="1"/>
  <c r="W52" i="1"/>
  <c r="T27" i="1"/>
  <c r="W27" i="1"/>
  <c r="T24" i="1"/>
  <c r="W24" i="1"/>
  <c r="T84" i="1"/>
  <c r="W84" i="1"/>
  <c r="T115" i="1"/>
  <c r="W115" i="1"/>
  <c r="T94" i="1"/>
  <c r="W94" i="1"/>
  <c r="T96" i="1"/>
  <c r="W96" i="1"/>
  <c r="T61" i="1"/>
  <c r="W61" i="1"/>
  <c r="T101" i="1"/>
  <c r="W101" i="1"/>
  <c r="T30" i="1"/>
  <c r="W30" i="1"/>
  <c r="T79" i="1"/>
  <c r="W79" i="1"/>
  <c r="T75" i="1"/>
  <c r="W75" i="1"/>
  <c r="T100" i="1"/>
  <c r="W100" i="1"/>
  <c r="T67" i="1"/>
  <c r="W67" i="1"/>
  <c r="T81" i="1"/>
  <c r="W81" i="1"/>
  <c r="T80" i="1"/>
  <c r="W80" i="1"/>
  <c r="T111" i="1"/>
  <c r="W111" i="1"/>
  <c r="T114" i="1"/>
  <c r="W114" i="1"/>
  <c r="T86" i="1"/>
  <c r="W86" i="1"/>
  <c r="T104" i="1"/>
  <c r="W104" i="1"/>
  <c r="T123" i="1"/>
  <c r="W123" i="1"/>
  <c r="T42" i="1"/>
  <c r="W42" i="1"/>
  <c r="T124" i="1"/>
  <c r="W124" i="1"/>
  <c r="T110" i="1"/>
  <c r="W110" i="1"/>
  <c r="T58" i="1"/>
  <c r="W58" i="1"/>
  <c r="T88" i="1"/>
  <c r="W88" i="1"/>
  <c r="T82" i="1"/>
  <c r="W82" i="1"/>
  <c r="T121" i="1"/>
  <c r="W121" i="1"/>
  <c r="T90" i="1"/>
  <c r="W90" i="1"/>
  <c r="T38" i="1"/>
  <c r="W38" i="1"/>
  <c r="T113" i="1"/>
  <c r="W113" i="1"/>
  <c r="T105" i="1"/>
  <c r="W105" i="1"/>
  <c r="W34" i="1"/>
  <c r="T76" i="1"/>
  <c r="W76" i="1"/>
  <c r="T77" i="1"/>
  <c r="W77" i="1"/>
  <c r="T39" i="1"/>
  <c r="W39" i="1"/>
  <c r="T102" i="1"/>
  <c r="W102" i="1"/>
  <c r="T64" i="1"/>
  <c r="W64" i="1"/>
  <c r="T85" i="1"/>
  <c r="W85" i="1"/>
  <c r="T65" i="1"/>
  <c r="W65" i="1"/>
  <c r="T41" i="1"/>
  <c r="W41" i="1"/>
  <c r="T45" i="1"/>
  <c r="W45" i="1"/>
  <c r="T83" i="1"/>
  <c r="W83" i="1"/>
  <c r="T33" i="1"/>
  <c r="T118" i="1"/>
  <c r="T73" i="1"/>
  <c r="T57" i="1"/>
  <c r="T43" i="1"/>
  <c r="T31" i="1"/>
  <c r="T108" i="1"/>
  <c r="T50" i="1"/>
  <c r="T87" i="1"/>
  <c r="T63" i="1"/>
  <c r="T55" i="1"/>
  <c r="T49" i="1"/>
  <c r="T40" i="1"/>
  <c r="T56" i="1"/>
  <c r="T36" i="1"/>
  <c r="T119" i="1"/>
  <c r="T71" i="1"/>
  <c r="T53" i="1"/>
  <c r="T103" i="1"/>
  <c r="T120" i="1"/>
  <c r="T22" i="1"/>
  <c r="T44" i="1"/>
  <c r="T98" i="1"/>
  <c r="T54" i="1"/>
  <c r="T107" i="1"/>
  <c r="T112" i="1"/>
  <c r="T59" i="1"/>
  <c r="T70" i="1"/>
  <c r="T92" i="1"/>
  <c r="T93" i="1"/>
  <c r="T66" i="1"/>
  <c r="T28" i="1"/>
  <c r="T48" i="1"/>
  <c r="T21" i="1"/>
  <c r="T62" i="1"/>
  <c r="T23" i="1"/>
  <c r="T69" i="1"/>
  <c r="T122" i="1"/>
  <c r="T35" i="1"/>
  <c r="T109" i="1"/>
  <c r="T25" i="1"/>
  <c r="T106" i="1"/>
  <c r="T34" i="1"/>
  <c r="T91" i="1"/>
  <c r="T116" i="1"/>
  <c r="T72" i="1"/>
  <c r="T74" i="1"/>
  <c r="T99" i="1"/>
  <c r="T97" i="1"/>
  <c r="T37" i="1"/>
  <c r="T95" i="1"/>
  <c r="AT44" i="1"/>
  <c r="AT45" i="1" s="1"/>
  <c r="AT43" i="1"/>
  <c r="AT20" i="1"/>
  <c r="AT22" i="1" s="1"/>
  <c r="AT23" i="1" s="1"/>
  <c r="AU19" i="1"/>
  <c r="AV41" i="1"/>
  <c r="AU42" i="1"/>
  <c r="AW102" i="1" l="1"/>
  <c r="AW103" i="1"/>
  <c r="AM74" i="1"/>
  <c r="AM76" i="1"/>
  <c r="AM77" i="1"/>
  <c r="AS102" i="1"/>
  <c r="AS103" i="1"/>
  <c r="AM73" i="1"/>
  <c r="AP71" i="1" s="1"/>
  <c r="AS104" i="1"/>
  <c r="AZ139" i="1"/>
  <c r="BA139" i="1" s="1"/>
  <c r="AY141" i="1" s="1"/>
  <c r="AU44" i="1"/>
  <c r="AU45" i="1" s="1"/>
  <c r="AV42" i="1"/>
  <c r="AW41" i="1"/>
  <c r="AU43" i="1"/>
  <c r="AU20" i="1"/>
  <c r="AU22" i="1" s="1"/>
  <c r="AU23" i="1" s="1"/>
  <c r="AV19" i="1"/>
  <c r="AQ71" i="1" l="1"/>
  <c r="AQ72" i="1" s="1"/>
  <c r="AP72" i="1"/>
  <c r="AP74" i="1" s="1"/>
  <c r="AV44" i="1"/>
  <c r="AV45" i="1" s="1"/>
  <c r="AV43" i="1"/>
  <c r="AV20" i="1"/>
  <c r="AV22" i="1" s="1"/>
  <c r="AV23" i="1" s="1"/>
  <c r="AW19" i="1"/>
  <c r="AW42" i="1"/>
  <c r="AX41" i="1"/>
  <c r="AR71" i="1" l="1"/>
  <c r="AS71" i="1" s="1"/>
  <c r="AS72" i="1" s="1"/>
  <c r="AQ73" i="1"/>
  <c r="AP73" i="1"/>
  <c r="AQ74" i="1"/>
  <c r="AP76" i="1"/>
  <c r="AW44" i="1"/>
  <c r="AW45" i="1" s="1"/>
  <c r="AW43" i="1"/>
  <c r="AX42" i="1"/>
  <c r="AY41" i="1"/>
  <c r="AW20" i="1"/>
  <c r="AW22" i="1" s="1"/>
  <c r="AW23" i="1" s="1"/>
  <c r="AX19" i="1"/>
  <c r="AR72" i="1" l="1"/>
  <c r="AR73" i="1" s="1"/>
  <c r="AT71" i="1"/>
  <c r="AT72" i="1" s="1"/>
  <c r="AS73" i="1"/>
  <c r="AQ76" i="1"/>
  <c r="AX44" i="1"/>
  <c r="AX45" i="1" s="1"/>
  <c r="AX43" i="1"/>
  <c r="AX20" i="1"/>
  <c r="AX22" i="1" s="1"/>
  <c r="AX23" i="1" s="1"/>
  <c r="AY19" i="1"/>
  <c r="AY20" i="1" s="1"/>
  <c r="AY42" i="1"/>
  <c r="AR74" i="1" l="1"/>
  <c r="AS74" i="1" s="1"/>
  <c r="AR76" i="1"/>
  <c r="AS76" i="1" s="1"/>
  <c r="AT76" i="1" s="1"/>
  <c r="AU71" i="1"/>
  <c r="AU72" i="1" s="1"/>
  <c r="AT73" i="1"/>
  <c r="AY44" i="1"/>
  <c r="AY45" i="1" s="1"/>
  <c r="AZ45" i="1" s="1"/>
  <c r="AY43" i="1"/>
  <c r="AY22" i="1"/>
  <c r="AY23" i="1" s="1"/>
  <c r="AZ23" i="1" s="1"/>
  <c r="AV71" i="1" l="1"/>
  <c r="AV72" i="1" s="1"/>
  <c r="AU73" i="1"/>
  <c r="AT74" i="1"/>
  <c r="AU76" i="1"/>
  <c r="AU74" i="1" l="1"/>
  <c r="AV74" i="1" s="1"/>
  <c r="AW71" i="1"/>
  <c r="AW72" i="1" s="1"/>
  <c r="AV73" i="1"/>
  <c r="AV76" i="1"/>
  <c r="AX71" i="1" l="1"/>
  <c r="AX72" i="1" s="1"/>
  <c r="AW73" i="1"/>
  <c r="AW76" i="1"/>
  <c r="AW74" i="1"/>
  <c r="AY71" i="1" l="1"/>
  <c r="AX73" i="1"/>
  <c r="AX76" i="1"/>
  <c r="AX74" i="1"/>
  <c r="AY72" i="1" l="1"/>
  <c r="AY73" i="1" s="1"/>
  <c r="AY76" i="1" l="1"/>
  <c r="AV77" i="1" s="1"/>
  <c r="AV78" i="1" s="1"/>
  <c r="AY74" i="1"/>
  <c r="AZ74" i="1" s="1"/>
  <c r="AX77" i="1" l="1"/>
  <c r="AX78" i="1" s="1"/>
  <c r="AQ77" i="1"/>
  <c r="AQ78" i="1" s="1"/>
  <c r="AW77" i="1"/>
  <c r="AW78" i="1" s="1"/>
  <c r="AU77" i="1"/>
  <c r="AU78" i="1" s="1"/>
  <c r="AS77" i="1"/>
  <c r="AS78" i="1" s="1"/>
  <c r="AT77" i="1"/>
  <c r="AT78" i="1" s="1"/>
  <c r="AR77" i="1"/>
  <c r="AR78" i="1" s="1"/>
  <c r="AY77" i="1"/>
  <c r="AY78" i="1" s="1"/>
  <c r="AP77" i="1"/>
  <c r="AP78" i="1" s="1"/>
  <c r="AP75" i="1"/>
  <c r="AQ75" i="1"/>
  <c r="AR75" i="1"/>
  <c r="AS75" i="1"/>
  <c r="AT75" i="1"/>
  <c r="AV75" i="1"/>
  <c r="AU75" i="1"/>
  <c r="AW75" i="1"/>
  <c r="AX75" i="1"/>
  <c r="AY75" i="1"/>
  <c r="AZ75" i="1" l="1"/>
  <c r="AP80" i="1"/>
  <c r="AV80" i="1" s="1"/>
  <c r="AZ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(-1,1)
Not 1 or -1 or error.
</t>
        </r>
      </text>
    </comment>
  </commentList>
</comments>
</file>

<file path=xl/sharedStrings.xml><?xml version="1.0" encoding="utf-8"?>
<sst xmlns="http://schemas.openxmlformats.org/spreadsheetml/2006/main" count="174" uniqueCount="133">
  <si>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</si>
  <si>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</si>
  <si>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</si>
  <si>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</si>
  <si>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</si>
  <si>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</si>
  <si>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</si>
  <si>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</si>
  <si>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</si>
  <si>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rho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</si>
  <si>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</si>
  <si>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</si>
  <si>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</si>
  <si>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</si>
  <si>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</si>
  <si>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</si>
  <si>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</si>
  <si>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</si>
  <si>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</si>
  <si>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</si>
  <si>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</si>
  <si>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</si>
  <si>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</si>
  <si>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</si>
  <si>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</si>
  <si>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</si>
  <si>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</si>
  <si>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</si>
  <si>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</si>
  <si>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CR1[0,1]</t>
  </si>
  <si>
    <t>CR2[0,1]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</si>
  <si>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</si>
  <si>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</si>
  <si>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</si>
  <si>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xi-E{x}</t>
  </si>
  <si>
    <t>yi-E{y}</t>
  </si>
  <si>
    <t>Regression by Hand</t>
  </si>
  <si>
    <t>(xi-E{x})(yi-E{y})</t>
  </si>
  <si>
    <r>
      <t>(xi-E{x})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</si>
  <si>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b1 </t>
  </si>
  <si>
    <t>b0</t>
  </si>
  <si>
    <t>Residual</t>
  </si>
  <si>
    <t>Pred</t>
  </si>
  <si>
    <t>Model Line</t>
  </si>
  <si>
    <t>Linear Regression Calculations</t>
  </si>
  <si>
    <t xml:space="preserve">Regression Model </t>
  </si>
  <si>
    <t>tstat b1 = b1/se1</t>
  </si>
  <si>
    <t>tstat b0 = b0/se0</t>
  </si>
  <si>
    <t>tcritical</t>
  </si>
  <si>
    <t>confidence interval for slope</t>
  </si>
  <si>
    <t>+/-</t>
  </si>
  <si>
    <t>tstat</t>
  </si>
  <si>
    <t>probability</t>
  </si>
  <si>
    <r>
      <t>(yi-E{y})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</si>
  <si>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(yi-y*)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</si>
  <si>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prediction interval</t>
  </si>
  <si>
    <t>t stat</t>
  </si>
  <si>
    <t>sqrt(MSE)</t>
  </si>
  <si>
    <t>given porsity =</t>
  </si>
  <si>
    <t>P.I.</t>
  </si>
  <si>
    <t>Residual Histogram</t>
  </si>
  <si>
    <t>Freq</t>
  </si>
  <si>
    <t>Sum</t>
  </si>
  <si>
    <t>chi-sq</t>
  </si>
  <si>
    <t>(E-O)^2/E</t>
  </si>
  <si>
    <t>Norm</t>
  </si>
  <si>
    <t>Norm Freq</t>
  </si>
  <si>
    <t>PDF</t>
  </si>
  <si>
    <t xml:space="preserve">        chi-sq critical </t>
  </si>
  <si>
    <t>Test Significance of Coefficients</t>
  </si>
  <si>
    <t>Test Significance of Entire Model</t>
  </si>
  <si>
    <t xml:space="preserve">f-critical  </t>
  </si>
  <si>
    <t xml:space="preserve">f-statistic   </t>
  </si>
  <si>
    <t>Confidence Intervals for Coefficients</t>
  </si>
  <si>
    <t>Prediction Interval</t>
  </si>
  <si>
    <r>
      <t xml:space="preserve">About: </t>
    </r>
    <r>
      <rPr>
        <sz val="12"/>
        <color theme="1"/>
        <rFont val="Calibri"/>
        <family val="2"/>
        <scheme val="minor"/>
      </rPr>
      <t>This demonstration includes (1) a convolution, bivariate, Gaussian method for building 1D, spatially and bivariate correlated dataset  and (2) linear regression.</t>
    </r>
  </si>
  <si>
    <r>
      <t xml:space="preserve">Dtataset: </t>
    </r>
    <r>
      <rPr>
        <sz val="12"/>
        <color theme="1"/>
        <rFont val="Calibri"/>
        <family val="2"/>
        <scheme val="minor"/>
      </rPr>
      <t>The data set is based on spatially correlated random values with a moving window average (convolution with a equal weighted window), that are then applied as random values to draw from a bivariate Gaussian distribution (like P-field simulation).</t>
    </r>
  </si>
  <si>
    <r>
      <t xml:space="preserve">Linear Regression: </t>
    </r>
    <r>
      <rPr>
        <sz val="12"/>
        <color theme="1"/>
        <rFont val="Calibri"/>
        <family val="2"/>
        <scheme val="minor"/>
      </rPr>
      <t xml:space="preserve"> Is applied by hand and compared with the Excel LINEST function.  The output is then explained and relevant hypothesis tests are performed to determine the statistical significance of the result. 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</si>
  <si>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</t>
    </r>
    <r>
      <rPr>
        <b/>
        <sz val="12"/>
        <color theme="1"/>
        <rFont val="Calibri"/>
        <family val="2"/>
        <scheme val="minor"/>
      </rPr>
      <t xml:space="preserve">1. </t>
    </r>
    <r>
      <rPr>
        <sz val="12"/>
        <color theme="1"/>
        <rFont val="Calibri"/>
        <family val="2"/>
        <scheme val="minor"/>
      </rPr>
      <t xml:space="preserve">1D vectors of random values, R1 and R2, are </t>
    </r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spatially correlated with convolution, CR1 and CR2, </t>
    </r>
    <r>
      <rPr>
        <b/>
        <sz val="12"/>
        <color theme="1"/>
        <rFont val="Calibri"/>
        <family val="2"/>
        <scheme val="minor"/>
      </rPr>
      <t xml:space="preserve">3. </t>
    </r>
    <r>
      <rPr>
        <sz val="12"/>
        <color theme="1"/>
        <rFont val="Calibri"/>
        <family val="2"/>
        <scheme val="minor"/>
      </rPr>
      <t xml:space="preserve">corrected to  range [0,1], CR1U and CR2U, applied as p-values to </t>
    </r>
  </si>
  <si>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standard bivariate Gaussian (with user specified correlation coefficient, rho), X1 and X2, </t>
    </r>
    <r>
      <rPr>
        <b/>
        <sz val="12"/>
        <color theme="1"/>
        <rFont val="Calibri"/>
        <family val="2"/>
        <scheme val="minor"/>
      </rPr>
      <t>5.</t>
    </r>
    <r>
      <rPr>
        <sz val="12"/>
        <color theme="1"/>
        <rFont val="Calibri"/>
        <family val="2"/>
        <scheme val="minor"/>
      </rPr>
      <t xml:space="preserve"> transformed to user specified mean and standard  deviation, X1' and X2'.  </t>
    </r>
    <r>
      <rPr>
        <b/>
        <sz val="12"/>
        <color theme="1"/>
        <rFont val="Calibri"/>
        <family val="2"/>
        <scheme val="minor"/>
      </rPr>
      <t>6.</t>
    </r>
    <r>
      <rPr>
        <sz val="12"/>
        <color theme="1"/>
        <rFont val="Calibri"/>
        <family val="2"/>
        <scheme val="minor"/>
      </rPr>
      <t xml:space="preserve"> X2 is applied directly as porosity and</t>
    </r>
  </si>
  <si>
    <r>
      <rPr>
        <b/>
        <sz val="12"/>
        <color theme="1"/>
        <rFont val="Calibri"/>
        <family val="2"/>
        <scheme val="minor"/>
      </rPr>
      <t xml:space="preserve">7. </t>
    </r>
    <r>
      <rPr>
        <sz val="12"/>
        <color theme="1"/>
        <rFont val="Calibri"/>
        <family val="2"/>
        <scheme val="minor"/>
      </rPr>
      <t xml:space="preserve">EXP{X1'} is applied as permeability for a lognormal distribution with mu sigma specified as the mean and standard deviation of X1' and </t>
    </r>
    <r>
      <rPr>
        <b/>
        <sz val="12"/>
        <color theme="1"/>
        <rFont val="Calibri"/>
        <family val="2"/>
        <scheme val="minor"/>
      </rPr>
      <t>8.</t>
    </r>
    <r>
      <rPr>
        <sz val="12"/>
        <color theme="1"/>
        <rFont val="Calibri"/>
        <family val="2"/>
        <scheme val="minor"/>
      </rPr>
      <t xml:space="preserve"> we then  take the LN(K) ofr modeling (better linear bivariate relationship).</t>
    </r>
  </si>
  <si>
    <r>
      <t xml:space="preserve">It is straightfroward to calculate bivariate linear regression given the slope, </t>
    </r>
    <r>
      <rPr>
        <b/>
        <sz val="11"/>
        <color theme="1"/>
        <rFont val="Calibri"/>
        <family val="2"/>
        <scheme val="minor"/>
      </rP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and intercept equations, </t>
    </r>
    <r>
      <rPr>
        <b/>
        <sz val="11"/>
        <color theme="1"/>
        <rFont val="Calibri"/>
        <family val="2"/>
        <scheme val="minor"/>
      </rPr>
      <t>b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</si>
  <si>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t>for Plot</t>
  </si>
  <si>
    <t xml:space="preserve">Lets first take a look at the scatter plot to access how reasonable it is to fit a linear model to predict Ln(permeability) </t>
  </si>
  <si>
    <t xml:space="preserve">from porosity.  The relationship is quite linear, we are in good shape.  Note, given the bivariate Gaussian method to </t>
  </si>
  <si>
    <t>build the dataset the correlation after Ln transform of permeaiblity is linear.</t>
  </si>
  <si>
    <t>We should also check the correlation coefficient.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</si>
  <si>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is equal to the square of the correlation coefficient.</t>
    </r>
  </si>
  <si>
    <t>This is useful since for bivariate linear regression</t>
  </si>
  <si>
    <t>later.</t>
  </si>
  <si>
    <r>
      <t>We should get a good prediction model.  More on r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</si>
  <si>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It is useful to look at the distribution of residuals from the regression.  Specifically you want to identify bias and outliers (data that have a high </t>
  </si>
  <si>
    <t>Summary Statistics of Residuals</t>
  </si>
  <si>
    <t>Average</t>
  </si>
  <si>
    <t>Variance</t>
  </si>
  <si>
    <t>St. Dev.</t>
  </si>
  <si>
    <t>Maximum</t>
  </si>
  <si>
    <t>Minimun</t>
  </si>
  <si>
    <t xml:space="preserve">error rate.  Systematic bias is indicated by a mean of the residuals that is not close to 0.0 and outliers inspection of the minimum, maximum </t>
  </si>
  <si>
    <t>and the entire PDF.</t>
  </si>
  <si>
    <t>From the Excel docs we can lable each of the available outputs.</t>
  </si>
  <si>
    <t xml:space="preserve">Now lets take the Excel LINEST function, evaluate the output and perform a variety of tests on the statistical significance  of our model. </t>
  </si>
  <si>
    <r>
      <t xml:space="preserve">b1: </t>
    </r>
    <r>
      <rPr>
        <sz val="11"/>
        <color theme="1"/>
        <rFont val="Calibri"/>
        <family val="2"/>
        <scheme val="minor"/>
      </rPr>
      <t>slope of fit</t>
    </r>
  </si>
  <si>
    <r>
      <t>se1:</t>
    </r>
    <r>
      <rPr>
        <sz val="11"/>
        <color theme="1"/>
        <rFont val="Calibri"/>
        <family val="2"/>
        <scheme val="minor"/>
      </rPr>
      <t xml:space="preserve"> standard error of slope</t>
    </r>
  </si>
  <si>
    <r>
      <t xml:space="preserve">r2: </t>
    </r>
    <r>
      <rPr>
        <sz val="11"/>
        <color theme="1"/>
        <rFont val="Calibri"/>
        <family val="2"/>
        <scheme val="minor"/>
      </rPr>
      <t>proportion var. explained</t>
    </r>
  </si>
  <si>
    <r>
      <t xml:space="preserve">Fstat: </t>
    </r>
    <r>
      <rPr>
        <sz val="11"/>
        <color theme="1"/>
        <rFont val="Calibri"/>
        <family val="2"/>
        <scheme val="minor"/>
      </rPr>
      <t>for test of all coefficients</t>
    </r>
  </si>
  <si>
    <r>
      <t xml:space="preserve">ssreg: </t>
    </r>
    <r>
      <rPr>
        <sz val="11"/>
        <color theme="1"/>
        <rFont val="Calibri"/>
        <family val="2"/>
        <scheme val="minor"/>
      </rPr>
      <t>explained variance</t>
    </r>
  </si>
  <si>
    <r>
      <t xml:space="preserve">d.f.: </t>
    </r>
    <r>
      <rPr>
        <sz val="11"/>
        <color theme="1"/>
        <rFont val="Calibri"/>
        <family val="2"/>
        <scheme val="minor"/>
      </rPr>
      <t>degrees of freedom</t>
    </r>
  </si>
  <si>
    <r>
      <t xml:space="preserve">sey: </t>
    </r>
    <r>
      <rPr>
        <sz val="11"/>
        <color theme="1"/>
        <rFont val="Calibri"/>
        <family val="2"/>
        <scheme val="minor"/>
      </rPr>
      <t>standard error for the estimate</t>
    </r>
  </si>
  <si>
    <r>
      <t xml:space="preserve">b0: </t>
    </r>
    <r>
      <rPr>
        <sz val="11"/>
        <color theme="1"/>
        <rFont val="Calibri"/>
        <family val="2"/>
        <scheme val="minor"/>
      </rPr>
      <t xml:space="preserve">intercept of fit    </t>
    </r>
  </si>
  <si>
    <r>
      <t xml:space="preserve">seb: </t>
    </r>
    <r>
      <rPr>
        <sz val="11"/>
        <color theme="1"/>
        <rFont val="Calibri"/>
        <family val="2"/>
        <scheme val="minor"/>
      </rPr>
      <t xml:space="preserve">standard error of the intercept  </t>
    </r>
  </si>
  <si>
    <r>
      <rPr>
        <b/>
        <sz val="11"/>
        <color theme="1"/>
        <rFont val="Calibri"/>
        <family val="2"/>
        <scheme val="minor"/>
      </rPr>
      <t>MSE:</t>
    </r>
    <r>
      <rPr>
        <sz val="11"/>
        <color theme="1"/>
        <rFont val="Calibri"/>
        <family val="2"/>
        <scheme val="minor"/>
      </rPr>
      <t xml:space="preserve"> mean squared error</t>
    </r>
  </si>
  <si>
    <t>Result from Hyposthesis tests for coefficients</t>
  </si>
  <si>
    <t>Result from hypothesis test of the entire model</t>
  </si>
  <si>
    <t>We can preform a hypothesis test on the model coefficients.  Our null hypothesis is that each coefficient is 0.0.</t>
  </si>
  <si>
    <r>
      <t>If we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then our model coefficients are significantly different from 0.0.</t>
    </r>
  </si>
  <si>
    <t>We can also perform a test on the entire model in aggregate.</t>
  </si>
  <si>
    <t>We can calculate confidence intervals for our linear model slope.</t>
  </si>
  <si>
    <t xml:space="preserve">We can also calculate confidence intervals for our prediction of permeability for any </t>
  </si>
  <si>
    <t>porosity value.  Set the porosity value in the yellow box and observe the result.</t>
  </si>
  <si>
    <t>A Synthetic, Random  Porosity and Permeability Dataset with Linear Regression Demonstration, Michael Pyrcz, University of Texas at Austin, @GeostatsGuy on Twitter</t>
  </si>
  <si>
    <t>Building the Dataset and Summary Statistics</t>
  </si>
  <si>
    <t>Excel Linear Regression, Statistical Analysis and Hypothesis Testing</t>
  </si>
  <si>
    <r>
      <t xml:space="preserve">ssresid: </t>
    </r>
    <r>
      <rPr>
        <sz val="11"/>
        <color theme="1"/>
        <rFont val="Calibri"/>
        <family val="2"/>
        <scheme val="minor"/>
      </rPr>
      <t>unexplained variance</t>
    </r>
  </si>
  <si>
    <t>6. Depth as Nonstandard Gaussian, X1'</t>
  </si>
  <si>
    <t>6. Porosity as Nonstandard Gaussian, X2'</t>
  </si>
  <si>
    <t>Porosity*</t>
  </si>
  <si>
    <t>Vsh</t>
  </si>
  <si>
    <t>Density</t>
  </si>
  <si>
    <t>Density Histogram</t>
  </si>
  <si>
    <t>MSM</t>
  </si>
  <si>
    <t>MSE</t>
  </si>
  <si>
    <t>f-stat by-hand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</si>
</sst>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66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3" fillId="6" borderId="0" xfId="0" applyFont="1" applyFill="1" applyBorder="1"/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5" fillId="6" borderId="0" xfId="0" applyFont="1" applyFill="1" applyBorder="1"/>
    <xf numFmtId="164" fontId="5" fillId="6" borderId="0" xfId="0" applyNumberFormat="1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1" fillId="6" borderId="25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left"/>
    </xf>
    <xf numFmtId="165" fontId="0" fillId="6" borderId="0" xfId="0" applyNumberFormat="1" applyFill="1" applyBorder="1" applyAlignment="1">
      <alignment horizontal="center"/>
    </xf>
    <xf numFmtId="164" fontId="1" fillId="6" borderId="0" xfId="0" applyNumberFormat="1" applyFont="1" applyFill="1" applyBorder="1" applyAlignment="1">
      <alignment horizontal="center"/>
    </xf>
    <xf numFmtId="0" fontId="1" fillId="5" borderId="27" xfId="0" applyFont="1" applyFill="1" applyBorder="1"/>
    <xf numFmtId="0" fontId="1" fillId="5" borderId="28" xfId="0" applyFont="1" applyFill="1" applyBorder="1"/>
    <xf numFmtId="0" fontId="0" fillId="6" borderId="5" xfId="0" applyFont="1" applyFill="1" applyBorder="1" applyAlignment="1">
      <alignment horizontal="center" vertical="top" wrapText="1"/>
    </xf>
    <xf numFmtId="0" fontId="0" fillId="6" borderId="6" xfId="0" applyFont="1" applyFill="1" applyBorder="1" applyAlignment="1">
      <alignment horizontal="center" vertical="top" wrapText="1"/>
    </xf>
    <xf numFmtId="0" fontId="0" fillId="6" borderId="7" xfId="0" applyFont="1" applyFill="1" applyBorder="1" applyAlignment="1">
      <alignment horizontal="center" vertical="top" wrapText="1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5" borderId="27" xfId="0" applyFill="1" applyBorder="1"/>
    <xf numFmtId="0" fontId="0" fillId="5" borderId="28" xfId="0" applyFill="1" applyBorder="1"/>
    <xf numFmtId="2" fontId="0" fillId="6" borderId="5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1" fontId="0" fillId="6" borderId="24" xfId="0" applyNumberFormat="1" applyFill="1" applyBorder="1" applyAlignment="1">
      <alignment horizontal="center"/>
    </xf>
    <xf numFmtId="0" fontId="9" fillId="0" borderId="0" xfId="0" applyFont="1" applyBorder="1"/>
    <xf numFmtId="0" fontId="10" fillId="6" borderId="0" xfId="0" applyFont="1" applyFill="1" applyBorder="1" applyAlignment="1">
      <alignment horizontal="right"/>
    </xf>
    <xf numFmtId="2" fontId="10" fillId="6" borderId="0" xfId="0" applyNumberFormat="1" applyFon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2" fontId="1" fillId="6" borderId="0" xfId="0" applyNumberFormat="1" applyFont="1" applyFill="1" applyBorder="1" applyAlignment="1">
      <alignment horizontal="center"/>
    </xf>
    <xf numFmtId="0" fontId="0" fillId="8" borderId="27" xfId="0" quotePrefix="1" applyFill="1" applyBorder="1" applyAlignment="1">
      <alignment horizontal="center"/>
    </xf>
    <xf numFmtId="2" fontId="0" fillId="5" borderId="13" xfId="0" applyNumberFormat="1" applyFill="1" applyBorder="1"/>
    <xf numFmtId="0" fontId="0" fillId="5" borderId="16" xfId="0" applyFill="1" applyBorder="1"/>
    <xf numFmtId="0" fontId="10" fillId="7" borderId="11" xfId="0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" fontId="0" fillId="5" borderId="14" xfId="0" applyNumberFormat="1" applyFill="1" applyBorder="1" applyAlignment="1">
      <alignment horizontal="center"/>
    </xf>
    <xf numFmtId="1" fontId="0" fillId="5" borderId="15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4" borderId="26" xfId="0" applyFill="1" applyBorder="1"/>
    <xf numFmtId="0" fontId="1" fillId="4" borderId="27" xfId="0" applyFont="1" applyFill="1" applyBorder="1"/>
    <xf numFmtId="0" fontId="0" fillId="4" borderId="27" xfId="0" applyFill="1" applyBorder="1"/>
    <xf numFmtId="0" fontId="0" fillId="4" borderId="28" xfId="0" applyFill="1" applyBorder="1"/>
    <xf numFmtId="164" fontId="1" fillId="6" borderId="0" xfId="0" applyNumberFormat="1" applyFont="1" applyFill="1" applyBorder="1" applyAlignment="1">
      <alignment horizontal="left"/>
    </xf>
    <xf numFmtId="2" fontId="0" fillId="4" borderId="4" xfId="0" applyNumberFormat="1" applyFill="1" applyBorder="1"/>
    <xf numFmtId="11" fontId="0" fillId="4" borderId="19" xfId="0" applyNumberFormat="1" applyFill="1" applyBorder="1"/>
    <xf numFmtId="2" fontId="0" fillId="9" borderId="1" xfId="0" applyNumberFormat="1" applyFill="1" applyBorder="1"/>
    <xf numFmtId="0" fontId="0" fillId="4" borderId="27" xfId="0" quotePrefix="1" applyFill="1" applyBorder="1"/>
    <xf numFmtId="0" fontId="4" fillId="6" borderId="0" xfId="0" applyFont="1" applyFill="1" applyBorder="1"/>
    <xf numFmtId="0" fontId="0" fillId="10" borderId="26" xfId="0" applyFill="1" applyBorder="1"/>
    <xf numFmtId="0" fontId="1" fillId="10" borderId="27" xfId="0" applyFont="1" applyFill="1" applyBorder="1" applyAlignment="1">
      <alignment horizontal="center" vertical="top" wrapText="1"/>
    </xf>
    <xf numFmtId="2" fontId="0" fillId="4" borderId="1" xfId="0" applyNumberFormat="1" applyFill="1" applyBorder="1" applyAlignment="1">
      <alignment horizontal="center"/>
    </xf>
    <xf numFmtId="0" fontId="0" fillId="6" borderId="0" xfId="0" applyFont="1" applyFill="1" applyBorder="1"/>
    <xf numFmtId="0" fontId="0" fillId="4" borderId="1" xfId="0" applyFill="1" applyBorder="1"/>
    <xf numFmtId="2" fontId="0" fillId="4" borderId="19" xfId="0" applyNumberFormat="1" applyFill="1" applyBorder="1"/>
    <xf numFmtId="165" fontId="0" fillId="4" borderId="4" xfId="0" applyNumberFormat="1" applyFill="1" applyBorder="1"/>
    <xf numFmtId="0" fontId="0" fillId="4" borderId="31" xfId="0" applyFill="1" applyBorder="1"/>
    <xf numFmtId="0" fontId="0" fillId="4" borderId="19" xfId="0" applyFill="1" applyBorder="1"/>
    <xf numFmtId="164" fontId="12" fillId="6" borderId="0" xfId="0" applyNumberFormat="1" applyFont="1" applyFill="1" applyBorder="1" applyAlignment="1">
      <alignment horizontal="left"/>
    </xf>
    <xf numFmtId="164" fontId="3" fillId="6" borderId="0" xfId="0" applyNumberFormat="1" applyFont="1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164" fontId="0" fillId="11" borderId="31" xfId="0" applyNumberFormat="1" applyFill="1" applyBorder="1" applyAlignment="1">
      <alignment horizontal="center"/>
    </xf>
    <xf numFmtId="164" fontId="0" fillId="11" borderId="19" xfId="0" applyNumberFormat="1" applyFill="1" applyBorder="1" applyAlignment="1">
      <alignment horizontal="center"/>
    </xf>
    <xf numFmtId="1" fontId="0" fillId="11" borderId="31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right"/>
    </xf>
    <xf numFmtId="164" fontId="1" fillId="6" borderId="0" xfId="0" applyNumberFormat="1" applyFont="1" applyFill="1" applyBorder="1" applyAlignment="1">
      <alignment horizontal="right"/>
    </xf>
    <xf numFmtId="165" fontId="0" fillId="9" borderId="1" xfId="0" applyNumberFormat="1" applyFill="1" applyBorder="1" applyAlignment="1">
      <alignment horizontal="center"/>
    </xf>
    <xf numFmtId="0" fontId="1" fillId="9" borderId="20" xfId="0" applyFont="1" applyFill="1" applyBorder="1"/>
    <xf numFmtId="0" fontId="0" fillId="9" borderId="21" xfId="0" applyFill="1" applyBorder="1"/>
    <xf numFmtId="0" fontId="1" fillId="9" borderId="21" xfId="0" applyFont="1" applyFill="1" applyBorder="1"/>
    <xf numFmtId="0" fontId="0" fillId="9" borderId="22" xfId="0" applyFill="1" applyBorder="1"/>
    <xf numFmtId="0" fontId="1" fillId="9" borderId="26" xfId="0" applyFont="1" applyFill="1" applyBorder="1"/>
    <xf numFmtId="0" fontId="0" fillId="9" borderId="27" xfId="0" applyFill="1" applyBorder="1"/>
    <xf numFmtId="0" fontId="0" fillId="9" borderId="28" xfId="0" applyFill="1" applyBorder="1"/>
    <xf numFmtId="9" fontId="0" fillId="6" borderId="0" xfId="1" applyFont="1" applyFill="1" applyBorder="1"/>
    <xf numFmtId="0" fontId="12" fillId="6" borderId="0" xfId="0" applyFont="1" applyFill="1" applyBorder="1"/>
    <xf numFmtId="0" fontId="17" fillId="6" borderId="0" xfId="0" applyFont="1" applyFill="1" applyBorder="1"/>
    <xf numFmtId="0" fontId="13" fillId="5" borderId="26" xfId="0" applyFont="1" applyFill="1" applyBorder="1"/>
    <xf numFmtId="0" fontId="13" fillId="10" borderId="26" xfId="0" applyFont="1" applyFill="1" applyBorder="1"/>
    <xf numFmtId="0" fontId="0" fillId="10" borderId="27" xfId="0" applyFill="1" applyBorder="1"/>
    <xf numFmtId="0" fontId="0" fillId="10" borderId="28" xfId="0" applyFill="1" applyBorder="1"/>
    <xf numFmtId="0" fontId="1" fillId="10" borderId="27" xfId="0" applyFont="1" applyFill="1" applyBorder="1"/>
    <xf numFmtId="0" fontId="1" fillId="10" borderId="28" xfId="0" applyFont="1" applyFill="1" applyBorder="1"/>
    <xf numFmtId="164" fontId="13" fillId="10" borderId="26" xfId="0" applyNumberFormat="1" applyFont="1" applyFill="1" applyBorder="1" applyAlignment="1">
      <alignment horizontal="left"/>
    </xf>
    <xf numFmtId="164" fontId="0" fillId="10" borderId="27" xfId="0" applyNumberFormat="1" applyFill="1" applyBorder="1" applyAlignment="1">
      <alignment horizontal="center"/>
    </xf>
    <xf numFmtId="164" fontId="18" fillId="10" borderId="27" xfId="0" applyNumberFormat="1" applyFont="1" applyFill="1" applyBorder="1" applyAlignment="1">
      <alignment horizontal="center"/>
    </xf>
    <xf numFmtId="0" fontId="18" fillId="10" borderId="27" xfId="0" applyFont="1" applyFill="1" applyBorder="1"/>
    <xf numFmtId="0" fontId="18" fillId="10" borderId="28" xfId="0" applyFont="1" applyFill="1" applyBorder="1"/>
    <xf numFmtId="164" fontId="19" fillId="10" borderId="26" xfId="0" applyNumberFormat="1" applyFont="1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 vertical="top" wrapText="1"/>
    </xf>
    <xf numFmtId="0" fontId="20" fillId="6" borderId="0" xfId="2" applyFill="1" applyBorder="1"/>
    <xf numFmtId="164" fontId="0" fillId="6" borderId="1" xfId="0" applyNumberFormat="1" applyFill="1" applyBorder="1" applyAlignment="1">
      <alignment horizontal="center"/>
    </xf>
    <xf numFmtId="164" fontId="21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8" borderId="26" xfId="0" applyNumberFormat="1" applyFill="1" applyBorder="1" applyAlignment="1">
      <alignment horizontal="center"/>
    </xf>
    <xf numFmtId="164" fontId="0" fillId="8" borderId="28" xfId="0" applyNumberForma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164" fontId="0" fillId="4" borderId="26" xfId="0" applyNumberFormat="1" applyFill="1" applyBorder="1"/>
    <xf numFmtId="164" fontId="0" fillId="11" borderId="4" xfId="0" applyNumberFormat="1" applyFill="1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1" fillId="10" borderId="27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righ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1.5979991903158497</c:v>
                </c:pt>
                <c:pt idx="1">
                  <c:v>1.285322364730755</c:v>
                </c:pt>
                <c:pt idx="2">
                  <c:v>1.6933890357357637</c:v>
                </c:pt>
                <c:pt idx="3">
                  <c:v>1.6414554282554685</c:v>
                </c:pt>
                <c:pt idx="4">
                  <c:v>1.9062983250662311</c:v>
                </c:pt>
                <c:pt idx="5">
                  <c:v>1.2763731797302491</c:v>
                </c:pt>
                <c:pt idx="6">
                  <c:v>1.295609105466097</c:v>
                </c:pt>
                <c:pt idx="7">
                  <c:v>1.8053758332333536</c:v>
                </c:pt>
                <c:pt idx="8">
                  <c:v>1.6807914569467883</c:v>
                </c:pt>
                <c:pt idx="9">
                  <c:v>1.9231434211088714</c:v>
                </c:pt>
                <c:pt idx="10">
                  <c:v>1.6825766652290133</c:v>
                </c:pt>
                <c:pt idx="11">
                  <c:v>1.2595008198725486</c:v>
                </c:pt>
                <c:pt idx="12">
                  <c:v>1.7921018024254465</c:v>
                </c:pt>
                <c:pt idx="13">
                  <c:v>2.0954736339433762</c:v>
                </c:pt>
                <c:pt idx="14">
                  <c:v>1.5816937459374756</c:v>
                </c:pt>
                <c:pt idx="15">
                  <c:v>1.9943237176977149</c:v>
                </c:pt>
                <c:pt idx="16">
                  <c:v>1.9727916035953605</c:v>
                </c:pt>
                <c:pt idx="17">
                  <c:v>1.3365477301766193</c:v>
                </c:pt>
                <c:pt idx="18">
                  <c:v>2.1327793539775621</c:v>
                </c:pt>
                <c:pt idx="19">
                  <c:v>1.3867508081791491</c:v>
                </c:pt>
                <c:pt idx="20">
                  <c:v>2.1157146912486371</c:v>
                </c:pt>
                <c:pt idx="21">
                  <c:v>1.6280129346718437</c:v>
                </c:pt>
                <c:pt idx="22">
                  <c:v>1.6727000898129889</c:v>
                </c:pt>
                <c:pt idx="23">
                  <c:v>1.8284553203785952</c:v>
                </c:pt>
                <c:pt idx="24">
                  <c:v>2.2661323640702191</c:v>
                </c:pt>
                <c:pt idx="25">
                  <c:v>2.0454417980513138</c:v>
                </c:pt>
                <c:pt idx="26">
                  <c:v>1.6612068148547219</c:v>
                </c:pt>
                <c:pt idx="27">
                  <c:v>1.8233512845272424</c:v>
                </c:pt>
                <c:pt idx="28">
                  <c:v>1.8393883544966561</c:v>
                </c:pt>
                <c:pt idx="29">
                  <c:v>1.940589979289719</c:v>
                </c:pt>
                <c:pt idx="30">
                  <c:v>1.7175099949059458</c:v>
                </c:pt>
                <c:pt idx="31">
                  <c:v>1.448188888588563</c:v>
                </c:pt>
                <c:pt idx="32">
                  <c:v>2.0660651401048895</c:v>
                </c:pt>
                <c:pt idx="33">
                  <c:v>2.0910680446009082</c:v>
                </c:pt>
                <c:pt idx="34">
                  <c:v>1.7953237763596761</c:v>
                </c:pt>
                <c:pt idx="35">
                  <c:v>1.3481591385353944</c:v>
                </c:pt>
                <c:pt idx="36">
                  <c:v>1.3304614863705813</c:v>
                </c:pt>
                <c:pt idx="37">
                  <c:v>1.8693834433366729</c:v>
                </c:pt>
                <c:pt idx="38">
                  <c:v>1.717703848742274</c:v>
                </c:pt>
                <c:pt idx="39">
                  <c:v>1.8801272749749722</c:v>
                </c:pt>
                <c:pt idx="40">
                  <c:v>1.6797817206348427</c:v>
                </c:pt>
                <c:pt idx="41">
                  <c:v>1.7194988780336247</c:v>
                </c:pt>
                <c:pt idx="42">
                  <c:v>1.6516669765154515</c:v>
                </c:pt>
                <c:pt idx="43">
                  <c:v>1.6814196839160036</c:v>
                </c:pt>
                <c:pt idx="44">
                  <c:v>1.7957351523655813</c:v>
                </c:pt>
                <c:pt idx="45">
                  <c:v>1.8965707767628803</c:v>
                </c:pt>
                <c:pt idx="46">
                  <c:v>1.6420427075259778</c:v>
                </c:pt>
                <c:pt idx="47">
                  <c:v>1.4354140724658464</c:v>
                </c:pt>
                <c:pt idx="48">
                  <c:v>1.7885468381020202</c:v>
                </c:pt>
                <c:pt idx="49">
                  <c:v>1.4898012786862311</c:v>
                </c:pt>
                <c:pt idx="50">
                  <c:v>1.9180410869899671</c:v>
                </c:pt>
                <c:pt idx="51">
                  <c:v>1.771884232551624</c:v>
                </c:pt>
                <c:pt idx="52">
                  <c:v>1.1265625245881119</c:v>
                </c:pt>
                <c:pt idx="53">
                  <c:v>2.1388730479819089</c:v>
                </c:pt>
                <c:pt idx="54">
                  <c:v>2.1588785754519559</c:v>
                </c:pt>
                <c:pt idx="55">
                  <c:v>1.5858211014566521</c:v>
                </c:pt>
                <c:pt idx="56">
                  <c:v>1.7505455845907303</c:v>
                </c:pt>
                <c:pt idx="57">
                  <c:v>1.4084475638494305</c:v>
                </c:pt>
                <c:pt idx="58">
                  <c:v>2.0922514366280978</c:v>
                </c:pt>
                <c:pt idx="59">
                  <c:v>1.8229120261212133</c:v>
                </c:pt>
                <c:pt idx="60">
                  <c:v>2.0406201076407084</c:v>
                </c:pt>
                <c:pt idx="61">
                  <c:v>1.9067451343621895</c:v>
                </c:pt>
                <c:pt idx="62">
                  <c:v>1.2342015092447864</c:v>
                </c:pt>
                <c:pt idx="63">
                  <c:v>2.0577826294947101</c:v>
                </c:pt>
                <c:pt idx="64">
                  <c:v>2.04578192599344</c:v>
                </c:pt>
                <c:pt idx="65">
                  <c:v>1.8553575608808901</c:v>
                </c:pt>
                <c:pt idx="66">
                  <c:v>2.4116607319984364</c:v>
                </c:pt>
                <c:pt idx="67">
                  <c:v>1.331138419338441</c:v>
                </c:pt>
                <c:pt idx="68">
                  <c:v>1.7668641319393765</c:v>
                </c:pt>
                <c:pt idx="69">
                  <c:v>1.834057404491249</c:v>
                </c:pt>
                <c:pt idx="70">
                  <c:v>1.7060373713360941</c:v>
                </c:pt>
                <c:pt idx="71">
                  <c:v>1.9327513870023509</c:v>
                </c:pt>
                <c:pt idx="72">
                  <c:v>1.5583400839039994</c:v>
                </c:pt>
                <c:pt idx="73">
                  <c:v>1.7705552520488916</c:v>
                </c:pt>
                <c:pt idx="74">
                  <c:v>1.8811333690038294</c:v>
                </c:pt>
                <c:pt idx="75">
                  <c:v>1.7617762536018899</c:v>
                </c:pt>
                <c:pt idx="76">
                  <c:v>1.7285952137501726</c:v>
                </c:pt>
                <c:pt idx="77">
                  <c:v>1.462730102639759</c:v>
                </c:pt>
                <c:pt idx="78">
                  <c:v>1.5912228649645592</c:v>
                </c:pt>
                <c:pt idx="79">
                  <c:v>1.5613601592365087</c:v>
                </c:pt>
                <c:pt idx="80">
                  <c:v>1.6747864124512304</c:v>
                </c:pt>
                <c:pt idx="81">
                  <c:v>2.4365773195683187</c:v>
                </c:pt>
                <c:pt idx="82">
                  <c:v>1.8709036959797043</c:v>
                </c:pt>
                <c:pt idx="83">
                  <c:v>1.9853852326524244</c:v>
                </c:pt>
                <c:pt idx="84">
                  <c:v>1.8732138963769289</c:v>
                </c:pt>
                <c:pt idx="85">
                  <c:v>2.1538524712523266</c:v>
                </c:pt>
                <c:pt idx="86">
                  <c:v>1.8963557156828217</c:v>
                </c:pt>
                <c:pt idx="87">
                  <c:v>1.6459585709254323</c:v>
                </c:pt>
                <c:pt idx="88">
                  <c:v>2.1838003005160664</c:v>
                </c:pt>
                <c:pt idx="89">
                  <c:v>1.8327054113121595</c:v>
                </c:pt>
                <c:pt idx="90">
                  <c:v>1.9383235640511827</c:v>
                </c:pt>
                <c:pt idx="91">
                  <c:v>1.8087871868236738</c:v>
                </c:pt>
                <c:pt idx="92">
                  <c:v>2.2343514088357068</c:v>
                </c:pt>
                <c:pt idx="93">
                  <c:v>1.7010119653830773</c:v>
                </c:pt>
                <c:pt idx="94">
                  <c:v>1.7447265516273374</c:v>
                </c:pt>
                <c:pt idx="95">
                  <c:v>1.6633238814166216</c:v>
                </c:pt>
                <c:pt idx="96">
                  <c:v>1.3281117076833961</c:v>
                </c:pt>
                <c:pt idx="97">
                  <c:v>1.597390053457681</c:v>
                </c:pt>
                <c:pt idx="98">
                  <c:v>1.5597348748116353</c:v>
                </c:pt>
                <c:pt idx="99">
                  <c:v>1.8499300095868212</c:v>
                </c:pt>
                <c:pt idx="100">
                  <c:v>2.1116015711060525</c:v>
                </c:pt>
                <c:pt idx="101">
                  <c:v>1.5836555343992738</c:v>
                </c:pt>
                <c:pt idx="102">
                  <c:v>1.7065769384671781</c:v>
                </c:pt>
                <c:pt idx="103">
                  <c:v>2.2032985611889813</c:v>
                </c:pt>
                <c:pt idx="104">
                  <c:v>2.2675336512482356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17.973923801356698</c:v>
                </c:pt>
                <c:pt idx="1">
                  <c:v>17.171003313023743</c:v>
                </c:pt>
                <c:pt idx="2">
                  <c:v>14.272555315952662</c:v>
                </c:pt>
                <c:pt idx="3">
                  <c:v>13.554495772632084</c:v>
                </c:pt>
                <c:pt idx="4">
                  <c:v>9.8249663920054875</c:v>
                </c:pt>
                <c:pt idx="5">
                  <c:v>17.748032000879689</c:v>
                </c:pt>
                <c:pt idx="6">
                  <c:v>17.048517086124317</c:v>
                </c:pt>
                <c:pt idx="7">
                  <c:v>8.7805046858185989</c:v>
                </c:pt>
                <c:pt idx="8">
                  <c:v>14.39371715266358</c:v>
                </c:pt>
                <c:pt idx="9">
                  <c:v>8.3684506017091849</c:v>
                </c:pt>
                <c:pt idx="10">
                  <c:v>14.79519491883064</c:v>
                </c:pt>
                <c:pt idx="11">
                  <c:v>17.204187397479537</c:v>
                </c:pt>
                <c:pt idx="12">
                  <c:v>13.439741936017521</c:v>
                </c:pt>
                <c:pt idx="13">
                  <c:v>11.805131840082071</c:v>
                </c:pt>
                <c:pt idx="14">
                  <c:v>15.934828608336179</c:v>
                </c:pt>
                <c:pt idx="15">
                  <c:v>9.6841960369631224</c:v>
                </c:pt>
                <c:pt idx="16">
                  <c:v>5.1315048294125685</c:v>
                </c:pt>
                <c:pt idx="17">
                  <c:v>14.232853528829112</c:v>
                </c:pt>
                <c:pt idx="18">
                  <c:v>5.6445240389542244</c:v>
                </c:pt>
                <c:pt idx="19">
                  <c:v>14.278404280003539</c:v>
                </c:pt>
                <c:pt idx="20">
                  <c:v>9.704877470187931</c:v>
                </c:pt>
                <c:pt idx="21">
                  <c:v>16.681348365654539</c:v>
                </c:pt>
                <c:pt idx="22">
                  <c:v>10.759085852736021</c:v>
                </c:pt>
                <c:pt idx="23">
                  <c:v>11.135447394109342</c:v>
                </c:pt>
                <c:pt idx="24">
                  <c:v>9.9154052225058091</c:v>
                </c:pt>
                <c:pt idx="25">
                  <c:v>9.0809914546928674</c:v>
                </c:pt>
                <c:pt idx="26">
                  <c:v>12.124996691927475</c:v>
                </c:pt>
                <c:pt idx="27">
                  <c:v>16.741239380647169</c:v>
                </c:pt>
                <c:pt idx="28">
                  <c:v>10.091324517230873</c:v>
                </c:pt>
                <c:pt idx="29">
                  <c:v>6.3205971308324544</c:v>
                </c:pt>
                <c:pt idx="30">
                  <c:v>14.649221086811741</c:v>
                </c:pt>
                <c:pt idx="31">
                  <c:v>18.762580290843438</c:v>
                </c:pt>
                <c:pt idx="32">
                  <c:v>9.3202549250591922</c:v>
                </c:pt>
                <c:pt idx="33">
                  <c:v>9.3217973400768965</c:v>
                </c:pt>
                <c:pt idx="34">
                  <c:v>14.662341505765276</c:v>
                </c:pt>
                <c:pt idx="35">
                  <c:v>15.987293797097708</c:v>
                </c:pt>
                <c:pt idx="36">
                  <c:v>20.313933827352209</c:v>
                </c:pt>
                <c:pt idx="37">
                  <c:v>8.614872584878432</c:v>
                </c:pt>
                <c:pt idx="38">
                  <c:v>13.685421766267098</c:v>
                </c:pt>
                <c:pt idx="39">
                  <c:v>12.912506198790313</c:v>
                </c:pt>
                <c:pt idx="40">
                  <c:v>15.951966439457822</c:v>
                </c:pt>
                <c:pt idx="41">
                  <c:v>13.864037756165001</c:v>
                </c:pt>
                <c:pt idx="42">
                  <c:v>13.002914675628467</c:v>
                </c:pt>
                <c:pt idx="43">
                  <c:v>13.025539219442921</c:v>
                </c:pt>
                <c:pt idx="44">
                  <c:v>12.045031404240664</c:v>
                </c:pt>
                <c:pt idx="45">
                  <c:v>14.240542195343494</c:v>
                </c:pt>
                <c:pt idx="46">
                  <c:v>15.804096338720356</c:v>
                </c:pt>
                <c:pt idx="47">
                  <c:v>12.927542741677206</c:v>
                </c:pt>
                <c:pt idx="48">
                  <c:v>11.455925659936071</c:v>
                </c:pt>
                <c:pt idx="49">
                  <c:v>13.307546357515388</c:v>
                </c:pt>
                <c:pt idx="50">
                  <c:v>6.5409261681131614</c:v>
                </c:pt>
                <c:pt idx="51">
                  <c:v>9.1627420009027567</c:v>
                </c:pt>
                <c:pt idx="52">
                  <c:v>19.973870853858138</c:v>
                </c:pt>
                <c:pt idx="53">
                  <c:v>8.3278043232112022</c:v>
                </c:pt>
                <c:pt idx="54">
                  <c:v>8.9720470725297368</c:v>
                </c:pt>
                <c:pt idx="55">
                  <c:v>14.754719657497374</c:v>
                </c:pt>
                <c:pt idx="56">
                  <c:v>13.347199211981886</c:v>
                </c:pt>
                <c:pt idx="57">
                  <c:v>13.442294998102678</c:v>
                </c:pt>
                <c:pt idx="58">
                  <c:v>6.0996583627447523</c:v>
                </c:pt>
                <c:pt idx="59">
                  <c:v>12.407545753278209</c:v>
                </c:pt>
                <c:pt idx="60">
                  <c:v>8.0171445370494592</c:v>
                </c:pt>
                <c:pt idx="61">
                  <c:v>11.846772541305254</c:v>
                </c:pt>
                <c:pt idx="62">
                  <c:v>15.700399191659137</c:v>
                </c:pt>
                <c:pt idx="63">
                  <c:v>7.0763381212215464</c:v>
                </c:pt>
                <c:pt idx="64">
                  <c:v>10.545683822232499</c:v>
                </c:pt>
                <c:pt idx="65">
                  <c:v>13.41111949076431</c:v>
                </c:pt>
                <c:pt idx="66">
                  <c:v>5.3509011515380385</c:v>
                </c:pt>
                <c:pt idx="67">
                  <c:v>17.456153343654218</c:v>
                </c:pt>
                <c:pt idx="68">
                  <c:v>11.105900112164077</c:v>
                </c:pt>
                <c:pt idx="69">
                  <c:v>12.970844278964904</c:v>
                </c:pt>
                <c:pt idx="70">
                  <c:v>11.18305489795064</c:v>
                </c:pt>
                <c:pt idx="71">
                  <c:v>12.720136218657517</c:v>
                </c:pt>
                <c:pt idx="72">
                  <c:v>15.340513100678317</c:v>
                </c:pt>
                <c:pt idx="73">
                  <c:v>13.230022735371564</c:v>
                </c:pt>
                <c:pt idx="74">
                  <c:v>12.578514296485141</c:v>
                </c:pt>
                <c:pt idx="75">
                  <c:v>14.78416292527913</c:v>
                </c:pt>
                <c:pt idx="76">
                  <c:v>10.086017116248739</c:v>
                </c:pt>
                <c:pt idx="77">
                  <c:v>17.333777273357981</c:v>
                </c:pt>
                <c:pt idx="78">
                  <c:v>15.951776110826309</c:v>
                </c:pt>
                <c:pt idx="79">
                  <c:v>12.555533352082159</c:v>
                </c:pt>
                <c:pt idx="80">
                  <c:v>9.3965116732910445</c:v>
                </c:pt>
                <c:pt idx="81">
                  <c:v>6.4966609426118733</c:v>
                </c:pt>
                <c:pt idx="82">
                  <c:v>12.844197397832124</c:v>
                </c:pt>
                <c:pt idx="83">
                  <c:v>10.872419108063248</c:v>
                </c:pt>
                <c:pt idx="84">
                  <c:v>14.335395282839206</c:v>
                </c:pt>
                <c:pt idx="85">
                  <c:v>7.4233325352805917</c:v>
                </c:pt>
                <c:pt idx="86">
                  <c:v>12.525341263887437</c:v>
                </c:pt>
                <c:pt idx="87">
                  <c:v>15.833383260313317</c:v>
                </c:pt>
                <c:pt idx="88">
                  <c:v>10.708605681709832</c:v>
                </c:pt>
                <c:pt idx="89">
                  <c:v>10.778286855859797</c:v>
                </c:pt>
                <c:pt idx="90">
                  <c:v>9.5736121866236807</c:v>
                </c:pt>
                <c:pt idx="91">
                  <c:v>12.652589124076057</c:v>
                </c:pt>
                <c:pt idx="92">
                  <c:v>5.1177906420223076</c:v>
                </c:pt>
                <c:pt idx="93">
                  <c:v>14.586338425456546</c:v>
                </c:pt>
                <c:pt idx="94">
                  <c:v>14.473227230159523</c:v>
                </c:pt>
                <c:pt idx="95">
                  <c:v>13.694743253505639</c:v>
                </c:pt>
                <c:pt idx="96">
                  <c:v>14.98330207932537</c:v>
                </c:pt>
                <c:pt idx="97">
                  <c:v>14.594883794617553</c:v>
                </c:pt>
                <c:pt idx="98">
                  <c:v>11.567818597055899</c:v>
                </c:pt>
                <c:pt idx="99">
                  <c:v>9.8214310409837005</c:v>
                </c:pt>
                <c:pt idx="100">
                  <c:v>8.772566894855105</c:v>
                </c:pt>
                <c:pt idx="101">
                  <c:v>12.64587122815705</c:v>
                </c:pt>
                <c:pt idx="102">
                  <c:v>11.735471676894599</c:v>
                </c:pt>
                <c:pt idx="103">
                  <c:v>10.673704677169031</c:v>
                </c:pt>
                <c:pt idx="104">
                  <c:v>7.52026855938339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and Gaussian Fit Probability Density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'Por-Perm-Logs'!$AP$72:$AY$72</c:f>
              <c:numCache>
                <c:formatCode>0.00</c:formatCode>
                <c:ptCount val="10"/>
                <c:pt idx="0">
                  <c:v>-3.9069581706260341</c:v>
                </c:pt>
                <c:pt idx="1">
                  <c:v>-2.896304342951372</c:v>
                </c:pt>
                <c:pt idx="2">
                  <c:v>-1.8856505152767098</c:v>
                </c:pt>
                <c:pt idx="3">
                  <c:v>-0.87499668760204763</c:v>
                </c:pt>
                <c:pt idx="4">
                  <c:v>0.13565714007261453</c:v>
                </c:pt>
                <c:pt idx="5">
                  <c:v>1.1463109677472767</c:v>
                </c:pt>
                <c:pt idx="6">
                  <c:v>2.1569647954219389</c:v>
                </c:pt>
                <c:pt idx="7">
                  <c:v>3.167618623096601</c:v>
                </c:pt>
                <c:pt idx="8">
                  <c:v>4.1782724507712636</c:v>
                </c:pt>
                <c:pt idx="9">
                  <c:v>5.1889262784459262</c:v>
                </c:pt>
              </c:numCache>
            </c:numRef>
          </c:xVal>
          <c:yVal>
            <c:numRef>
              <c:f>'Por-Perm-Logs'!$AP$76:$AY$76</c:f>
              <c:numCache>
                <c:formatCode>0.000</c:formatCode>
                <c:ptCount val="10"/>
                <c:pt idx="0">
                  <c:v>2.7569437494185271E-2</c:v>
                </c:pt>
                <c:pt idx="1">
                  <c:v>4.9988990420990108E-2</c:v>
                </c:pt>
                <c:pt idx="2">
                  <c:v>9.976965487281568E-2</c:v>
                </c:pt>
                <c:pt idx="3">
                  <c:v>0.15645041540996152</c:v>
                </c:pt>
                <c:pt idx="4">
                  <c:v>0.19276706585939163</c:v>
                </c:pt>
                <c:pt idx="5">
                  <c:v>0.18662850087501093</c:v>
                </c:pt>
                <c:pt idx="6">
                  <c:v>0.14197450983043425</c:v>
                </c:pt>
                <c:pt idx="7">
                  <c:v>8.4862437044686101E-2</c:v>
                </c:pt>
                <c:pt idx="8">
                  <c:v>3.9853487982986047E-2</c:v>
                </c:pt>
                <c:pt idx="9">
                  <c:v>1.4703617954805237E-2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F-4C22-97FC-048D05E7F5F5}"/>
            </c:ext>
          </c:extLst>
        </c:ser>
        <c:ser>
          <c:idx val="0"/>
          <c:order val="1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'Por-Perm-Logs'!$AP$72:$AY$72</c:f>
              <c:numCache>
                <c:formatCode>0.00</c:formatCode>
                <c:ptCount val="10"/>
                <c:pt idx="0">
                  <c:v>-3.9069581706260341</c:v>
                </c:pt>
                <c:pt idx="1">
                  <c:v>-2.896304342951372</c:v>
                </c:pt>
                <c:pt idx="2">
                  <c:v>-1.8856505152767098</c:v>
                </c:pt>
                <c:pt idx="3">
                  <c:v>-0.87499668760204763</c:v>
                </c:pt>
                <c:pt idx="4">
                  <c:v>0.13565714007261453</c:v>
                </c:pt>
                <c:pt idx="5">
                  <c:v>1.1463109677472767</c:v>
                </c:pt>
                <c:pt idx="6">
                  <c:v>2.1569647954219389</c:v>
                </c:pt>
                <c:pt idx="7">
                  <c:v>3.167618623096601</c:v>
                </c:pt>
                <c:pt idx="8">
                  <c:v>4.1782724507712636</c:v>
                </c:pt>
                <c:pt idx="9">
                  <c:v>5.1889262784459262</c:v>
                </c:pt>
              </c:numCache>
            </c:numRef>
          </c:xVal>
          <c:yVal>
            <c:numRef>
              <c:f>'Por-Perm-Logs'!$AP$75:$AY$75</c:f>
              <c:numCache>
                <c:formatCode>0.00</c:formatCode>
                <c:ptCount val="10"/>
                <c:pt idx="0">
                  <c:v>9.5238095238095247E-3</c:v>
                </c:pt>
                <c:pt idx="1">
                  <c:v>4.7619047619047616E-2</c:v>
                </c:pt>
                <c:pt idx="2">
                  <c:v>0.11428571428571428</c:v>
                </c:pt>
                <c:pt idx="3">
                  <c:v>0.18095238095238095</c:v>
                </c:pt>
                <c:pt idx="4">
                  <c:v>0.20952380952380953</c:v>
                </c:pt>
                <c:pt idx="5">
                  <c:v>0.13333333333333333</c:v>
                </c:pt>
                <c:pt idx="6">
                  <c:v>0.13333333333333333</c:v>
                </c:pt>
                <c:pt idx="7">
                  <c:v>0.11428571428571428</c:v>
                </c:pt>
                <c:pt idx="8">
                  <c:v>2.8571428571428571E-2</c:v>
                </c:pt>
                <c:pt idx="9">
                  <c:v>2.8571428571428571E-2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6F-4C22-97FC-048D05E7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At val="-1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At val="-1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1.5979991903158497</c:v>
                </c:pt>
                <c:pt idx="1">
                  <c:v>1.285322364730755</c:v>
                </c:pt>
                <c:pt idx="2">
                  <c:v>1.6933890357357637</c:v>
                </c:pt>
                <c:pt idx="3">
                  <c:v>1.6414554282554685</c:v>
                </c:pt>
                <c:pt idx="4">
                  <c:v>1.9062983250662311</c:v>
                </c:pt>
                <c:pt idx="5">
                  <c:v>1.2763731797302491</c:v>
                </c:pt>
                <c:pt idx="6">
                  <c:v>1.295609105466097</c:v>
                </c:pt>
                <c:pt idx="7">
                  <c:v>1.8053758332333536</c:v>
                </c:pt>
                <c:pt idx="8">
                  <c:v>1.6807914569467883</c:v>
                </c:pt>
                <c:pt idx="9">
                  <c:v>1.9231434211088714</c:v>
                </c:pt>
                <c:pt idx="10">
                  <c:v>1.6825766652290133</c:v>
                </c:pt>
                <c:pt idx="11">
                  <c:v>1.2595008198725486</c:v>
                </c:pt>
                <c:pt idx="12">
                  <c:v>1.7921018024254465</c:v>
                </c:pt>
                <c:pt idx="13">
                  <c:v>2.0954736339433762</c:v>
                </c:pt>
                <c:pt idx="14">
                  <c:v>1.5816937459374756</c:v>
                </c:pt>
                <c:pt idx="15">
                  <c:v>1.9943237176977149</c:v>
                </c:pt>
                <c:pt idx="16">
                  <c:v>1.9727916035953605</c:v>
                </c:pt>
                <c:pt idx="17">
                  <c:v>1.3365477301766193</c:v>
                </c:pt>
                <c:pt idx="18">
                  <c:v>2.1327793539775621</c:v>
                </c:pt>
                <c:pt idx="19">
                  <c:v>1.3867508081791491</c:v>
                </c:pt>
                <c:pt idx="20">
                  <c:v>2.1157146912486371</c:v>
                </c:pt>
                <c:pt idx="21">
                  <c:v>1.6280129346718437</c:v>
                </c:pt>
                <c:pt idx="22">
                  <c:v>1.6727000898129889</c:v>
                </c:pt>
                <c:pt idx="23">
                  <c:v>1.8284553203785952</c:v>
                </c:pt>
                <c:pt idx="24">
                  <c:v>2.2661323640702191</c:v>
                </c:pt>
                <c:pt idx="25">
                  <c:v>2.0454417980513138</c:v>
                </c:pt>
                <c:pt idx="26">
                  <c:v>1.6612068148547219</c:v>
                </c:pt>
                <c:pt idx="27">
                  <c:v>1.8233512845272424</c:v>
                </c:pt>
                <c:pt idx="28">
                  <c:v>1.8393883544966561</c:v>
                </c:pt>
                <c:pt idx="29">
                  <c:v>1.940589979289719</c:v>
                </c:pt>
                <c:pt idx="30">
                  <c:v>1.7175099949059458</c:v>
                </c:pt>
                <c:pt idx="31">
                  <c:v>1.448188888588563</c:v>
                </c:pt>
                <c:pt idx="32">
                  <c:v>2.0660651401048895</c:v>
                </c:pt>
                <c:pt idx="33">
                  <c:v>2.0910680446009082</c:v>
                </c:pt>
                <c:pt idx="34">
                  <c:v>1.7953237763596761</c:v>
                </c:pt>
                <c:pt idx="35">
                  <c:v>1.3481591385353944</c:v>
                </c:pt>
                <c:pt idx="36">
                  <c:v>1.3304614863705813</c:v>
                </c:pt>
                <c:pt idx="37">
                  <c:v>1.8693834433366729</c:v>
                </c:pt>
                <c:pt idx="38">
                  <c:v>1.717703848742274</c:v>
                </c:pt>
                <c:pt idx="39">
                  <c:v>1.8801272749749722</c:v>
                </c:pt>
                <c:pt idx="40">
                  <c:v>1.6797817206348427</c:v>
                </c:pt>
                <c:pt idx="41">
                  <c:v>1.7194988780336247</c:v>
                </c:pt>
                <c:pt idx="42">
                  <c:v>1.6516669765154515</c:v>
                </c:pt>
                <c:pt idx="43">
                  <c:v>1.6814196839160036</c:v>
                </c:pt>
                <c:pt idx="44">
                  <c:v>1.7957351523655813</c:v>
                </c:pt>
                <c:pt idx="45">
                  <c:v>1.8965707767628803</c:v>
                </c:pt>
                <c:pt idx="46">
                  <c:v>1.6420427075259778</c:v>
                </c:pt>
                <c:pt idx="47">
                  <c:v>1.4354140724658464</c:v>
                </c:pt>
                <c:pt idx="48">
                  <c:v>1.7885468381020202</c:v>
                </c:pt>
                <c:pt idx="49">
                  <c:v>1.4898012786862311</c:v>
                </c:pt>
                <c:pt idx="50">
                  <c:v>1.9180410869899671</c:v>
                </c:pt>
                <c:pt idx="51">
                  <c:v>1.771884232551624</c:v>
                </c:pt>
                <c:pt idx="52">
                  <c:v>1.1265625245881119</c:v>
                </c:pt>
                <c:pt idx="53">
                  <c:v>2.1388730479819089</c:v>
                </c:pt>
                <c:pt idx="54">
                  <c:v>2.1588785754519559</c:v>
                </c:pt>
                <c:pt idx="55">
                  <c:v>1.5858211014566521</c:v>
                </c:pt>
                <c:pt idx="56">
                  <c:v>1.7505455845907303</c:v>
                </c:pt>
                <c:pt idx="57">
                  <c:v>1.4084475638494305</c:v>
                </c:pt>
                <c:pt idx="58">
                  <c:v>2.0922514366280978</c:v>
                </c:pt>
                <c:pt idx="59">
                  <c:v>1.8229120261212133</c:v>
                </c:pt>
                <c:pt idx="60">
                  <c:v>2.0406201076407084</c:v>
                </c:pt>
                <c:pt idx="61">
                  <c:v>1.9067451343621895</c:v>
                </c:pt>
                <c:pt idx="62">
                  <c:v>1.2342015092447864</c:v>
                </c:pt>
                <c:pt idx="63">
                  <c:v>2.0577826294947101</c:v>
                </c:pt>
                <c:pt idx="64">
                  <c:v>2.04578192599344</c:v>
                </c:pt>
                <c:pt idx="65">
                  <c:v>1.8553575608808901</c:v>
                </c:pt>
                <c:pt idx="66">
                  <c:v>2.4116607319984364</c:v>
                </c:pt>
                <c:pt idx="67">
                  <c:v>1.331138419338441</c:v>
                </c:pt>
                <c:pt idx="68">
                  <c:v>1.7668641319393765</c:v>
                </c:pt>
                <c:pt idx="69">
                  <c:v>1.834057404491249</c:v>
                </c:pt>
                <c:pt idx="70">
                  <c:v>1.7060373713360941</c:v>
                </c:pt>
                <c:pt idx="71">
                  <c:v>1.9327513870023509</c:v>
                </c:pt>
                <c:pt idx="72">
                  <c:v>1.5583400839039994</c:v>
                </c:pt>
                <c:pt idx="73">
                  <c:v>1.7705552520488916</c:v>
                </c:pt>
                <c:pt idx="74">
                  <c:v>1.8811333690038294</c:v>
                </c:pt>
                <c:pt idx="75">
                  <c:v>1.7617762536018899</c:v>
                </c:pt>
                <c:pt idx="76">
                  <c:v>1.7285952137501726</c:v>
                </c:pt>
                <c:pt idx="77">
                  <c:v>1.462730102639759</c:v>
                </c:pt>
                <c:pt idx="78">
                  <c:v>1.5912228649645592</c:v>
                </c:pt>
                <c:pt idx="79">
                  <c:v>1.5613601592365087</c:v>
                </c:pt>
                <c:pt idx="80">
                  <c:v>1.6747864124512304</c:v>
                </c:pt>
                <c:pt idx="81">
                  <c:v>2.4365773195683187</c:v>
                </c:pt>
                <c:pt idx="82">
                  <c:v>1.8709036959797043</c:v>
                </c:pt>
                <c:pt idx="83">
                  <c:v>1.9853852326524244</c:v>
                </c:pt>
                <c:pt idx="84">
                  <c:v>1.8732138963769289</c:v>
                </c:pt>
                <c:pt idx="85">
                  <c:v>2.1538524712523266</c:v>
                </c:pt>
                <c:pt idx="86">
                  <c:v>1.8963557156828217</c:v>
                </c:pt>
                <c:pt idx="87">
                  <c:v>1.6459585709254323</c:v>
                </c:pt>
                <c:pt idx="88">
                  <c:v>2.1838003005160664</c:v>
                </c:pt>
                <c:pt idx="89">
                  <c:v>1.8327054113121595</c:v>
                </c:pt>
                <c:pt idx="90">
                  <c:v>1.9383235640511827</c:v>
                </c:pt>
                <c:pt idx="91">
                  <c:v>1.8087871868236738</c:v>
                </c:pt>
                <c:pt idx="92">
                  <c:v>2.2343514088357068</c:v>
                </c:pt>
                <c:pt idx="93">
                  <c:v>1.7010119653830773</c:v>
                </c:pt>
                <c:pt idx="94">
                  <c:v>1.7447265516273374</c:v>
                </c:pt>
                <c:pt idx="95">
                  <c:v>1.6633238814166216</c:v>
                </c:pt>
                <c:pt idx="96">
                  <c:v>1.3281117076833961</c:v>
                </c:pt>
                <c:pt idx="97">
                  <c:v>1.597390053457681</c:v>
                </c:pt>
                <c:pt idx="98">
                  <c:v>1.5597348748116353</c:v>
                </c:pt>
                <c:pt idx="99">
                  <c:v>1.8499300095868212</c:v>
                </c:pt>
                <c:pt idx="100">
                  <c:v>2.1116015711060525</c:v>
                </c:pt>
                <c:pt idx="101">
                  <c:v>1.5836555343992738</c:v>
                </c:pt>
                <c:pt idx="102">
                  <c:v>1.7065769384671781</c:v>
                </c:pt>
                <c:pt idx="103">
                  <c:v>2.2032985611889813</c:v>
                </c:pt>
                <c:pt idx="104">
                  <c:v>2.2675336512482356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071-99D9-40D28AD3ABC6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1.5979991903158497</c:v>
                </c:pt>
                <c:pt idx="1">
                  <c:v>1.285322364730755</c:v>
                </c:pt>
                <c:pt idx="2">
                  <c:v>1.6933890357357637</c:v>
                </c:pt>
                <c:pt idx="3">
                  <c:v>1.6414554282554685</c:v>
                </c:pt>
                <c:pt idx="4">
                  <c:v>1.9062983250662311</c:v>
                </c:pt>
                <c:pt idx="5">
                  <c:v>1.2763731797302491</c:v>
                </c:pt>
                <c:pt idx="6">
                  <c:v>1.295609105466097</c:v>
                </c:pt>
                <c:pt idx="7">
                  <c:v>1.8053758332333536</c:v>
                </c:pt>
                <c:pt idx="8">
                  <c:v>1.6807914569467883</c:v>
                </c:pt>
                <c:pt idx="9">
                  <c:v>1.9231434211088714</c:v>
                </c:pt>
                <c:pt idx="10">
                  <c:v>1.6825766652290133</c:v>
                </c:pt>
                <c:pt idx="11">
                  <c:v>1.2595008198725486</c:v>
                </c:pt>
                <c:pt idx="12">
                  <c:v>1.7921018024254465</c:v>
                </c:pt>
                <c:pt idx="13">
                  <c:v>2.0954736339433762</c:v>
                </c:pt>
                <c:pt idx="14">
                  <c:v>1.5816937459374756</c:v>
                </c:pt>
                <c:pt idx="15">
                  <c:v>1.9943237176977149</c:v>
                </c:pt>
                <c:pt idx="16">
                  <c:v>1.9727916035953605</c:v>
                </c:pt>
                <c:pt idx="17">
                  <c:v>1.3365477301766193</c:v>
                </c:pt>
                <c:pt idx="18">
                  <c:v>2.1327793539775621</c:v>
                </c:pt>
                <c:pt idx="19">
                  <c:v>1.3867508081791491</c:v>
                </c:pt>
                <c:pt idx="20">
                  <c:v>2.1157146912486371</c:v>
                </c:pt>
                <c:pt idx="21">
                  <c:v>1.6280129346718437</c:v>
                </c:pt>
                <c:pt idx="22">
                  <c:v>1.6727000898129889</c:v>
                </c:pt>
                <c:pt idx="23">
                  <c:v>1.8284553203785952</c:v>
                </c:pt>
                <c:pt idx="24">
                  <c:v>2.2661323640702191</c:v>
                </c:pt>
                <c:pt idx="25">
                  <c:v>2.0454417980513138</c:v>
                </c:pt>
                <c:pt idx="26">
                  <c:v>1.6612068148547219</c:v>
                </c:pt>
                <c:pt idx="27">
                  <c:v>1.8233512845272424</c:v>
                </c:pt>
                <c:pt idx="28">
                  <c:v>1.8393883544966561</c:v>
                </c:pt>
                <c:pt idx="29">
                  <c:v>1.940589979289719</c:v>
                </c:pt>
                <c:pt idx="30">
                  <c:v>1.7175099949059458</c:v>
                </c:pt>
                <c:pt idx="31">
                  <c:v>1.448188888588563</c:v>
                </c:pt>
                <c:pt idx="32">
                  <c:v>2.0660651401048895</c:v>
                </c:pt>
                <c:pt idx="33">
                  <c:v>2.0910680446009082</c:v>
                </c:pt>
                <c:pt idx="34">
                  <c:v>1.7953237763596761</c:v>
                </c:pt>
                <c:pt idx="35">
                  <c:v>1.3481591385353944</c:v>
                </c:pt>
                <c:pt idx="36">
                  <c:v>1.3304614863705813</c:v>
                </c:pt>
                <c:pt idx="37">
                  <c:v>1.8693834433366729</c:v>
                </c:pt>
                <c:pt idx="38">
                  <c:v>1.717703848742274</c:v>
                </c:pt>
                <c:pt idx="39">
                  <c:v>1.8801272749749722</c:v>
                </c:pt>
                <c:pt idx="40">
                  <c:v>1.6797817206348427</c:v>
                </c:pt>
                <c:pt idx="41">
                  <c:v>1.7194988780336247</c:v>
                </c:pt>
                <c:pt idx="42">
                  <c:v>1.6516669765154515</c:v>
                </c:pt>
                <c:pt idx="43">
                  <c:v>1.6814196839160036</c:v>
                </c:pt>
                <c:pt idx="44">
                  <c:v>1.7957351523655813</c:v>
                </c:pt>
                <c:pt idx="45">
                  <c:v>1.8965707767628803</c:v>
                </c:pt>
                <c:pt idx="46">
                  <c:v>1.6420427075259778</c:v>
                </c:pt>
                <c:pt idx="47">
                  <c:v>1.4354140724658464</c:v>
                </c:pt>
                <c:pt idx="48">
                  <c:v>1.7885468381020202</c:v>
                </c:pt>
                <c:pt idx="49">
                  <c:v>1.4898012786862311</c:v>
                </c:pt>
                <c:pt idx="50">
                  <c:v>1.9180410869899671</c:v>
                </c:pt>
                <c:pt idx="51">
                  <c:v>1.771884232551624</c:v>
                </c:pt>
                <c:pt idx="52">
                  <c:v>1.1265625245881119</c:v>
                </c:pt>
                <c:pt idx="53">
                  <c:v>2.1388730479819089</c:v>
                </c:pt>
                <c:pt idx="54">
                  <c:v>2.1588785754519559</c:v>
                </c:pt>
                <c:pt idx="55">
                  <c:v>1.5858211014566521</c:v>
                </c:pt>
                <c:pt idx="56">
                  <c:v>1.7505455845907303</c:v>
                </c:pt>
                <c:pt idx="57">
                  <c:v>1.4084475638494305</c:v>
                </c:pt>
                <c:pt idx="58">
                  <c:v>2.0922514366280978</c:v>
                </c:pt>
                <c:pt idx="59">
                  <c:v>1.8229120261212133</c:v>
                </c:pt>
                <c:pt idx="60">
                  <c:v>2.0406201076407084</c:v>
                </c:pt>
                <c:pt idx="61">
                  <c:v>1.9067451343621895</c:v>
                </c:pt>
                <c:pt idx="62">
                  <c:v>1.2342015092447864</c:v>
                </c:pt>
                <c:pt idx="63">
                  <c:v>2.0577826294947101</c:v>
                </c:pt>
                <c:pt idx="64">
                  <c:v>2.04578192599344</c:v>
                </c:pt>
                <c:pt idx="65">
                  <c:v>1.8553575608808901</c:v>
                </c:pt>
                <c:pt idx="66">
                  <c:v>2.4116607319984364</c:v>
                </c:pt>
                <c:pt idx="67">
                  <c:v>1.331138419338441</c:v>
                </c:pt>
                <c:pt idx="68">
                  <c:v>1.7668641319393765</c:v>
                </c:pt>
                <c:pt idx="69">
                  <c:v>1.834057404491249</c:v>
                </c:pt>
                <c:pt idx="70">
                  <c:v>1.7060373713360941</c:v>
                </c:pt>
                <c:pt idx="71">
                  <c:v>1.9327513870023509</c:v>
                </c:pt>
                <c:pt idx="72">
                  <c:v>1.5583400839039994</c:v>
                </c:pt>
                <c:pt idx="73">
                  <c:v>1.7705552520488916</c:v>
                </c:pt>
                <c:pt idx="74">
                  <c:v>1.8811333690038294</c:v>
                </c:pt>
                <c:pt idx="75">
                  <c:v>1.7617762536018899</c:v>
                </c:pt>
                <c:pt idx="76">
                  <c:v>1.7285952137501726</c:v>
                </c:pt>
                <c:pt idx="77">
                  <c:v>1.462730102639759</c:v>
                </c:pt>
                <c:pt idx="78">
                  <c:v>1.5912228649645592</c:v>
                </c:pt>
                <c:pt idx="79">
                  <c:v>1.5613601592365087</c:v>
                </c:pt>
                <c:pt idx="80">
                  <c:v>1.6747864124512304</c:v>
                </c:pt>
                <c:pt idx="81">
                  <c:v>2.4365773195683187</c:v>
                </c:pt>
                <c:pt idx="82">
                  <c:v>1.8709036959797043</c:v>
                </c:pt>
                <c:pt idx="83">
                  <c:v>1.9853852326524244</c:v>
                </c:pt>
                <c:pt idx="84">
                  <c:v>1.8732138963769289</c:v>
                </c:pt>
                <c:pt idx="85">
                  <c:v>2.1538524712523266</c:v>
                </c:pt>
                <c:pt idx="86">
                  <c:v>1.8963557156828217</c:v>
                </c:pt>
                <c:pt idx="87">
                  <c:v>1.6459585709254323</c:v>
                </c:pt>
                <c:pt idx="88">
                  <c:v>2.1838003005160664</c:v>
                </c:pt>
                <c:pt idx="89">
                  <c:v>1.8327054113121595</c:v>
                </c:pt>
                <c:pt idx="90">
                  <c:v>1.9383235640511827</c:v>
                </c:pt>
                <c:pt idx="91">
                  <c:v>1.8087871868236738</c:v>
                </c:pt>
                <c:pt idx="92">
                  <c:v>2.2343514088357068</c:v>
                </c:pt>
                <c:pt idx="93">
                  <c:v>1.7010119653830773</c:v>
                </c:pt>
                <c:pt idx="94">
                  <c:v>1.7447265516273374</c:v>
                </c:pt>
                <c:pt idx="95">
                  <c:v>1.6633238814166216</c:v>
                </c:pt>
                <c:pt idx="96">
                  <c:v>1.3281117076833961</c:v>
                </c:pt>
                <c:pt idx="97">
                  <c:v>1.597390053457681</c:v>
                </c:pt>
                <c:pt idx="98">
                  <c:v>1.5597348748116353</c:v>
                </c:pt>
                <c:pt idx="99">
                  <c:v>1.8499300095868212</c:v>
                </c:pt>
                <c:pt idx="100">
                  <c:v>2.1116015711060525</c:v>
                </c:pt>
                <c:pt idx="101">
                  <c:v>1.5836555343992738</c:v>
                </c:pt>
                <c:pt idx="102">
                  <c:v>1.7065769384671781</c:v>
                </c:pt>
                <c:pt idx="103">
                  <c:v>2.2032985611889813</c:v>
                </c:pt>
                <c:pt idx="104">
                  <c:v>2.2675336512482356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6-4071-99D9-40D28AD3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1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17.973923801356698</c:v>
                </c:pt>
                <c:pt idx="1">
                  <c:v>17.171003313023743</c:v>
                </c:pt>
                <c:pt idx="2">
                  <c:v>14.272555315952662</c:v>
                </c:pt>
                <c:pt idx="3">
                  <c:v>13.554495772632084</c:v>
                </c:pt>
                <c:pt idx="4">
                  <c:v>9.8249663920054875</c:v>
                </c:pt>
                <c:pt idx="5">
                  <c:v>17.748032000879689</c:v>
                </c:pt>
                <c:pt idx="6">
                  <c:v>17.048517086124317</c:v>
                </c:pt>
                <c:pt idx="7">
                  <c:v>8.7805046858185989</c:v>
                </c:pt>
                <c:pt idx="8">
                  <c:v>14.39371715266358</c:v>
                </c:pt>
                <c:pt idx="9">
                  <c:v>8.3684506017091849</c:v>
                </c:pt>
                <c:pt idx="10">
                  <c:v>14.79519491883064</c:v>
                </c:pt>
                <c:pt idx="11">
                  <c:v>17.204187397479537</c:v>
                </c:pt>
                <c:pt idx="12">
                  <c:v>13.439741936017521</c:v>
                </c:pt>
                <c:pt idx="13">
                  <c:v>11.805131840082071</c:v>
                </c:pt>
                <c:pt idx="14">
                  <c:v>15.934828608336179</c:v>
                </c:pt>
                <c:pt idx="15">
                  <c:v>9.6841960369631224</c:v>
                </c:pt>
                <c:pt idx="16">
                  <c:v>5.1315048294125685</c:v>
                </c:pt>
                <c:pt idx="17">
                  <c:v>14.232853528829112</c:v>
                </c:pt>
                <c:pt idx="18">
                  <c:v>5.6445240389542244</c:v>
                </c:pt>
                <c:pt idx="19">
                  <c:v>14.278404280003539</c:v>
                </c:pt>
                <c:pt idx="20">
                  <c:v>9.704877470187931</c:v>
                </c:pt>
                <c:pt idx="21">
                  <c:v>16.681348365654539</c:v>
                </c:pt>
                <c:pt idx="22">
                  <c:v>10.759085852736021</c:v>
                </c:pt>
                <c:pt idx="23">
                  <c:v>11.135447394109342</c:v>
                </c:pt>
                <c:pt idx="24">
                  <c:v>9.9154052225058091</c:v>
                </c:pt>
                <c:pt idx="25">
                  <c:v>9.0809914546928674</c:v>
                </c:pt>
                <c:pt idx="26">
                  <c:v>12.124996691927475</c:v>
                </c:pt>
                <c:pt idx="27">
                  <c:v>16.741239380647169</c:v>
                </c:pt>
                <c:pt idx="28">
                  <c:v>10.091324517230873</c:v>
                </c:pt>
                <c:pt idx="29">
                  <c:v>6.3205971308324544</c:v>
                </c:pt>
                <c:pt idx="30">
                  <c:v>14.649221086811741</c:v>
                </c:pt>
                <c:pt idx="31">
                  <c:v>18.762580290843438</c:v>
                </c:pt>
                <c:pt idx="32">
                  <c:v>9.3202549250591922</c:v>
                </c:pt>
                <c:pt idx="33">
                  <c:v>9.3217973400768965</c:v>
                </c:pt>
                <c:pt idx="34">
                  <c:v>14.662341505765276</c:v>
                </c:pt>
                <c:pt idx="35">
                  <c:v>15.987293797097708</c:v>
                </c:pt>
                <c:pt idx="36">
                  <c:v>20.313933827352209</c:v>
                </c:pt>
                <c:pt idx="37">
                  <c:v>8.614872584878432</c:v>
                </c:pt>
                <c:pt idx="38">
                  <c:v>13.685421766267098</c:v>
                </c:pt>
                <c:pt idx="39">
                  <c:v>12.912506198790313</c:v>
                </c:pt>
                <c:pt idx="40">
                  <c:v>15.951966439457822</c:v>
                </c:pt>
                <c:pt idx="41">
                  <c:v>13.864037756165001</c:v>
                </c:pt>
                <c:pt idx="42">
                  <c:v>13.002914675628467</c:v>
                </c:pt>
                <c:pt idx="43">
                  <c:v>13.025539219442921</c:v>
                </c:pt>
                <c:pt idx="44">
                  <c:v>12.045031404240664</c:v>
                </c:pt>
                <c:pt idx="45">
                  <c:v>14.240542195343494</c:v>
                </c:pt>
                <c:pt idx="46">
                  <c:v>15.804096338720356</c:v>
                </c:pt>
                <c:pt idx="47">
                  <c:v>12.927542741677206</c:v>
                </c:pt>
                <c:pt idx="48">
                  <c:v>11.455925659936071</c:v>
                </c:pt>
                <c:pt idx="49">
                  <c:v>13.307546357515388</c:v>
                </c:pt>
                <c:pt idx="50">
                  <c:v>6.5409261681131614</c:v>
                </c:pt>
                <c:pt idx="51">
                  <c:v>9.1627420009027567</c:v>
                </c:pt>
                <c:pt idx="52">
                  <c:v>19.973870853858138</c:v>
                </c:pt>
                <c:pt idx="53">
                  <c:v>8.3278043232112022</c:v>
                </c:pt>
                <c:pt idx="54">
                  <c:v>8.9720470725297368</c:v>
                </c:pt>
                <c:pt idx="55">
                  <c:v>14.754719657497374</c:v>
                </c:pt>
                <c:pt idx="56">
                  <c:v>13.347199211981886</c:v>
                </c:pt>
                <c:pt idx="57">
                  <c:v>13.442294998102678</c:v>
                </c:pt>
                <c:pt idx="58">
                  <c:v>6.0996583627447523</c:v>
                </c:pt>
                <c:pt idx="59">
                  <c:v>12.407545753278209</c:v>
                </c:pt>
                <c:pt idx="60">
                  <c:v>8.0171445370494592</c:v>
                </c:pt>
                <c:pt idx="61">
                  <c:v>11.846772541305254</c:v>
                </c:pt>
                <c:pt idx="62">
                  <c:v>15.700399191659137</c:v>
                </c:pt>
                <c:pt idx="63">
                  <c:v>7.0763381212215464</c:v>
                </c:pt>
                <c:pt idx="64">
                  <c:v>10.545683822232499</c:v>
                </c:pt>
                <c:pt idx="65">
                  <c:v>13.41111949076431</c:v>
                </c:pt>
                <c:pt idx="66">
                  <c:v>5.3509011515380385</c:v>
                </c:pt>
                <c:pt idx="67">
                  <c:v>17.456153343654218</c:v>
                </c:pt>
                <c:pt idx="68">
                  <c:v>11.105900112164077</c:v>
                </c:pt>
                <c:pt idx="69">
                  <c:v>12.970844278964904</c:v>
                </c:pt>
                <c:pt idx="70">
                  <c:v>11.18305489795064</c:v>
                </c:pt>
                <c:pt idx="71">
                  <c:v>12.720136218657517</c:v>
                </c:pt>
                <c:pt idx="72">
                  <c:v>15.340513100678317</c:v>
                </c:pt>
                <c:pt idx="73">
                  <c:v>13.230022735371564</c:v>
                </c:pt>
                <c:pt idx="74">
                  <c:v>12.578514296485141</c:v>
                </c:pt>
                <c:pt idx="75">
                  <c:v>14.78416292527913</c:v>
                </c:pt>
                <c:pt idx="76">
                  <c:v>10.086017116248739</c:v>
                </c:pt>
                <c:pt idx="77">
                  <c:v>17.333777273357981</c:v>
                </c:pt>
                <c:pt idx="78">
                  <c:v>15.951776110826309</c:v>
                </c:pt>
                <c:pt idx="79">
                  <c:v>12.555533352082159</c:v>
                </c:pt>
                <c:pt idx="80">
                  <c:v>9.3965116732910445</c:v>
                </c:pt>
                <c:pt idx="81">
                  <c:v>6.4966609426118733</c:v>
                </c:pt>
                <c:pt idx="82">
                  <c:v>12.844197397832124</c:v>
                </c:pt>
                <c:pt idx="83">
                  <c:v>10.872419108063248</c:v>
                </c:pt>
                <c:pt idx="84">
                  <c:v>14.335395282839206</c:v>
                </c:pt>
                <c:pt idx="85">
                  <c:v>7.4233325352805917</c:v>
                </c:pt>
                <c:pt idx="86">
                  <c:v>12.525341263887437</c:v>
                </c:pt>
                <c:pt idx="87">
                  <c:v>15.833383260313317</c:v>
                </c:pt>
                <c:pt idx="88">
                  <c:v>10.708605681709832</c:v>
                </c:pt>
                <c:pt idx="89">
                  <c:v>10.778286855859797</c:v>
                </c:pt>
                <c:pt idx="90">
                  <c:v>9.5736121866236807</c:v>
                </c:pt>
                <c:pt idx="91">
                  <c:v>12.652589124076057</c:v>
                </c:pt>
                <c:pt idx="92">
                  <c:v>5.1177906420223076</c:v>
                </c:pt>
                <c:pt idx="93">
                  <c:v>14.586338425456546</c:v>
                </c:pt>
                <c:pt idx="94">
                  <c:v>14.473227230159523</c:v>
                </c:pt>
                <c:pt idx="95">
                  <c:v>13.694743253505639</c:v>
                </c:pt>
                <c:pt idx="96">
                  <c:v>14.98330207932537</c:v>
                </c:pt>
                <c:pt idx="97">
                  <c:v>14.594883794617553</c:v>
                </c:pt>
                <c:pt idx="98">
                  <c:v>11.567818597055899</c:v>
                </c:pt>
                <c:pt idx="99">
                  <c:v>9.8214310409837005</c:v>
                </c:pt>
                <c:pt idx="100">
                  <c:v>8.772566894855105</c:v>
                </c:pt>
                <c:pt idx="101">
                  <c:v>12.64587122815705</c:v>
                </c:pt>
                <c:pt idx="102">
                  <c:v>11.735471676894599</c:v>
                </c:pt>
                <c:pt idx="103">
                  <c:v>10.673704677169031</c:v>
                </c:pt>
                <c:pt idx="104">
                  <c:v>7.52026855938339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6-49E9-96DF-3F4356D2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4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'Por-Perm-Logs'!$AO$21:$AZ$21</c:f>
              <c:numCache>
                <c:formatCode>0.00</c:formatCode>
                <c:ptCount val="12"/>
                <c:pt idx="0" formatCode="0.0">
                  <c:v>1.1265625245881119</c:v>
                </c:pt>
                <c:pt idx="1">
                  <c:v>1.1920632643371223</c:v>
                </c:pt>
                <c:pt idx="2">
                  <c:v>1.3230647438351431</c:v>
                </c:pt>
                <c:pt idx="3">
                  <c:v>1.4540662233331638</c:v>
                </c:pt>
                <c:pt idx="4">
                  <c:v>1.5850677028311846</c:v>
                </c:pt>
                <c:pt idx="5">
                  <c:v>1.7160691823292054</c:v>
                </c:pt>
                <c:pt idx="6">
                  <c:v>1.8470706618272261</c:v>
                </c:pt>
                <c:pt idx="7">
                  <c:v>1.9780721413252469</c:v>
                </c:pt>
                <c:pt idx="8">
                  <c:v>2.1090736208232674</c:v>
                </c:pt>
                <c:pt idx="9">
                  <c:v>2.2400751003212882</c:v>
                </c:pt>
                <c:pt idx="10">
                  <c:v>2.371076579819309</c:v>
                </c:pt>
                <c:pt idx="11" formatCode="0.0">
                  <c:v>2.4365773195683187</c:v>
                </c:pt>
              </c:numCache>
            </c:numRef>
          </c:xVal>
          <c:yVal>
            <c:numRef>
              <c:f>'Por-Perm-Logs'!$AO$22:$AZ$22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0.11410430839002268</c:v>
                </c:pt>
                <c:pt idx="3">
                  <c:v>2.8752834467120181E-2</c:v>
                </c:pt>
                <c:pt idx="4">
                  <c:v>0.12380952380952379</c:v>
                </c:pt>
                <c:pt idx="5">
                  <c:v>0.21904761904761905</c:v>
                </c:pt>
                <c:pt idx="6">
                  <c:v>0.21904761904761905</c:v>
                </c:pt>
                <c:pt idx="7">
                  <c:v>8.5714285714285743E-2</c:v>
                </c:pt>
                <c:pt idx="8">
                  <c:v>0.12380952380952381</c:v>
                </c:pt>
                <c:pt idx="9">
                  <c:v>4.7619047619047561E-2</c:v>
                </c:pt>
                <c:pt idx="10">
                  <c:v>9.523809523809601E-3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Density</a:t>
                </a:r>
                <a:r>
                  <a:rPr lang="en-US" sz="1200" baseline="0"/>
                  <a:t> (g/cm3)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'Por-Perm-Logs'!$AO$43:$AZ$43</c:f>
              <c:numCache>
                <c:formatCode>0.00</c:formatCode>
                <c:ptCount val="12"/>
                <c:pt idx="0" formatCode="0.0">
                  <c:v>5.1177906420223076</c:v>
                </c:pt>
                <c:pt idx="1">
                  <c:v>5.8775978012888022</c:v>
                </c:pt>
                <c:pt idx="2">
                  <c:v>7.3972121198217931</c:v>
                </c:pt>
                <c:pt idx="3">
                  <c:v>8.9168264383547839</c:v>
                </c:pt>
                <c:pt idx="4">
                  <c:v>10.436440756887775</c:v>
                </c:pt>
                <c:pt idx="5">
                  <c:v>11.956055075420766</c:v>
                </c:pt>
                <c:pt idx="6">
                  <c:v>13.475669393953757</c:v>
                </c:pt>
                <c:pt idx="7">
                  <c:v>14.995283712486748</c:v>
                </c:pt>
                <c:pt idx="8">
                  <c:v>16.51489803101974</c:v>
                </c:pt>
                <c:pt idx="9">
                  <c:v>18.034512349552728</c:v>
                </c:pt>
                <c:pt idx="10">
                  <c:v>19.554126668085722</c:v>
                </c:pt>
                <c:pt idx="11" formatCode="0.0">
                  <c:v>20.313933827352209</c:v>
                </c:pt>
              </c:numCache>
            </c:numRef>
          </c:xVal>
          <c:yVal>
            <c:numRef>
              <c:f>'Por-Perm-Logs'!$AO$44:$AZ$44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7.6190476190476197E-2</c:v>
                </c:pt>
                <c:pt idx="2">
                  <c:v>3.8095238095238085E-2</c:v>
                </c:pt>
                <c:pt idx="3">
                  <c:v>0.11428571428571428</c:v>
                </c:pt>
                <c:pt idx="4">
                  <c:v>0.15238095238095237</c:v>
                </c:pt>
                <c:pt idx="5">
                  <c:v>0.12380952380952381</c:v>
                </c:pt>
                <c:pt idx="6">
                  <c:v>0.17142857142857149</c:v>
                </c:pt>
                <c:pt idx="7">
                  <c:v>0.15238095238095239</c:v>
                </c:pt>
                <c:pt idx="8">
                  <c:v>0.10476190476190472</c:v>
                </c:pt>
                <c:pt idx="9">
                  <c:v>4.7619047619047561E-2</c:v>
                </c:pt>
                <c:pt idx="10">
                  <c:v>9.523809523809601E-3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Porosity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'Por-Perm-Logs'!$AO$21:$AZ$21</c:f>
              <c:numCache>
                <c:formatCode>0.00</c:formatCode>
                <c:ptCount val="12"/>
                <c:pt idx="0" formatCode="0.0">
                  <c:v>1.1265625245881119</c:v>
                </c:pt>
                <c:pt idx="1">
                  <c:v>1.1920632643371223</c:v>
                </c:pt>
                <c:pt idx="2">
                  <c:v>1.3230647438351431</c:v>
                </c:pt>
                <c:pt idx="3">
                  <c:v>1.4540662233331638</c:v>
                </c:pt>
                <c:pt idx="4">
                  <c:v>1.5850677028311846</c:v>
                </c:pt>
                <c:pt idx="5">
                  <c:v>1.7160691823292054</c:v>
                </c:pt>
                <c:pt idx="6">
                  <c:v>1.8470706618272261</c:v>
                </c:pt>
                <c:pt idx="7">
                  <c:v>1.9780721413252469</c:v>
                </c:pt>
                <c:pt idx="8">
                  <c:v>2.1090736208232674</c:v>
                </c:pt>
                <c:pt idx="9">
                  <c:v>2.2400751003212882</c:v>
                </c:pt>
                <c:pt idx="10">
                  <c:v>2.371076579819309</c:v>
                </c:pt>
                <c:pt idx="11" formatCode="0.0">
                  <c:v>2.4365773195683187</c:v>
                </c:pt>
              </c:numCache>
            </c:numRef>
          </c:xVal>
          <c:yVal>
            <c:numRef>
              <c:f>'Por-Perm-Logs'!$AO$23:$AZ$23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1.9047619047619049E-2</c:v>
                </c:pt>
                <c:pt idx="2">
                  <c:v>0.13315192743764173</c:v>
                </c:pt>
                <c:pt idx="3">
                  <c:v>0.16190476190476191</c:v>
                </c:pt>
                <c:pt idx="4">
                  <c:v>0.2857142857142857</c:v>
                </c:pt>
                <c:pt idx="5">
                  <c:v>0.50476190476190474</c:v>
                </c:pt>
                <c:pt idx="6">
                  <c:v>0.72380952380952379</c:v>
                </c:pt>
                <c:pt idx="7">
                  <c:v>0.80952380952380953</c:v>
                </c:pt>
                <c:pt idx="8">
                  <c:v>0.93333333333333335</c:v>
                </c:pt>
                <c:pt idx="9">
                  <c:v>0.98095238095238091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Density (g/cm3)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'Por-Perm-Logs'!$AO$43:$AZ$43</c:f>
              <c:numCache>
                <c:formatCode>0.00</c:formatCode>
                <c:ptCount val="12"/>
                <c:pt idx="0" formatCode="0.0">
                  <c:v>5.1177906420223076</c:v>
                </c:pt>
                <c:pt idx="1">
                  <c:v>5.8775978012888022</c:v>
                </c:pt>
                <c:pt idx="2">
                  <c:v>7.3972121198217931</c:v>
                </c:pt>
                <c:pt idx="3">
                  <c:v>8.9168264383547839</c:v>
                </c:pt>
                <c:pt idx="4">
                  <c:v>10.436440756887775</c:v>
                </c:pt>
                <c:pt idx="5">
                  <c:v>11.956055075420766</c:v>
                </c:pt>
                <c:pt idx="6">
                  <c:v>13.475669393953757</c:v>
                </c:pt>
                <c:pt idx="7">
                  <c:v>14.995283712486748</c:v>
                </c:pt>
                <c:pt idx="8">
                  <c:v>16.51489803101974</c:v>
                </c:pt>
                <c:pt idx="9">
                  <c:v>18.034512349552728</c:v>
                </c:pt>
                <c:pt idx="10">
                  <c:v>19.554126668085722</c:v>
                </c:pt>
                <c:pt idx="11" formatCode="0.0">
                  <c:v>20.313933827352209</c:v>
                </c:pt>
              </c:numCache>
            </c:numRef>
          </c:xVal>
          <c:yVal>
            <c:numRef>
              <c:f>'Por-Perm-Logs'!$AO$45:$AZ$45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7.6190476190476197E-2</c:v>
                </c:pt>
                <c:pt idx="2">
                  <c:v>0.11428571428571428</c:v>
                </c:pt>
                <c:pt idx="3">
                  <c:v>0.22857142857142856</c:v>
                </c:pt>
                <c:pt idx="4">
                  <c:v>0.38095238095238093</c:v>
                </c:pt>
                <c:pt idx="5">
                  <c:v>0.50476190476190474</c:v>
                </c:pt>
                <c:pt idx="6">
                  <c:v>0.67619047619047623</c:v>
                </c:pt>
                <c:pt idx="7">
                  <c:v>0.82857142857142863</c:v>
                </c:pt>
                <c:pt idx="8">
                  <c:v>0.93333333333333335</c:v>
                </c:pt>
                <c:pt idx="9">
                  <c:v>0.98095238095238091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vs.</a:t>
            </a:r>
            <a:r>
              <a:rPr lang="en-US" baseline="0"/>
              <a:t> Density</a:t>
            </a:r>
            <a:endParaRPr lang="en-US"/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1.5979991903158497</c:v>
                </c:pt>
                <c:pt idx="1">
                  <c:v>1.285322364730755</c:v>
                </c:pt>
                <c:pt idx="2">
                  <c:v>1.6933890357357637</c:v>
                </c:pt>
                <c:pt idx="3">
                  <c:v>1.6414554282554685</c:v>
                </c:pt>
                <c:pt idx="4">
                  <c:v>1.9062983250662311</c:v>
                </c:pt>
                <c:pt idx="5">
                  <c:v>1.2763731797302491</c:v>
                </c:pt>
                <c:pt idx="6">
                  <c:v>1.295609105466097</c:v>
                </c:pt>
                <c:pt idx="7">
                  <c:v>1.8053758332333536</c:v>
                </c:pt>
                <c:pt idx="8">
                  <c:v>1.6807914569467883</c:v>
                </c:pt>
                <c:pt idx="9">
                  <c:v>1.9231434211088714</c:v>
                </c:pt>
                <c:pt idx="10">
                  <c:v>1.6825766652290133</c:v>
                </c:pt>
                <c:pt idx="11">
                  <c:v>1.2595008198725486</c:v>
                </c:pt>
                <c:pt idx="12">
                  <c:v>1.7921018024254465</c:v>
                </c:pt>
                <c:pt idx="13">
                  <c:v>2.0954736339433762</c:v>
                </c:pt>
                <c:pt idx="14">
                  <c:v>1.5816937459374756</c:v>
                </c:pt>
                <c:pt idx="15">
                  <c:v>1.9943237176977149</c:v>
                </c:pt>
                <c:pt idx="16">
                  <c:v>1.9727916035953605</c:v>
                </c:pt>
                <c:pt idx="17">
                  <c:v>1.3365477301766193</c:v>
                </c:pt>
                <c:pt idx="18">
                  <c:v>2.1327793539775621</c:v>
                </c:pt>
                <c:pt idx="19">
                  <c:v>1.3867508081791491</c:v>
                </c:pt>
                <c:pt idx="20">
                  <c:v>2.1157146912486371</c:v>
                </c:pt>
                <c:pt idx="21">
                  <c:v>1.6280129346718437</c:v>
                </c:pt>
                <c:pt idx="22">
                  <c:v>1.6727000898129889</c:v>
                </c:pt>
                <c:pt idx="23">
                  <c:v>1.8284553203785952</c:v>
                </c:pt>
                <c:pt idx="24">
                  <c:v>2.2661323640702191</c:v>
                </c:pt>
                <c:pt idx="25">
                  <c:v>2.0454417980513138</c:v>
                </c:pt>
                <c:pt idx="26">
                  <c:v>1.6612068148547219</c:v>
                </c:pt>
                <c:pt idx="27">
                  <c:v>1.8233512845272424</c:v>
                </c:pt>
                <c:pt idx="28">
                  <c:v>1.8393883544966561</c:v>
                </c:pt>
                <c:pt idx="29">
                  <c:v>1.940589979289719</c:v>
                </c:pt>
                <c:pt idx="30">
                  <c:v>1.7175099949059458</c:v>
                </c:pt>
                <c:pt idx="31">
                  <c:v>1.448188888588563</c:v>
                </c:pt>
                <c:pt idx="32">
                  <c:v>2.0660651401048895</c:v>
                </c:pt>
                <c:pt idx="33">
                  <c:v>2.0910680446009082</c:v>
                </c:pt>
                <c:pt idx="34">
                  <c:v>1.7953237763596761</c:v>
                </c:pt>
                <c:pt idx="35">
                  <c:v>1.3481591385353944</c:v>
                </c:pt>
                <c:pt idx="36">
                  <c:v>1.3304614863705813</c:v>
                </c:pt>
                <c:pt idx="37">
                  <c:v>1.8693834433366729</c:v>
                </c:pt>
                <c:pt idx="38">
                  <c:v>1.717703848742274</c:v>
                </c:pt>
                <c:pt idx="39">
                  <c:v>1.8801272749749722</c:v>
                </c:pt>
                <c:pt idx="40">
                  <c:v>1.6797817206348427</c:v>
                </c:pt>
                <c:pt idx="41">
                  <c:v>1.7194988780336247</c:v>
                </c:pt>
                <c:pt idx="42">
                  <c:v>1.6516669765154515</c:v>
                </c:pt>
                <c:pt idx="43">
                  <c:v>1.6814196839160036</c:v>
                </c:pt>
                <c:pt idx="44">
                  <c:v>1.7957351523655813</c:v>
                </c:pt>
                <c:pt idx="45">
                  <c:v>1.8965707767628803</c:v>
                </c:pt>
                <c:pt idx="46">
                  <c:v>1.6420427075259778</c:v>
                </c:pt>
                <c:pt idx="47">
                  <c:v>1.4354140724658464</c:v>
                </c:pt>
                <c:pt idx="48">
                  <c:v>1.7885468381020202</c:v>
                </c:pt>
                <c:pt idx="49">
                  <c:v>1.4898012786862311</c:v>
                </c:pt>
                <c:pt idx="50">
                  <c:v>1.9180410869899671</c:v>
                </c:pt>
                <c:pt idx="51">
                  <c:v>1.771884232551624</c:v>
                </c:pt>
                <c:pt idx="52">
                  <c:v>1.1265625245881119</c:v>
                </c:pt>
                <c:pt idx="53">
                  <c:v>2.1388730479819089</c:v>
                </c:pt>
                <c:pt idx="54">
                  <c:v>2.1588785754519559</c:v>
                </c:pt>
                <c:pt idx="55">
                  <c:v>1.5858211014566521</c:v>
                </c:pt>
                <c:pt idx="56">
                  <c:v>1.7505455845907303</c:v>
                </c:pt>
                <c:pt idx="57">
                  <c:v>1.4084475638494305</c:v>
                </c:pt>
                <c:pt idx="58">
                  <c:v>2.0922514366280978</c:v>
                </c:pt>
                <c:pt idx="59">
                  <c:v>1.8229120261212133</c:v>
                </c:pt>
                <c:pt idx="60">
                  <c:v>2.0406201076407084</c:v>
                </c:pt>
                <c:pt idx="61">
                  <c:v>1.9067451343621895</c:v>
                </c:pt>
                <c:pt idx="62">
                  <c:v>1.2342015092447864</c:v>
                </c:pt>
                <c:pt idx="63">
                  <c:v>2.0577826294947101</c:v>
                </c:pt>
                <c:pt idx="64">
                  <c:v>2.04578192599344</c:v>
                </c:pt>
                <c:pt idx="65">
                  <c:v>1.8553575608808901</c:v>
                </c:pt>
                <c:pt idx="66">
                  <c:v>2.4116607319984364</c:v>
                </c:pt>
                <c:pt idx="67">
                  <c:v>1.331138419338441</c:v>
                </c:pt>
                <c:pt idx="68">
                  <c:v>1.7668641319393765</c:v>
                </c:pt>
                <c:pt idx="69">
                  <c:v>1.834057404491249</c:v>
                </c:pt>
                <c:pt idx="70">
                  <c:v>1.7060373713360941</c:v>
                </c:pt>
                <c:pt idx="71">
                  <c:v>1.9327513870023509</c:v>
                </c:pt>
                <c:pt idx="72">
                  <c:v>1.5583400839039994</c:v>
                </c:pt>
                <c:pt idx="73">
                  <c:v>1.7705552520488916</c:v>
                </c:pt>
                <c:pt idx="74">
                  <c:v>1.8811333690038294</c:v>
                </c:pt>
                <c:pt idx="75">
                  <c:v>1.7617762536018899</c:v>
                </c:pt>
                <c:pt idx="76">
                  <c:v>1.7285952137501726</c:v>
                </c:pt>
                <c:pt idx="77">
                  <c:v>1.462730102639759</c:v>
                </c:pt>
                <c:pt idx="78">
                  <c:v>1.5912228649645592</c:v>
                </c:pt>
                <c:pt idx="79">
                  <c:v>1.5613601592365087</c:v>
                </c:pt>
                <c:pt idx="80">
                  <c:v>1.6747864124512304</c:v>
                </c:pt>
                <c:pt idx="81">
                  <c:v>2.4365773195683187</c:v>
                </c:pt>
                <c:pt idx="82">
                  <c:v>1.8709036959797043</c:v>
                </c:pt>
                <c:pt idx="83">
                  <c:v>1.9853852326524244</c:v>
                </c:pt>
                <c:pt idx="84">
                  <c:v>1.8732138963769289</c:v>
                </c:pt>
                <c:pt idx="85">
                  <c:v>2.1538524712523266</c:v>
                </c:pt>
                <c:pt idx="86">
                  <c:v>1.8963557156828217</c:v>
                </c:pt>
                <c:pt idx="87">
                  <c:v>1.6459585709254323</c:v>
                </c:pt>
                <c:pt idx="88">
                  <c:v>2.1838003005160664</c:v>
                </c:pt>
                <c:pt idx="89">
                  <c:v>1.8327054113121595</c:v>
                </c:pt>
                <c:pt idx="90">
                  <c:v>1.9383235640511827</c:v>
                </c:pt>
                <c:pt idx="91">
                  <c:v>1.8087871868236738</c:v>
                </c:pt>
                <c:pt idx="92">
                  <c:v>2.2343514088357068</c:v>
                </c:pt>
                <c:pt idx="93">
                  <c:v>1.7010119653830773</c:v>
                </c:pt>
                <c:pt idx="94">
                  <c:v>1.7447265516273374</c:v>
                </c:pt>
                <c:pt idx="95">
                  <c:v>1.6633238814166216</c:v>
                </c:pt>
                <c:pt idx="96">
                  <c:v>1.3281117076833961</c:v>
                </c:pt>
                <c:pt idx="97">
                  <c:v>1.597390053457681</c:v>
                </c:pt>
                <c:pt idx="98">
                  <c:v>1.5597348748116353</c:v>
                </c:pt>
                <c:pt idx="99">
                  <c:v>1.8499300095868212</c:v>
                </c:pt>
                <c:pt idx="100">
                  <c:v>2.1116015711060525</c:v>
                </c:pt>
                <c:pt idx="101">
                  <c:v>1.5836555343992738</c:v>
                </c:pt>
                <c:pt idx="102">
                  <c:v>1.7065769384671781</c:v>
                </c:pt>
                <c:pt idx="103">
                  <c:v>2.2032985611889813</c:v>
                </c:pt>
                <c:pt idx="104">
                  <c:v>2.2675336512482356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17.973923801356698</c:v>
                </c:pt>
                <c:pt idx="1">
                  <c:v>17.171003313023743</c:v>
                </c:pt>
                <c:pt idx="2">
                  <c:v>14.272555315952662</c:v>
                </c:pt>
                <c:pt idx="3">
                  <c:v>13.554495772632084</c:v>
                </c:pt>
                <c:pt idx="4">
                  <c:v>9.8249663920054875</c:v>
                </c:pt>
                <c:pt idx="5">
                  <c:v>17.748032000879689</c:v>
                </c:pt>
                <c:pt idx="6">
                  <c:v>17.048517086124317</c:v>
                </c:pt>
                <c:pt idx="7">
                  <c:v>8.7805046858185989</c:v>
                </c:pt>
                <c:pt idx="8">
                  <c:v>14.39371715266358</c:v>
                </c:pt>
                <c:pt idx="9">
                  <c:v>8.3684506017091849</c:v>
                </c:pt>
                <c:pt idx="10">
                  <c:v>14.79519491883064</c:v>
                </c:pt>
                <c:pt idx="11">
                  <c:v>17.204187397479537</c:v>
                </c:pt>
                <c:pt idx="12">
                  <c:v>13.439741936017521</c:v>
                </c:pt>
                <c:pt idx="13">
                  <c:v>11.805131840082071</c:v>
                </c:pt>
                <c:pt idx="14">
                  <c:v>15.934828608336179</c:v>
                </c:pt>
                <c:pt idx="15">
                  <c:v>9.6841960369631224</c:v>
                </c:pt>
                <c:pt idx="16">
                  <c:v>5.1315048294125685</c:v>
                </c:pt>
                <c:pt idx="17">
                  <c:v>14.232853528829112</c:v>
                </c:pt>
                <c:pt idx="18">
                  <c:v>5.6445240389542244</c:v>
                </c:pt>
                <c:pt idx="19">
                  <c:v>14.278404280003539</c:v>
                </c:pt>
                <c:pt idx="20">
                  <c:v>9.704877470187931</c:v>
                </c:pt>
                <c:pt idx="21">
                  <c:v>16.681348365654539</c:v>
                </c:pt>
                <c:pt idx="22">
                  <c:v>10.759085852736021</c:v>
                </c:pt>
                <c:pt idx="23">
                  <c:v>11.135447394109342</c:v>
                </c:pt>
                <c:pt idx="24">
                  <c:v>9.9154052225058091</c:v>
                </c:pt>
                <c:pt idx="25">
                  <c:v>9.0809914546928674</c:v>
                </c:pt>
                <c:pt idx="26">
                  <c:v>12.124996691927475</c:v>
                </c:pt>
                <c:pt idx="27">
                  <c:v>16.741239380647169</c:v>
                </c:pt>
                <c:pt idx="28">
                  <c:v>10.091324517230873</c:v>
                </c:pt>
                <c:pt idx="29">
                  <c:v>6.3205971308324544</c:v>
                </c:pt>
                <c:pt idx="30">
                  <c:v>14.649221086811741</c:v>
                </c:pt>
                <c:pt idx="31">
                  <c:v>18.762580290843438</c:v>
                </c:pt>
                <c:pt idx="32">
                  <c:v>9.3202549250591922</c:v>
                </c:pt>
                <c:pt idx="33">
                  <c:v>9.3217973400768965</c:v>
                </c:pt>
                <c:pt idx="34">
                  <c:v>14.662341505765276</c:v>
                </c:pt>
                <c:pt idx="35">
                  <c:v>15.987293797097708</c:v>
                </c:pt>
                <c:pt idx="36">
                  <c:v>20.313933827352209</c:v>
                </c:pt>
                <c:pt idx="37">
                  <c:v>8.614872584878432</c:v>
                </c:pt>
                <c:pt idx="38">
                  <c:v>13.685421766267098</c:v>
                </c:pt>
                <c:pt idx="39">
                  <c:v>12.912506198790313</c:v>
                </c:pt>
                <c:pt idx="40">
                  <c:v>15.951966439457822</c:v>
                </c:pt>
                <c:pt idx="41">
                  <c:v>13.864037756165001</c:v>
                </c:pt>
                <c:pt idx="42">
                  <c:v>13.002914675628467</c:v>
                </c:pt>
                <c:pt idx="43">
                  <c:v>13.025539219442921</c:v>
                </c:pt>
                <c:pt idx="44">
                  <c:v>12.045031404240664</c:v>
                </c:pt>
                <c:pt idx="45">
                  <c:v>14.240542195343494</c:v>
                </c:pt>
                <c:pt idx="46">
                  <c:v>15.804096338720356</c:v>
                </c:pt>
                <c:pt idx="47">
                  <c:v>12.927542741677206</c:v>
                </c:pt>
                <c:pt idx="48">
                  <c:v>11.455925659936071</c:v>
                </c:pt>
                <c:pt idx="49">
                  <c:v>13.307546357515388</c:v>
                </c:pt>
                <c:pt idx="50">
                  <c:v>6.5409261681131614</c:v>
                </c:pt>
                <c:pt idx="51">
                  <c:v>9.1627420009027567</c:v>
                </c:pt>
                <c:pt idx="52">
                  <c:v>19.973870853858138</c:v>
                </c:pt>
                <c:pt idx="53">
                  <c:v>8.3278043232112022</c:v>
                </c:pt>
                <c:pt idx="54">
                  <c:v>8.9720470725297368</c:v>
                </c:pt>
                <c:pt idx="55">
                  <c:v>14.754719657497374</c:v>
                </c:pt>
                <c:pt idx="56">
                  <c:v>13.347199211981886</c:v>
                </c:pt>
                <c:pt idx="57">
                  <c:v>13.442294998102678</c:v>
                </c:pt>
                <c:pt idx="58">
                  <c:v>6.0996583627447523</c:v>
                </c:pt>
                <c:pt idx="59">
                  <c:v>12.407545753278209</c:v>
                </c:pt>
                <c:pt idx="60">
                  <c:v>8.0171445370494592</c:v>
                </c:pt>
                <c:pt idx="61">
                  <c:v>11.846772541305254</c:v>
                </c:pt>
                <c:pt idx="62">
                  <c:v>15.700399191659137</c:v>
                </c:pt>
                <c:pt idx="63">
                  <c:v>7.0763381212215464</c:v>
                </c:pt>
                <c:pt idx="64">
                  <c:v>10.545683822232499</c:v>
                </c:pt>
                <c:pt idx="65">
                  <c:v>13.41111949076431</c:v>
                </c:pt>
                <c:pt idx="66">
                  <c:v>5.3509011515380385</c:v>
                </c:pt>
                <c:pt idx="67">
                  <c:v>17.456153343654218</c:v>
                </c:pt>
                <c:pt idx="68">
                  <c:v>11.105900112164077</c:v>
                </c:pt>
                <c:pt idx="69">
                  <c:v>12.970844278964904</c:v>
                </c:pt>
                <c:pt idx="70">
                  <c:v>11.18305489795064</c:v>
                </c:pt>
                <c:pt idx="71">
                  <c:v>12.720136218657517</c:v>
                </c:pt>
                <c:pt idx="72">
                  <c:v>15.340513100678317</c:v>
                </c:pt>
                <c:pt idx="73">
                  <c:v>13.230022735371564</c:v>
                </c:pt>
                <c:pt idx="74">
                  <c:v>12.578514296485141</c:v>
                </c:pt>
                <c:pt idx="75">
                  <c:v>14.78416292527913</c:v>
                </c:pt>
                <c:pt idx="76">
                  <c:v>10.086017116248739</c:v>
                </c:pt>
                <c:pt idx="77">
                  <c:v>17.333777273357981</c:v>
                </c:pt>
                <c:pt idx="78">
                  <c:v>15.951776110826309</c:v>
                </c:pt>
                <c:pt idx="79">
                  <c:v>12.555533352082159</c:v>
                </c:pt>
                <c:pt idx="80">
                  <c:v>9.3965116732910445</c:v>
                </c:pt>
                <c:pt idx="81">
                  <c:v>6.4966609426118733</c:v>
                </c:pt>
                <c:pt idx="82">
                  <c:v>12.844197397832124</c:v>
                </c:pt>
                <c:pt idx="83">
                  <c:v>10.872419108063248</c:v>
                </c:pt>
                <c:pt idx="84">
                  <c:v>14.335395282839206</c:v>
                </c:pt>
                <c:pt idx="85">
                  <c:v>7.4233325352805917</c:v>
                </c:pt>
                <c:pt idx="86">
                  <c:v>12.525341263887437</c:v>
                </c:pt>
                <c:pt idx="87">
                  <c:v>15.833383260313317</c:v>
                </c:pt>
                <c:pt idx="88">
                  <c:v>10.708605681709832</c:v>
                </c:pt>
                <c:pt idx="89">
                  <c:v>10.778286855859797</c:v>
                </c:pt>
                <c:pt idx="90">
                  <c:v>9.5736121866236807</c:v>
                </c:pt>
                <c:pt idx="91">
                  <c:v>12.652589124076057</c:v>
                </c:pt>
                <c:pt idx="92">
                  <c:v>5.1177906420223076</c:v>
                </c:pt>
                <c:pt idx="93">
                  <c:v>14.586338425456546</c:v>
                </c:pt>
                <c:pt idx="94">
                  <c:v>14.473227230159523</c:v>
                </c:pt>
                <c:pt idx="95">
                  <c:v>13.694743253505639</c:v>
                </c:pt>
                <c:pt idx="96">
                  <c:v>14.98330207932537</c:v>
                </c:pt>
                <c:pt idx="97">
                  <c:v>14.594883794617553</c:v>
                </c:pt>
                <c:pt idx="98">
                  <c:v>11.567818597055899</c:v>
                </c:pt>
                <c:pt idx="99">
                  <c:v>9.8214310409837005</c:v>
                </c:pt>
                <c:pt idx="100">
                  <c:v>8.772566894855105</c:v>
                </c:pt>
                <c:pt idx="101">
                  <c:v>12.64587122815705</c:v>
                </c:pt>
                <c:pt idx="102">
                  <c:v>11.735471676894599</c:v>
                </c:pt>
                <c:pt idx="103">
                  <c:v>10.673704677169031</c:v>
                </c:pt>
                <c:pt idx="104">
                  <c:v>7.52026855938339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3-4B0D-98BF-8171CD6E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Well-based</a:t>
            </a:r>
            <a:r>
              <a:rPr lang="en-US" sz="1100" baseline="0"/>
              <a:t> Permeability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Actual (black), Predicted from Porosity (Red)</a:t>
            </a:r>
            <a:endParaRPr lang="en-US" sz="1100"/>
          </a:p>
        </c:rich>
      </c:tx>
      <c:layout>
        <c:manualLayout>
          <c:xMode val="edge"/>
          <c:yMode val="edge"/>
          <c:x val="0.19966871934659122"/>
          <c:y val="2.26138117703951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0.10545243380198407"/>
          <c:w val="0.61851909641591718"/>
          <c:h val="0.80957864405653146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'Por-Perm-Logs'!$V$20:$V$124</c:f>
              <c:numCache>
                <c:formatCode>0.00</c:formatCode>
                <c:ptCount val="105"/>
                <c:pt idx="0">
                  <c:v>14.090408064956101</c:v>
                </c:pt>
                <c:pt idx="1">
                  <c:v>17.235574257514877</c:v>
                </c:pt>
                <c:pt idx="2">
                  <c:v>13.130896862401464</c:v>
                </c:pt>
                <c:pt idx="3">
                  <c:v>13.653288716031785</c:v>
                </c:pt>
                <c:pt idx="4">
                  <c:v>10.98927636452526</c:v>
                </c:pt>
                <c:pt idx="5">
                  <c:v>17.325592678489556</c:v>
                </c:pt>
                <c:pt idx="6">
                  <c:v>17.13210157727427</c:v>
                </c:pt>
                <c:pt idx="7">
                  <c:v>12.004439572695834</c:v>
                </c:pt>
                <c:pt idx="8">
                  <c:v>13.257613893128124</c:v>
                </c:pt>
                <c:pt idx="9">
                  <c:v>10.8198342369081</c:v>
                </c:pt>
                <c:pt idx="10">
                  <c:v>13.239656768466187</c:v>
                </c:pt>
                <c:pt idx="11">
                  <c:v>17.495309048463014</c:v>
                </c:pt>
                <c:pt idx="12">
                  <c:v>12.137960926118463</c:v>
                </c:pt>
                <c:pt idx="13">
                  <c:v>9.086392181043184</c:v>
                </c:pt>
                <c:pt idx="14">
                  <c:v>14.254421922770943</c:v>
                </c:pt>
                <c:pt idx="15">
                  <c:v>10.103843015017528</c:v>
                </c:pt>
                <c:pt idx="16">
                  <c:v>10.320431107858493</c:v>
                </c:pt>
                <c:pt idx="17">
                  <c:v>16.720306497263316</c:v>
                </c:pt>
                <c:pt idx="18">
                  <c:v>8.7111399082819183</c:v>
                </c:pt>
                <c:pt idx="19">
                  <c:v>16.21532176294383</c:v>
                </c:pt>
                <c:pt idx="20">
                  <c:v>8.8827906220884216</c:v>
                </c:pt>
                <c:pt idx="21">
                  <c:v>13.788504609578709</c:v>
                </c:pt>
                <c:pt idx="22">
                  <c:v>13.339003661343874</c:v>
                </c:pt>
                <c:pt idx="23">
                  <c:v>11.772286701836354</c:v>
                </c:pt>
                <c:pt idx="24">
                  <c:v>7.369763302470016</c:v>
                </c:pt>
                <c:pt idx="25">
                  <c:v>9.5896544183545274</c:v>
                </c:pt>
                <c:pt idx="26">
                  <c:v>13.454612676412008</c:v>
                </c:pt>
                <c:pt idx="27">
                  <c:v>11.823627382346473</c:v>
                </c:pt>
                <c:pt idx="28">
                  <c:v>11.662313059799175</c:v>
                </c:pt>
                <c:pt idx="29">
                  <c:v>10.644342097814544</c:v>
                </c:pt>
                <c:pt idx="30">
                  <c:v>12.888267990971077</c:v>
                </c:pt>
                <c:pt idx="31">
                  <c:v>15.597325935853641</c:v>
                </c:pt>
                <c:pt idx="32">
                  <c:v>9.3822075182425451</c:v>
                </c:pt>
                <c:pt idx="33">
                  <c:v>9.1307072997997416</c:v>
                </c:pt>
                <c:pt idx="34">
                  <c:v>12.105551605497141</c:v>
                </c:pt>
                <c:pt idx="35">
                  <c:v>16.603509197208613</c:v>
                </c:pt>
                <c:pt idx="36">
                  <c:v>16.781527050537775</c:v>
                </c:pt>
                <c:pt idx="37">
                  <c:v>11.360597257274041</c:v>
                </c:pt>
                <c:pt idx="38">
                  <c:v>12.886318046228045</c:v>
                </c:pt>
                <c:pt idx="39">
                  <c:v>11.252526772727926</c:v>
                </c:pt>
                <c:pt idx="40">
                  <c:v>13.267770669236452</c:v>
                </c:pt>
                <c:pt idx="41">
                  <c:v>12.868262133605661</c:v>
                </c:pt>
                <c:pt idx="42">
                  <c:v>13.550572384877782</c:v>
                </c:pt>
                <c:pt idx="43">
                  <c:v>13.251294658496224</c:v>
                </c:pt>
                <c:pt idx="44">
                  <c:v>12.101413640031417</c:v>
                </c:pt>
                <c:pt idx="45">
                  <c:v>11.087124217505508</c:v>
                </c:pt>
                <c:pt idx="46">
                  <c:v>13.647381367753766</c:v>
                </c:pt>
                <c:pt idx="47">
                  <c:v>15.725825768580734</c:v>
                </c:pt>
                <c:pt idx="48">
                  <c:v>12.173719743820641</c:v>
                </c:pt>
                <c:pt idx="49">
                  <c:v>15.178753557546266</c:v>
                </c:pt>
                <c:pt idx="50">
                  <c:v>10.871157799963623</c:v>
                </c:pt>
                <c:pt idx="51">
                  <c:v>12.34132622875595</c:v>
                </c:pt>
                <c:pt idx="52">
                  <c:v>18.832514104330567</c:v>
                </c:pt>
                <c:pt idx="53">
                  <c:v>8.6498444146539342</c:v>
                </c:pt>
                <c:pt idx="54">
                  <c:v>8.4486120126511359</c:v>
                </c:pt>
                <c:pt idx="55">
                  <c:v>14.212905513554194</c:v>
                </c:pt>
                <c:pt idx="56">
                  <c:v>12.555968276614564</c:v>
                </c:pt>
                <c:pt idx="57">
                  <c:v>15.997077566896737</c:v>
                </c:pt>
                <c:pt idx="58">
                  <c:v>9.1188037486187561</c:v>
                </c:pt>
                <c:pt idx="59">
                  <c:v>11.828045812416736</c:v>
                </c:pt>
                <c:pt idx="60">
                  <c:v>9.6381550312222792</c:v>
                </c:pt>
                <c:pt idx="61">
                  <c:v>10.984781981260561</c:v>
                </c:pt>
                <c:pt idx="62">
                  <c:v>17.749790768790653</c:v>
                </c:pt>
                <c:pt idx="63">
                  <c:v>9.465519968123985</c:v>
                </c:pt>
                <c:pt idx="64">
                  <c:v>9.586233125770022</c:v>
                </c:pt>
                <c:pt idx="65">
                  <c:v>11.501681366204032</c:v>
                </c:pt>
                <c:pt idx="66">
                  <c:v>5.9059167189901096</c:v>
                </c:pt>
                <c:pt idx="67">
                  <c:v>16.774717890053438</c:v>
                </c:pt>
                <c:pt idx="68">
                  <c:v>12.39182261811688</c:v>
                </c:pt>
                <c:pt idx="69">
                  <c:v>11.715936233502095</c:v>
                </c:pt>
                <c:pt idx="70">
                  <c:v>13.003669277025232</c:v>
                </c:pt>
                <c:pt idx="71">
                  <c:v>10.72318924426791</c:v>
                </c:pt>
                <c:pt idx="72">
                  <c:v>14.489332674991509</c:v>
                </c:pt>
                <c:pt idx="73">
                  <c:v>12.354694231133298</c:v>
                </c:pt>
                <c:pt idx="74">
                  <c:v>11.242406633762794</c:v>
                </c:pt>
                <c:pt idx="75">
                  <c:v>12.44300077277855</c:v>
                </c:pt>
                <c:pt idx="76">
                  <c:v>12.776763547107233</c:v>
                </c:pt>
                <c:pt idx="77">
                  <c:v>15.451058188805224</c:v>
                </c:pt>
                <c:pt idx="78">
                  <c:v>14.158570038152472</c:v>
                </c:pt>
                <c:pt idx="79">
                  <c:v>14.458954220121964</c:v>
                </c:pt>
                <c:pt idx="80">
                  <c:v>13.318017675521968</c:v>
                </c:pt>
                <c:pt idx="81">
                  <c:v>5.6552847487055153</c:v>
                </c:pt>
                <c:pt idx="82">
                  <c:v>11.345305279021215</c:v>
                </c:pt>
                <c:pt idx="83">
                  <c:v>10.193753806853582</c:v>
                </c:pt>
                <c:pt idx="84">
                  <c:v>11.322067342619018</c:v>
                </c:pt>
                <c:pt idx="85">
                  <c:v>8.4991687911375884</c:v>
                </c:pt>
                <c:pt idx="86">
                  <c:v>11.089287482522256</c:v>
                </c:pt>
                <c:pt idx="87">
                  <c:v>13.607992323952402</c:v>
                </c:pt>
                <c:pt idx="88">
                  <c:v>8.1979283651335706</c:v>
                </c:pt>
                <c:pt idx="89">
                  <c:v>11.729535716711268</c:v>
                </c:pt>
                <c:pt idx="90">
                  <c:v>10.667139606306595</c:v>
                </c:pt>
                <c:pt idx="91">
                  <c:v>11.970125312395083</c:v>
                </c:pt>
                <c:pt idx="92">
                  <c:v>7.6894428495031839</c:v>
                </c:pt>
                <c:pt idx="93">
                  <c:v>13.054219031960653</c:v>
                </c:pt>
                <c:pt idx="94">
                  <c:v>12.614500998748998</c:v>
                </c:pt>
                <c:pt idx="95">
                  <c:v>13.433317442377877</c:v>
                </c:pt>
                <c:pt idx="96">
                  <c:v>16.805163098630242</c:v>
                </c:pt>
                <c:pt idx="97">
                  <c:v>14.09653527521343</c:v>
                </c:pt>
                <c:pt idx="98">
                  <c:v>14.475302696274102</c:v>
                </c:pt>
                <c:pt idx="99">
                  <c:v>11.556276236823372</c:v>
                </c:pt>
                <c:pt idx="100">
                  <c:v>8.924163839928223</c:v>
                </c:pt>
                <c:pt idx="101">
                  <c:v>14.234688606317274</c:v>
                </c:pt>
                <c:pt idx="102">
                  <c:v>12.998241857528676</c:v>
                </c:pt>
                <c:pt idx="103">
                  <c:v>8.0017984787328267</c:v>
                </c:pt>
                <c:pt idx="104">
                  <c:v>7.3556679788075847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6-4B68-9EC1-9C22EB4FEFBC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'Por-Perm-Logs'!$O$20:$O$124</c:f>
              <c:numCache>
                <c:formatCode>0.0</c:formatCode>
                <c:ptCount val="105"/>
                <c:pt idx="0">
                  <c:v>17.973923801356698</c:v>
                </c:pt>
                <c:pt idx="1">
                  <c:v>17.171003313023743</c:v>
                </c:pt>
                <c:pt idx="2">
                  <c:v>14.272555315952662</c:v>
                </c:pt>
                <c:pt idx="3">
                  <c:v>13.554495772632084</c:v>
                </c:pt>
                <c:pt idx="4">
                  <c:v>9.8249663920054875</c:v>
                </c:pt>
                <c:pt idx="5">
                  <c:v>17.748032000879689</c:v>
                </c:pt>
                <c:pt idx="6">
                  <c:v>17.048517086124317</c:v>
                </c:pt>
                <c:pt idx="7">
                  <c:v>8.7805046858185989</c:v>
                </c:pt>
                <c:pt idx="8">
                  <c:v>14.39371715266358</c:v>
                </c:pt>
                <c:pt idx="9">
                  <c:v>8.3684506017091849</c:v>
                </c:pt>
                <c:pt idx="10">
                  <c:v>14.79519491883064</c:v>
                </c:pt>
                <c:pt idx="11">
                  <c:v>17.204187397479537</c:v>
                </c:pt>
                <c:pt idx="12">
                  <c:v>13.439741936017521</c:v>
                </c:pt>
                <c:pt idx="13">
                  <c:v>11.805131840082071</c:v>
                </c:pt>
                <c:pt idx="14">
                  <c:v>15.934828608336179</c:v>
                </c:pt>
                <c:pt idx="15">
                  <c:v>9.6841960369631224</c:v>
                </c:pt>
                <c:pt idx="16">
                  <c:v>5.1315048294125685</c:v>
                </c:pt>
                <c:pt idx="17">
                  <c:v>14.232853528829112</c:v>
                </c:pt>
                <c:pt idx="18">
                  <c:v>5.6445240389542244</c:v>
                </c:pt>
                <c:pt idx="19">
                  <c:v>14.278404280003539</c:v>
                </c:pt>
                <c:pt idx="20">
                  <c:v>9.704877470187931</c:v>
                </c:pt>
                <c:pt idx="21">
                  <c:v>16.681348365654539</c:v>
                </c:pt>
                <c:pt idx="22">
                  <c:v>10.759085852736021</c:v>
                </c:pt>
                <c:pt idx="23">
                  <c:v>11.135447394109342</c:v>
                </c:pt>
                <c:pt idx="24">
                  <c:v>9.9154052225058091</c:v>
                </c:pt>
                <c:pt idx="25">
                  <c:v>9.0809914546928674</c:v>
                </c:pt>
                <c:pt idx="26">
                  <c:v>12.124996691927475</c:v>
                </c:pt>
                <c:pt idx="27">
                  <c:v>16.741239380647169</c:v>
                </c:pt>
                <c:pt idx="28">
                  <c:v>10.091324517230873</c:v>
                </c:pt>
                <c:pt idx="29">
                  <c:v>6.3205971308324544</c:v>
                </c:pt>
                <c:pt idx="30">
                  <c:v>14.649221086811741</c:v>
                </c:pt>
                <c:pt idx="31">
                  <c:v>18.762580290843438</c:v>
                </c:pt>
                <c:pt idx="32">
                  <c:v>9.3202549250591922</c:v>
                </c:pt>
                <c:pt idx="33">
                  <c:v>9.3217973400768965</c:v>
                </c:pt>
                <c:pt idx="34">
                  <c:v>14.662341505765276</c:v>
                </c:pt>
                <c:pt idx="35">
                  <c:v>15.987293797097708</c:v>
                </c:pt>
                <c:pt idx="36">
                  <c:v>20.313933827352209</c:v>
                </c:pt>
                <c:pt idx="37">
                  <c:v>8.614872584878432</c:v>
                </c:pt>
                <c:pt idx="38">
                  <c:v>13.685421766267098</c:v>
                </c:pt>
                <c:pt idx="39">
                  <c:v>12.912506198790313</c:v>
                </c:pt>
                <c:pt idx="40">
                  <c:v>15.951966439457822</c:v>
                </c:pt>
                <c:pt idx="41">
                  <c:v>13.864037756165001</c:v>
                </c:pt>
                <c:pt idx="42">
                  <c:v>13.002914675628467</c:v>
                </c:pt>
                <c:pt idx="43">
                  <c:v>13.025539219442921</c:v>
                </c:pt>
                <c:pt idx="44">
                  <c:v>12.045031404240664</c:v>
                </c:pt>
                <c:pt idx="45">
                  <c:v>14.240542195343494</c:v>
                </c:pt>
                <c:pt idx="46">
                  <c:v>15.804096338720356</c:v>
                </c:pt>
                <c:pt idx="47">
                  <c:v>12.927542741677206</c:v>
                </c:pt>
                <c:pt idx="48">
                  <c:v>11.455925659936071</c:v>
                </c:pt>
                <c:pt idx="49">
                  <c:v>13.307546357515388</c:v>
                </c:pt>
                <c:pt idx="50">
                  <c:v>6.5409261681131614</c:v>
                </c:pt>
                <c:pt idx="51">
                  <c:v>9.1627420009027567</c:v>
                </c:pt>
                <c:pt idx="52">
                  <c:v>19.973870853858138</c:v>
                </c:pt>
                <c:pt idx="53">
                  <c:v>8.3278043232112022</c:v>
                </c:pt>
                <c:pt idx="54">
                  <c:v>8.9720470725297368</c:v>
                </c:pt>
                <c:pt idx="55">
                  <c:v>14.754719657497374</c:v>
                </c:pt>
                <c:pt idx="56">
                  <c:v>13.347199211981886</c:v>
                </c:pt>
                <c:pt idx="57">
                  <c:v>13.442294998102678</c:v>
                </c:pt>
                <c:pt idx="58">
                  <c:v>6.0996583627447523</c:v>
                </c:pt>
                <c:pt idx="59">
                  <c:v>12.407545753278209</c:v>
                </c:pt>
                <c:pt idx="60">
                  <c:v>8.0171445370494592</c:v>
                </c:pt>
                <c:pt idx="61">
                  <c:v>11.846772541305254</c:v>
                </c:pt>
                <c:pt idx="62">
                  <c:v>15.700399191659137</c:v>
                </c:pt>
                <c:pt idx="63">
                  <c:v>7.0763381212215464</c:v>
                </c:pt>
                <c:pt idx="64">
                  <c:v>10.545683822232499</c:v>
                </c:pt>
                <c:pt idx="65">
                  <c:v>13.41111949076431</c:v>
                </c:pt>
                <c:pt idx="66">
                  <c:v>5.3509011515380385</c:v>
                </c:pt>
                <c:pt idx="67">
                  <c:v>17.456153343654218</c:v>
                </c:pt>
                <c:pt idx="68">
                  <c:v>11.105900112164077</c:v>
                </c:pt>
                <c:pt idx="69">
                  <c:v>12.970844278964904</c:v>
                </c:pt>
                <c:pt idx="70">
                  <c:v>11.18305489795064</c:v>
                </c:pt>
                <c:pt idx="71">
                  <c:v>12.720136218657517</c:v>
                </c:pt>
                <c:pt idx="72">
                  <c:v>15.340513100678317</c:v>
                </c:pt>
                <c:pt idx="73">
                  <c:v>13.230022735371564</c:v>
                </c:pt>
                <c:pt idx="74">
                  <c:v>12.578514296485141</c:v>
                </c:pt>
                <c:pt idx="75">
                  <c:v>14.78416292527913</c:v>
                </c:pt>
                <c:pt idx="76">
                  <c:v>10.086017116248739</c:v>
                </c:pt>
                <c:pt idx="77">
                  <c:v>17.333777273357981</c:v>
                </c:pt>
                <c:pt idx="78">
                  <c:v>15.951776110826309</c:v>
                </c:pt>
                <c:pt idx="79">
                  <c:v>12.555533352082159</c:v>
                </c:pt>
                <c:pt idx="80">
                  <c:v>9.3965116732910445</c:v>
                </c:pt>
                <c:pt idx="81">
                  <c:v>6.4966609426118733</c:v>
                </c:pt>
                <c:pt idx="82">
                  <c:v>12.844197397832124</c:v>
                </c:pt>
                <c:pt idx="83">
                  <c:v>10.872419108063248</c:v>
                </c:pt>
                <c:pt idx="84">
                  <c:v>14.335395282839206</c:v>
                </c:pt>
                <c:pt idx="85">
                  <c:v>7.4233325352805917</c:v>
                </c:pt>
                <c:pt idx="86">
                  <c:v>12.525341263887437</c:v>
                </c:pt>
                <c:pt idx="87">
                  <c:v>15.833383260313317</c:v>
                </c:pt>
                <c:pt idx="88">
                  <c:v>10.708605681709832</c:v>
                </c:pt>
                <c:pt idx="89">
                  <c:v>10.778286855859797</c:v>
                </c:pt>
                <c:pt idx="90">
                  <c:v>9.5736121866236807</c:v>
                </c:pt>
                <c:pt idx="91">
                  <c:v>12.652589124076057</c:v>
                </c:pt>
                <c:pt idx="92">
                  <c:v>5.1177906420223076</c:v>
                </c:pt>
                <c:pt idx="93">
                  <c:v>14.586338425456546</c:v>
                </c:pt>
                <c:pt idx="94">
                  <c:v>14.473227230159523</c:v>
                </c:pt>
                <c:pt idx="95">
                  <c:v>13.694743253505639</c:v>
                </c:pt>
                <c:pt idx="96">
                  <c:v>14.98330207932537</c:v>
                </c:pt>
                <c:pt idx="97">
                  <c:v>14.594883794617553</c:v>
                </c:pt>
                <c:pt idx="98">
                  <c:v>11.567818597055899</c:v>
                </c:pt>
                <c:pt idx="99">
                  <c:v>9.8214310409837005</c:v>
                </c:pt>
                <c:pt idx="100">
                  <c:v>8.772566894855105</c:v>
                </c:pt>
                <c:pt idx="101">
                  <c:v>12.64587122815705</c:v>
                </c:pt>
                <c:pt idx="102">
                  <c:v>11.735471676894599</c:v>
                </c:pt>
                <c:pt idx="103">
                  <c:v>10.673704677169031</c:v>
                </c:pt>
                <c:pt idx="104">
                  <c:v>7.52026855938339</c:v>
                </c:pt>
              </c:numCache>
            </c:numRef>
          </c:xVal>
          <c:yVal>
            <c:numRef>
              <c:f>'Por-Perm-Logs'!$C$20:$C$124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6-4B68-9EC1-9C22EB4F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42409496540205205"/>
              <c:y val="0.952590538596957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vs. Density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'Por-Perm-Logs'!$N$20:$N$124</c:f>
              <c:numCache>
                <c:formatCode>0.00</c:formatCode>
                <c:ptCount val="105"/>
                <c:pt idx="0">
                  <c:v>1.5979991903158497</c:v>
                </c:pt>
                <c:pt idx="1">
                  <c:v>1.285322364730755</c:v>
                </c:pt>
                <c:pt idx="2">
                  <c:v>1.6933890357357637</c:v>
                </c:pt>
                <c:pt idx="3">
                  <c:v>1.6414554282554685</c:v>
                </c:pt>
                <c:pt idx="4">
                  <c:v>1.9062983250662311</c:v>
                </c:pt>
                <c:pt idx="5">
                  <c:v>1.2763731797302491</c:v>
                </c:pt>
                <c:pt idx="6">
                  <c:v>1.295609105466097</c:v>
                </c:pt>
                <c:pt idx="7">
                  <c:v>1.8053758332333536</c:v>
                </c:pt>
                <c:pt idx="8">
                  <c:v>1.6807914569467883</c:v>
                </c:pt>
                <c:pt idx="9">
                  <c:v>1.9231434211088714</c:v>
                </c:pt>
                <c:pt idx="10">
                  <c:v>1.6825766652290133</c:v>
                </c:pt>
                <c:pt idx="11">
                  <c:v>1.2595008198725486</c:v>
                </c:pt>
                <c:pt idx="12">
                  <c:v>1.7921018024254465</c:v>
                </c:pt>
                <c:pt idx="13">
                  <c:v>2.0954736339433762</c:v>
                </c:pt>
                <c:pt idx="14">
                  <c:v>1.5816937459374756</c:v>
                </c:pt>
                <c:pt idx="15">
                  <c:v>1.9943237176977149</c:v>
                </c:pt>
                <c:pt idx="16">
                  <c:v>1.9727916035953605</c:v>
                </c:pt>
                <c:pt idx="17">
                  <c:v>1.3365477301766193</c:v>
                </c:pt>
                <c:pt idx="18">
                  <c:v>2.1327793539775621</c:v>
                </c:pt>
                <c:pt idx="19">
                  <c:v>1.3867508081791491</c:v>
                </c:pt>
                <c:pt idx="20">
                  <c:v>2.1157146912486371</c:v>
                </c:pt>
                <c:pt idx="21">
                  <c:v>1.6280129346718437</c:v>
                </c:pt>
                <c:pt idx="22">
                  <c:v>1.6727000898129889</c:v>
                </c:pt>
                <c:pt idx="23">
                  <c:v>1.8284553203785952</c:v>
                </c:pt>
                <c:pt idx="24">
                  <c:v>2.2661323640702191</c:v>
                </c:pt>
                <c:pt idx="25">
                  <c:v>2.0454417980513138</c:v>
                </c:pt>
                <c:pt idx="26">
                  <c:v>1.6612068148547219</c:v>
                </c:pt>
                <c:pt idx="27">
                  <c:v>1.8233512845272424</c:v>
                </c:pt>
                <c:pt idx="28">
                  <c:v>1.8393883544966561</c:v>
                </c:pt>
                <c:pt idx="29">
                  <c:v>1.940589979289719</c:v>
                </c:pt>
                <c:pt idx="30">
                  <c:v>1.7175099949059458</c:v>
                </c:pt>
                <c:pt idx="31">
                  <c:v>1.448188888588563</c:v>
                </c:pt>
                <c:pt idx="32">
                  <c:v>2.0660651401048895</c:v>
                </c:pt>
                <c:pt idx="33">
                  <c:v>2.0910680446009082</c:v>
                </c:pt>
                <c:pt idx="34">
                  <c:v>1.7953237763596761</c:v>
                </c:pt>
                <c:pt idx="35">
                  <c:v>1.3481591385353944</c:v>
                </c:pt>
                <c:pt idx="36">
                  <c:v>1.3304614863705813</c:v>
                </c:pt>
                <c:pt idx="37">
                  <c:v>1.8693834433366729</c:v>
                </c:pt>
                <c:pt idx="38">
                  <c:v>1.717703848742274</c:v>
                </c:pt>
                <c:pt idx="39">
                  <c:v>1.8801272749749722</c:v>
                </c:pt>
                <c:pt idx="40">
                  <c:v>1.6797817206348427</c:v>
                </c:pt>
                <c:pt idx="41">
                  <c:v>1.7194988780336247</c:v>
                </c:pt>
                <c:pt idx="42">
                  <c:v>1.6516669765154515</c:v>
                </c:pt>
                <c:pt idx="43">
                  <c:v>1.6814196839160036</c:v>
                </c:pt>
                <c:pt idx="44">
                  <c:v>1.7957351523655813</c:v>
                </c:pt>
                <c:pt idx="45">
                  <c:v>1.8965707767628803</c:v>
                </c:pt>
                <c:pt idx="46">
                  <c:v>1.6420427075259778</c:v>
                </c:pt>
                <c:pt idx="47">
                  <c:v>1.4354140724658464</c:v>
                </c:pt>
                <c:pt idx="48">
                  <c:v>1.7885468381020202</c:v>
                </c:pt>
                <c:pt idx="49">
                  <c:v>1.4898012786862311</c:v>
                </c:pt>
                <c:pt idx="50">
                  <c:v>1.9180410869899671</c:v>
                </c:pt>
                <c:pt idx="51">
                  <c:v>1.771884232551624</c:v>
                </c:pt>
                <c:pt idx="52">
                  <c:v>1.1265625245881119</c:v>
                </c:pt>
                <c:pt idx="53">
                  <c:v>2.1388730479819089</c:v>
                </c:pt>
                <c:pt idx="54">
                  <c:v>2.1588785754519559</c:v>
                </c:pt>
                <c:pt idx="55">
                  <c:v>1.5858211014566521</c:v>
                </c:pt>
                <c:pt idx="56">
                  <c:v>1.7505455845907303</c:v>
                </c:pt>
                <c:pt idx="57">
                  <c:v>1.4084475638494305</c:v>
                </c:pt>
                <c:pt idx="58">
                  <c:v>2.0922514366280978</c:v>
                </c:pt>
                <c:pt idx="59">
                  <c:v>1.8229120261212133</c:v>
                </c:pt>
                <c:pt idx="60">
                  <c:v>2.0406201076407084</c:v>
                </c:pt>
                <c:pt idx="61">
                  <c:v>1.9067451343621895</c:v>
                </c:pt>
                <c:pt idx="62">
                  <c:v>1.2342015092447864</c:v>
                </c:pt>
                <c:pt idx="63">
                  <c:v>2.0577826294947101</c:v>
                </c:pt>
                <c:pt idx="64">
                  <c:v>2.04578192599344</c:v>
                </c:pt>
                <c:pt idx="65">
                  <c:v>1.8553575608808901</c:v>
                </c:pt>
                <c:pt idx="66">
                  <c:v>2.4116607319984364</c:v>
                </c:pt>
                <c:pt idx="67">
                  <c:v>1.331138419338441</c:v>
                </c:pt>
                <c:pt idx="68">
                  <c:v>1.7668641319393765</c:v>
                </c:pt>
                <c:pt idx="69">
                  <c:v>1.834057404491249</c:v>
                </c:pt>
                <c:pt idx="70">
                  <c:v>1.7060373713360941</c:v>
                </c:pt>
                <c:pt idx="71">
                  <c:v>1.9327513870023509</c:v>
                </c:pt>
                <c:pt idx="72">
                  <c:v>1.5583400839039994</c:v>
                </c:pt>
                <c:pt idx="73">
                  <c:v>1.7705552520488916</c:v>
                </c:pt>
                <c:pt idx="74">
                  <c:v>1.8811333690038294</c:v>
                </c:pt>
                <c:pt idx="75">
                  <c:v>1.7617762536018899</c:v>
                </c:pt>
                <c:pt idx="76">
                  <c:v>1.7285952137501726</c:v>
                </c:pt>
                <c:pt idx="77">
                  <c:v>1.462730102639759</c:v>
                </c:pt>
                <c:pt idx="78">
                  <c:v>1.5912228649645592</c:v>
                </c:pt>
                <c:pt idx="79">
                  <c:v>1.5613601592365087</c:v>
                </c:pt>
                <c:pt idx="80">
                  <c:v>1.6747864124512304</c:v>
                </c:pt>
                <c:pt idx="81">
                  <c:v>2.4365773195683187</c:v>
                </c:pt>
                <c:pt idx="82">
                  <c:v>1.8709036959797043</c:v>
                </c:pt>
                <c:pt idx="83">
                  <c:v>1.9853852326524244</c:v>
                </c:pt>
                <c:pt idx="84">
                  <c:v>1.8732138963769289</c:v>
                </c:pt>
                <c:pt idx="85">
                  <c:v>2.1538524712523266</c:v>
                </c:pt>
                <c:pt idx="86">
                  <c:v>1.8963557156828217</c:v>
                </c:pt>
                <c:pt idx="87">
                  <c:v>1.6459585709254323</c:v>
                </c:pt>
                <c:pt idx="88">
                  <c:v>2.1838003005160664</c:v>
                </c:pt>
                <c:pt idx="89">
                  <c:v>1.8327054113121595</c:v>
                </c:pt>
                <c:pt idx="90">
                  <c:v>1.9383235640511827</c:v>
                </c:pt>
                <c:pt idx="91">
                  <c:v>1.8087871868236738</c:v>
                </c:pt>
                <c:pt idx="92">
                  <c:v>2.2343514088357068</c:v>
                </c:pt>
                <c:pt idx="93">
                  <c:v>1.7010119653830773</c:v>
                </c:pt>
                <c:pt idx="94">
                  <c:v>1.7447265516273374</c:v>
                </c:pt>
                <c:pt idx="95">
                  <c:v>1.6633238814166216</c:v>
                </c:pt>
                <c:pt idx="96">
                  <c:v>1.3281117076833961</c:v>
                </c:pt>
                <c:pt idx="97">
                  <c:v>1.597390053457681</c:v>
                </c:pt>
                <c:pt idx="98">
                  <c:v>1.5597348748116353</c:v>
                </c:pt>
                <c:pt idx="99">
                  <c:v>1.8499300095868212</c:v>
                </c:pt>
                <c:pt idx="100">
                  <c:v>2.1116015711060525</c:v>
                </c:pt>
                <c:pt idx="101">
                  <c:v>1.5836555343992738</c:v>
                </c:pt>
                <c:pt idx="102">
                  <c:v>1.7065769384671781</c:v>
                </c:pt>
                <c:pt idx="103">
                  <c:v>2.2032985611889813</c:v>
                </c:pt>
                <c:pt idx="104">
                  <c:v>2.2675336512482356</c:v>
                </c:pt>
              </c:numCache>
            </c:numRef>
          </c:xVal>
          <c:yVal>
            <c:numRef>
              <c:f>'Por-Perm-Logs'!$O$20:$O$124</c:f>
              <c:numCache>
                <c:formatCode>0.0</c:formatCode>
                <c:ptCount val="105"/>
                <c:pt idx="0">
                  <c:v>17.973923801356698</c:v>
                </c:pt>
                <c:pt idx="1">
                  <c:v>17.171003313023743</c:v>
                </c:pt>
                <c:pt idx="2">
                  <c:v>14.272555315952662</c:v>
                </c:pt>
                <c:pt idx="3">
                  <c:v>13.554495772632084</c:v>
                </c:pt>
                <c:pt idx="4">
                  <c:v>9.8249663920054875</c:v>
                </c:pt>
                <c:pt idx="5">
                  <c:v>17.748032000879689</c:v>
                </c:pt>
                <c:pt idx="6">
                  <c:v>17.048517086124317</c:v>
                </c:pt>
                <c:pt idx="7">
                  <c:v>8.7805046858185989</c:v>
                </c:pt>
                <c:pt idx="8">
                  <c:v>14.39371715266358</c:v>
                </c:pt>
                <c:pt idx="9">
                  <c:v>8.3684506017091849</c:v>
                </c:pt>
                <c:pt idx="10">
                  <c:v>14.79519491883064</c:v>
                </c:pt>
                <c:pt idx="11">
                  <c:v>17.204187397479537</c:v>
                </c:pt>
                <c:pt idx="12">
                  <c:v>13.439741936017521</c:v>
                </c:pt>
                <c:pt idx="13">
                  <c:v>11.805131840082071</c:v>
                </c:pt>
                <c:pt idx="14">
                  <c:v>15.934828608336179</c:v>
                </c:pt>
                <c:pt idx="15">
                  <c:v>9.6841960369631224</c:v>
                </c:pt>
                <c:pt idx="16">
                  <c:v>5.1315048294125685</c:v>
                </c:pt>
                <c:pt idx="17">
                  <c:v>14.232853528829112</c:v>
                </c:pt>
                <c:pt idx="18">
                  <c:v>5.6445240389542244</c:v>
                </c:pt>
                <c:pt idx="19">
                  <c:v>14.278404280003539</c:v>
                </c:pt>
                <c:pt idx="20">
                  <c:v>9.704877470187931</c:v>
                </c:pt>
                <c:pt idx="21">
                  <c:v>16.681348365654539</c:v>
                </c:pt>
                <c:pt idx="22">
                  <c:v>10.759085852736021</c:v>
                </c:pt>
                <c:pt idx="23">
                  <c:v>11.135447394109342</c:v>
                </c:pt>
                <c:pt idx="24">
                  <c:v>9.9154052225058091</c:v>
                </c:pt>
                <c:pt idx="25">
                  <c:v>9.0809914546928674</c:v>
                </c:pt>
                <c:pt idx="26">
                  <c:v>12.124996691927475</c:v>
                </c:pt>
                <c:pt idx="27">
                  <c:v>16.741239380647169</c:v>
                </c:pt>
                <c:pt idx="28">
                  <c:v>10.091324517230873</c:v>
                </c:pt>
                <c:pt idx="29">
                  <c:v>6.3205971308324544</c:v>
                </c:pt>
                <c:pt idx="30">
                  <c:v>14.649221086811741</c:v>
                </c:pt>
                <c:pt idx="31">
                  <c:v>18.762580290843438</c:v>
                </c:pt>
                <c:pt idx="32">
                  <c:v>9.3202549250591922</c:v>
                </c:pt>
                <c:pt idx="33">
                  <c:v>9.3217973400768965</c:v>
                </c:pt>
                <c:pt idx="34">
                  <c:v>14.662341505765276</c:v>
                </c:pt>
                <c:pt idx="35">
                  <c:v>15.987293797097708</c:v>
                </c:pt>
                <c:pt idx="36">
                  <c:v>20.313933827352209</c:v>
                </c:pt>
                <c:pt idx="37">
                  <c:v>8.614872584878432</c:v>
                </c:pt>
                <c:pt idx="38">
                  <c:v>13.685421766267098</c:v>
                </c:pt>
                <c:pt idx="39">
                  <c:v>12.912506198790313</c:v>
                </c:pt>
                <c:pt idx="40">
                  <c:v>15.951966439457822</c:v>
                </c:pt>
                <c:pt idx="41">
                  <c:v>13.864037756165001</c:v>
                </c:pt>
                <c:pt idx="42">
                  <c:v>13.002914675628467</c:v>
                </c:pt>
                <c:pt idx="43">
                  <c:v>13.025539219442921</c:v>
                </c:pt>
                <c:pt idx="44">
                  <c:v>12.045031404240664</c:v>
                </c:pt>
                <c:pt idx="45">
                  <c:v>14.240542195343494</c:v>
                </c:pt>
                <c:pt idx="46">
                  <c:v>15.804096338720356</c:v>
                </c:pt>
                <c:pt idx="47">
                  <c:v>12.927542741677206</c:v>
                </c:pt>
                <c:pt idx="48">
                  <c:v>11.455925659936071</c:v>
                </c:pt>
                <c:pt idx="49">
                  <c:v>13.307546357515388</c:v>
                </c:pt>
                <c:pt idx="50">
                  <c:v>6.5409261681131614</c:v>
                </c:pt>
                <c:pt idx="51">
                  <c:v>9.1627420009027567</c:v>
                </c:pt>
                <c:pt idx="52">
                  <c:v>19.973870853858138</c:v>
                </c:pt>
                <c:pt idx="53">
                  <c:v>8.3278043232112022</c:v>
                </c:pt>
                <c:pt idx="54">
                  <c:v>8.9720470725297368</c:v>
                </c:pt>
                <c:pt idx="55">
                  <c:v>14.754719657497374</c:v>
                </c:pt>
                <c:pt idx="56">
                  <c:v>13.347199211981886</c:v>
                </c:pt>
                <c:pt idx="57">
                  <c:v>13.442294998102678</c:v>
                </c:pt>
                <c:pt idx="58">
                  <c:v>6.0996583627447523</c:v>
                </c:pt>
                <c:pt idx="59">
                  <c:v>12.407545753278209</c:v>
                </c:pt>
                <c:pt idx="60">
                  <c:v>8.0171445370494592</c:v>
                </c:pt>
                <c:pt idx="61">
                  <c:v>11.846772541305254</c:v>
                </c:pt>
                <c:pt idx="62">
                  <c:v>15.700399191659137</c:v>
                </c:pt>
                <c:pt idx="63">
                  <c:v>7.0763381212215464</c:v>
                </c:pt>
                <c:pt idx="64">
                  <c:v>10.545683822232499</c:v>
                </c:pt>
                <c:pt idx="65">
                  <c:v>13.41111949076431</c:v>
                </c:pt>
                <c:pt idx="66">
                  <c:v>5.3509011515380385</c:v>
                </c:pt>
                <c:pt idx="67">
                  <c:v>17.456153343654218</c:v>
                </c:pt>
                <c:pt idx="68">
                  <c:v>11.105900112164077</c:v>
                </c:pt>
                <c:pt idx="69">
                  <c:v>12.970844278964904</c:v>
                </c:pt>
                <c:pt idx="70">
                  <c:v>11.18305489795064</c:v>
                </c:pt>
                <c:pt idx="71">
                  <c:v>12.720136218657517</c:v>
                </c:pt>
                <c:pt idx="72">
                  <c:v>15.340513100678317</c:v>
                </c:pt>
                <c:pt idx="73">
                  <c:v>13.230022735371564</c:v>
                </c:pt>
                <c:pt idx="74">
                  <c:v>12.578514296485141</c:v>
                </c:pt>
                <c:pt idx="75">
                  <c:v>14.78416292527913</c:v>
                </c:pt>
                <c:pt idx="76">
                  <c:v>10.086017116248739</c:v>
                </c:pt>
                <c:pt idx="77">
                  <c:v>17.333777273357981</c:v>
                </c:pt>
                <c:pt idx="78">
                  <c:v>15.951776110826309</c:v>
                </c:pt>
                <c:pt idx="79">
                  <c:v>12.555533352082159</c:v>
                </c:pt>
                <c:pt idx="80">
                  <c:v>9.3965116732910445</c:v>
                </c:pt>
                <c:pt idx="81">
                  <c:v>6.4966609426118733</c:v>
                </c:pt>
                <c:pt idx="82">
                  <c:v>12.844197397832124</c:v>
                </c:pt>
                <c:pt idx="83">
                  <c:v>10.872419108063248</c:v>
                </c:pt>
                <c:pt idx="84">
                  <c:v>14.335395282839206</c:v>
                </c:pt>
                <c:pt idx="85">
                  <c:v>7.4233325352805917</c:v>
                </c:pt>
                <c:pt idx="86">
                  <c:v>12.525341263887437</c:v>
                </c:pt>
                <c:pt idx="87">
                  <c:v>15.833383260313317</c:v>
                </c:pt>
                <c:pt idx="88">
                  <c:v>10.708605681709832</c:v>
                </c:pt>
                <c:pt idx="89">
                  <c:v>10.778286855859797</c:v>
                </c:pt>
                <c:pt idx="90">
                  <c:v>9.5736121866236807</c:v>
                </c:pt>
                <c:pt idx="91">
                  <c:v>12.652589124076057</c:v>
                </c:pt>
                <c:pt idx="92">
                  <c:v>5.1177906420223076</c:v>
                </c:pt>
                <c:pt idx="93">
                  <c:v>14.586338425456546</c:v>
                </c:pt>
                <c:pt idx="94">
                  <c:v>14.473227230159523</c:v>
                </c:pt>
                <c:pt idx="95">
                  <c:v>13.694743253505639</c:v>
                </c:pt>
                <c:pt idx="96">
                  <c:v>14.98330207932537</c:v>
                </c:pt>
                <c:pt idx="97">
                  <c:v>14.594883794617553</c:v>
                </c:pt>
                <c:pt idx="98">
                  <c:v>11.567818597055899</c:v>
                </c:pt>
                <c:pt idx="99">
                  <c:v>9.8214310409837005</c:v>
                </c:pt>
                <c:pt idx="100">
                  <c:v>8.772566894855105</c:v>
                </c:pt>
                <c:pt idx="101">
                  <c:v>12.64587122815705</c:v>
                </c:pt>
                <c:pt idx="102">
                  <c:v>11.735471676894599</c:v>
                </c:pt>
                <c:pt idx="103">
                  <c:v>10.673704677169031</c:v>
                </c:pt>
                <c:pt idx="104">
                  <c:v>7.52026855938339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2-488D-A9DB-06853C21425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'Por-Perm-Logs'!$AA$98:$AA$99</c:f>
              <c:numCache>
                <c:formatCode>0.0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'Por-Perm-Logs'!$AB$98:$AB$99</c:f>
              <c:numCache>
                <c:formatCode>0.0</c:formatCode>
                <c:ptCount val="2"/>
                <c:pt idx="0">
                  <c:v>30.164426405499526</c:v>
                </c:pt>
                <c:pt idx="1">
                  <c:v>-271.60077669262614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2-488D-A9DB-06853C21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Density (g/cm3)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layout>
        <c:manualLayout>
          <c:xMode val="edge"/>
          <c:yMode val="edge"/>
          <c:x val="0.42342257875351341"/>
          <c:y val="3.4090798095713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'Por-Perm-Logs'!$M$20:$M$124</c:f>
              <c:numCache>
                <c:formatCode>0.0</c:formatCode>
                <c:ptCount val="105"/>
                <c:pt idx="0">
                  <c:v>17.973923801356698</c:v>
                </c:pt>
                <c:pt idx="1">
                  <c:v>17.171003313023743</c:v>
                </c:pt>
                <c:pt idx="2">
                  <c:v>14.272555315952662</c:v>
                </c:pt>
                <c:pt idx="3">
                  <c:v>13.554495772632084</c:v>
                </c:pt>
                <c:pt idx="4">
                  <c:v>9.8249663920054875</c:v>
                </c:pt>
                <c:pt idx="5">
                  <c:v>17.748032000879689</c:v>
                </c:pt>
                <c:pt idx="6">
                  <c:v>17.048517086124317</c:v>
                </c:pt>
                <c:pt idx="7">
                  <c:v>8.7805046858185989</c:v>
                </c:pt>
                <c:pt idx="8">
                  <c:v>14.39371715266358</c:v>
                </c:pt>
                <c:pt idx="9">
                  <c:v>8.3684506017091849</c:v>
                </c:pt>
                <c:pt idx="10">
                  <c:v>14.79519491883064</c:v>
                </c:pt>
                <c:pt idx="11">
                  <c:v>17.204187397479537</c:v>
                </c:pt>
                <c:pt idx="12">
                  <c:v>13.439741936017521</c:v>
                </c:pt>
                <c:pt idx="13">
                  <c:v>11.805131840082071</c:v>
                </c:pt>
                <c:pt idx="14">
                  <c:v>15.934828608336179</c:v>
                </c:pt>
                <c:pt idx="15">
                  <c:v>9.6841960369631224</c:v>
                </c:pt>
                <c:pt idx="16">
                  <c:v>5.1315048294125685</c:v>
                </c:pt>
                <c:pt idx="17">
                  <c:v>14.232853528829112</c:v>
                </c:pt>
                <c:pt idx="18">
                  <c:v>5.6445240389542244</c:v>
                </c:pt>
                <c:pt idx="19">
                  <c:v>14.278404280003539</c:v>
                </c:pt>
                <c:pt idx="20">
                  <c:v>9.704877470187931</c:v>
                </c:pt>
                <c:pt idx="21">
                  <c:v>16.681348365654539</c:v>
                </c:pt>
                <c:pt idx="22">
                  <c:v>10.759085852736021</c:v>
                </c:pt>
                <c:pt idx="23">
                  <c:v>11.135447394109342</c:v>
                </c:pt>
                <c:pt idx="24">
                  <c:v>9.9154052225058091</c:v>
                </c:pt>
                <c:pt idx="25">
                  <c:v>9.0809914546928674</c:v>
                </c:pt>
                <c:pt idx="26">
                  <c:v>12.124996691927475</c:v>
                </c:pt>
                <c:pt idx="27">
                  <c:v>16.741239380647169</c:v>
                </c:pt>
                <c:pt idx="28">
                  <c:v>10.091324517230873</c:v>
                </c:pt>
                <c:pt idx="29">
                  <c:v>6.3205971308324544</c:v>
                </c:pt>
                <c:pt idx="30">
                  <c:v>14.649221086811741</c:v>
                </c:pt>
                <c:pt idx="31">
                  <c:v>18.762580290843438</c:v>
                </c:pt>
                <c:pt idx="32">
                  <c:v>9.3202549250591922</c:v>
                </c:pt>
                <c:pt idx="33">
                  <c:v>9.3217973400768965</c:v>
                </c:pt>
                <c:pt idx="34">
                  <c:v>14.662341505765276</c:v>
                </c:pt>
                <c:pt idx="35">
                  <c:v>15.987293797097708</c:v>
                </c:pt>
                <c:pt idx="36">
                  <c:v>20.313933827352209</c:v>
                </c:pt>
                <c:pt idx="37">
                  <c:v>8.614872584878432</c:v>
                </c:pt>
                <c:pt idx="38">
                  <c:v>13.685421766267098</c:v>
                </c:pt>
                <c:pt idx="39">
                  <c:v>12.912506198790313</c:v>
                </c:pt>
                <c:pt idx="40">
                  <c:v>15.951966439457822</c:v>
                </c:pt>
                <c:pt idx="41">
                  <c:v>13.864037756165001</c:v>
                </c:pt>
                <c:pt idx="42">
                  <c:v>13.002914675628467</c:v>
                </c:pt>
                <c:pt idx="43">
                  <c:v>13.025539219442921</c:v>
                </c:pt>
                <c:pt idx="44">
                  <c:v>12.045031404240664</c:v>
                </c:pt>
                <c:pt idx="45">
                  <c:v>14.240542195343494</c:v>
                </c:pt>
                <c:pt idx="46">
                  <c:v>15.804096338720356</c:v>
                </c:pt>
                <c:pt idx="47">
                  <c:v>12.927542741677206</c:v>
                </c:pt>
                <c:pt idx="48">
                  <c:v>11.455925659936071</c:v>
                </c:pt>
                <c:pt idx="49">
                  <c:v>13.307546357515388</c:v>
                </c:pt>
                <c:pt idx="50">
                  <c:v>6.5409261681131614</c:v>
                </c:pt>
                <c:pt idx="51">
                  <c:v>9.1627420009027567</c:v>
                </c:pt>
                <c:pt idx="52">
                  <c:v>19.973870853858138</c:v>
                </c:pt>
                <c:pt idx="53">
                  <c:v>8.3278043232112022</c:v>
                </c:pt>
                <c:pt idx="54">
                  <c:v>8.9720470725297368</c:v>
                </c:pt>
                <c:pt idx="55">
                  <c:v>14.754719657497374</c:v>
                </c:pt>
                <c:pt idx="56">
                  <c:v>13.347199211981886</c:v>
                </c:pt>
                <c:pt idx="57">
                  <c:v>13.442294998102678</c:v>
                </c:pt>
                <c:pt idx="58">
                  <c:v>6.0996583627447523</c:v>
                </c:pt>
                <c:pt idx="59">
                  <c:v>12.407545753278209</c:v>
                </c:pt>
                <c:pt idx="60">
                  <c:v>8.0171445370494592</c:v>
                </c:pt>
                <c:pt idx="61">
                  <c:v>11.846772541305254</c:v>
                </c:pt>
                <c:pt idx="62">
                  <c:v>15.700399191659137</c:v>
                </c:pt>
                <c:pt idx="63">
                  <c:v>7.0763381212215464</c:v>
                </c:pt>
                <c:pt idx="64">
                  <c:v>10.545683822232499</c:v>
                </c:pt>
                <c:pt idx="65">
                  <c:v>13.41111949076431</c:v>
                </c:pt>
                <c:pt idx="66">
                  <c:v>5.3509011515380385</c:v>
                </c:pt>
                <c:pt idx="67">
                  <c:v>17.456153343654218</c:v>
                </c:pt>
                <c:pt idx="68">
                  <c:v>11.105900112164077</c:v>
                </c:pt>
                <c:pt idx="69">
                  <c:v>12.970844278964904</c:v>
                </c:pt>
                <c:pt idx="70">
                  <c:v>11.18305489795064</c:v>
                </c:pt>
                <c:pt idx="71">
                  <c:v>12.720136218657517</c:v>
                </c:pt>
                <c:pt idx="72">
                  <c:v>15.340513100678317</c:v>
                </c:pt>
                <c:pt idx="73">
                  <c:v>13.230022735371564</c:v>
                </c:pt>
                <c:pt idx="74">
                  <c:v>12.578514296485141</c:v>
                </c:pt>
                <c:pt idx="75">
                  <c:v>14.78416292527913</c:v>
                </c:pt>
                <c:pt idx="76">
                  <c:v>10.086017116248739</c:v>
                </c:pt>
                <c:pt idx="77">
                  <c:v>17.333777273357981</c:v>
                </c:pt>
                <c:pt idx="78">
                  <c:v>15.951776110826309</c:v>
                </c:pt>
                <c:pt idx="79">
                  <c:v>12.555533352082159</c:v>
                </c:pt>
                <c:pt idx="80">
                  <c:v>9.3965116732910445</c:v>
                </c:pt>
                <c:pt idx="81">
                  <c:v>6.4966609426118733</c:v>
                </c:pt>
                <c:pt idx="82">
                  <c:v>12.844197397832124</c:v>
                </c:pt>
                <c:pt idx="83">
                  <c:v>10.872419108063248</c:v>
                </c:pt>
                <c:pt idx="84">
                  <c:v>14.335395282839206</c:v>
                </c:pt>
                <c:pt idx="85">
                  <c:v>7.4233325352805917</c:v>
                </c:pt>
                <c:pt idx="86">
                  <c:v>12.525341263887437</c:v>
                </c:pt>
                <c:pt idx="87">
                  <c:v>15.833383260313317</c:v>
                </c:pt>
                <c:pt idx="88">
                  <c:v>10.708605681709832</c:v>
                </c:pt>
                <c:pt idx="89">
                  <c:v>10.778286855859797</c:v>
                </c:pt>
                <c:pt idx="90">
                  <c:v>9.5736121866236807</c:v>
                </c:pt>
                <c:pt idx="91">
                  <c:v>12.652589124076057</c:v>
                </c:pt>
                <c:pt idx="92">
                  <c:v>5.1177906420223076</c:v>
                </c:pt>
                <c:pt idx="93">
                  <c:v>14.586338425456546</c:v>
                </c:pt>
                <c:pt idx="94">
                  <c:v>14.473227230159523</c:v>
                </c:pt>
                <c:pt idx="95">
                  <c:v>13.694743253505639</c:v>
                </c:pt>
                <c:pt idx="96">
                  <c:v>14.98330207932537</c:v>
                </c:pt>
                <c:pt idx="97">
                  <c:v>14.594883794617553</c:v>
                </c:pt>
                <c:pt idx="98">
                  <c:v>11.567818597055899</c:v>
                </c:pt>
                <c:pt idx="99">
                  <c:v>9.8214310409837005</c:v>
                </c:pt>
                <c:pt idx="100">
                  <c:v>8.772566894855105</c:v>
                </c:pt>
                <c:pt idx="101">
                  <c:v>12.64587122815705</c:v>
                </c:pt>
                <c:pt idx="102">
                  <c:v>11.735471676894599</c:v>
                </c:pt>
                <c:pt idx="103">
                  <c:v>10.673704677169031</c:v>
                </c:pt>
                <c:pt idx="104">
                  <c:v>7.52026855938339</c:v>
                </c:pt>
              </c:numCache>
            </c:numRef>
          </c:xVal>
          <c:yVal>
            <c:numRef>
              <c:f>'Por-Perm-Logs'!$W$20:$W$124</c:f>
              <c:numCache>
                <c:formatCode>0.00</c:formatCode>
                <c:ptCount val="105"/>
                <c:pt idx="0">
                  <c:v>-3.8835157364005966</c:v>
                </c:pt>
                <c:pt idx="1">
                  <c:v>6.4570944491133986E-2</c:v>
                </c:pt>
                <c:pt idx="2">
                  <c:v>-1.141658453551198</c:v>
                </c:pt>
                <c:pt idx="3">
                  <c:v>9.8792943399701016E-2</c:v>
                </c:pt>
                <c:pt idx="4">
                  <c:v>1.1643099725197725</c:v>
                </c:pt>
                <c:pt idx="5">
                  <c:v>-0.42243932239013304</c:v>
                </c:pt>
                <c:pt idx="6">
                  <c:v>8.3584491149952811E-2</c:v>
                </c:pt>
                <c:pt idx="7">
                  <c:v>3.2239348868772346</c:v>
                </c:pt>
                <c:pt idx="8">
                  <c:v>-1.1361032595354565</c:v>
                </c:pt>
                <c:pt idx="9">
                  <c:v>2.4513836351989156</c:v>
                </c:pt>
                <c:pt idx="10">
                  <c:v>-1.5555381503644536</c:v>
                </c:pt>
                <c:pt idx="11">
                  <c:v>0.29112165098347731</c:v>
                </c:pt>
                <c:pt idx="12">
                  <c:v>-1.3017810098990577</c:v>
                </c:pt>
                <c:pt idx="13">
                  <c:v>-2.7187396590388868</c:v>
                </c:pt>
                <c:pt idx="14">
                  <c:v>-1.6804066855652362</c:v>
                </c:pt>
                <c:pt idx="15">
                  <c:v>0.41964697805440565</c:v>
                </c:pt>
                <c:pt idx="16">
                  <c:v>5.1889262784459245</c:v>
                </c:pt>
                <c:pt idx="17">
                  <c:v>2.4874529684342033</c:v>
                </c:pt>
                <c:pt idx="18">
                  <c:v>3.0666158693276939</c:v>
                </c:pt>
                <c:pt idx="19">
                  <c:v>1.9369174829402915</c:v>
                </c:pt>
                <c:pt idx="20">
                  <c:v>-0.82208684809950938</c:v>
                </c:pt>
                <c:pt idx="21">
                  <c:v>-2.8928437560758304</c:v>
                </c:pt>
                <c:pt idx="22">
                  <c:v>2.5799178086078527</c:v>
                </c:pt>
                <c:pt idx="23">
                  <c:v>0.63683930772701203</c:v>
                </c:pt>
                <c:pt idx="24">
                  <c:v>-2.5456419200357931</c:v>
                </c:pt>
                <c:pt idx="25">
                  <c:v>0.50866296366165997</c:v>
                </c:pt>
                <c:pt idx="26">
                  <c:v>1.3296159844845334</c:v>
                </c:pt>
                <c:pt idx="27">
                  <c:v>-4.9176119983006963</c:v>
                </c:pt>
                <c:pt idx="28">
                  <c:v>1.5709885425683012</c:v>
                </c:pt>
                <c:pt idx="29">
                  <c:v>4.3237449669820895</c:v>
                </c:pt>
                <c:pt idx="30">
                  <c:v>-1.7609530958406641</c:v>
                </c:pt>
                <c:pt idx="31">
                  <c:v>-3.1652543549897967</c:v>
                </c:pt>
                <c:pt idx="32">
                  <c:v>6.1952593183352889E-2</c:v>
                </c:pt>
                <c:pt idx="33">
                  <c:v>-0.19109004027715493</c:v>
                </c:pt>
                <c:pt idx="34">
                  <c:v>-2.5567899002681358</c:v>
                </c:pt>
                <c:pt idx="35">
                  <c:v>0.61621540011090481</c:v>
                </c:pt>
                <c:pt idx="36">
                  <c:v>-3.5324067768144332</c:v>
                </c:pt>
                <c:pt idx="37">
                  <c:v>2.7457246723956086</c:v>
                </c:pt>
                <c:pt idx="38">
                  <c:v>-0.79910372003905294</c:v>
                </c:pt>
                <c:pt idx="39">
                  <c:v>-1.659979426062387</c:v>
                </c:pt>
                <c:pt idx="40">
                  <c:v>-2.6841957702213701</c:v>
                </c:pt>
                <c:pt idx="41">
                  <c:v>-0.99577562255933927</c:v>
                </c:pt>
                <c:pt idx="42">
                  <c:v>0.54765770924931445</c:v>
                </c:pt>
                <c:pt idx="43">
                  <c:v>0.22575543905330342</c:v>
                </c:pt>
                <c:pt idx="44">
                  <c:v>5.6382235790753299E-2</c:v>
                </c:pt>
                <c:pt idx="45">
                  <c:v>-3.1534179778379858</c:v>
                </c:pt>
                <c:pt idx="46">
                  <c:v>-2.1567149709665898</c:v>
                </c:pt>
                <c:pt idx="47">
                  <c:v>2.7982830269035279</c:v>
                </c:pt>
                <c:pt idx="48">
                  <c:v>0.71779408388457</c:v>
                </c:pt>
                <c:pt idx="49">
                  <c:v>1.8712072000308773</c:v>
                </c:pt>
                <c:pt idx="50">
                  <c:v>4.3302316318504612</c:v>
                </c:pt>
                <c:pt idx="51">
                  <c:v>3.1785842278531931</c:v>
                </c:pt>
                <c:pt idx="52">
                  <c:v>-1.1413567495275707</c:v>
                </c:pt>
                <c:pt idx="53">
                  <c:v>0.32204009144273193</c:v>
                </c:pt>
                <c:pt idx="54">
                  <c:v>-0.52343505987860084</c:v>
                </c:pt>
                <c:pt idx="55">
                  <c:v>-0.54181414394317962</c:v>
                </c:pt>
                <c:pt idx="56">
                  <c:v>-0.79123093536732192</c:v>
                </c:pt>
                <c:pt idx="57">
                  <c:v>2.5547825687940584</c:v>
                </c:pt>
                <c:pt idx="58">
                  <c:v>3.0191453858740038</c:v>
                </c:pt>
                <c:pt idx="59">
                  <c:v>-0.5794999408614725</c:v>
                </c:pt>
                <c:pt idx="60">
                  <c:v>1.6210104941728201</c:v>
                </c:pt>
                <c:pt idx="61">
                  <c:v>-0.86199056004469377</c:v>
                </c:pt>
                <c:pt idx="62">
                  <c:v>2.0493915771315159</c:v>
                </c:pt>
                <c:pt idx="63">
                  <c:v>2.3891818469024386</c:v>
                </c:pt>
                <c:pt idx="64">
                  <c:v>-0.95945069646247738</c:v>
                </c:pt>
                <c:pt idx="65">
                  <c:v>-1.9094381245602783</c:v>
                </c:pt>
                <c:pt idx="66">
                  <c:v>0.55501556745207115</c:v>
                </c:pt>
                <c:pt idx="67">
                  <c:v>-0.68143545360078051</c:v>
                </c:pt>
                <c:pt idx="68">
                  <c:v>1.2859225059528026</c:v>
                </c:pt>
                <c:pt idx="69">
                  <c:v>-1.254908045462809</c:v>
                </c:pt>
                <c:pt idx="70">
                  <c:v>1.8206143790745912</c:v>
                </c:pt>
                <c:pt idx="71">
                  <c:v>-1.9969469743896067</c:v>
                </c:pt>
                <c:pt idx="72">
                  <c:v>-0.85118042568680785</c:v>
                </c:pt>
                <c:pt idx="73">
                  <c:v>-0.8753285042382668</c:v>
                </c:pt>
                <c:pt idx="74">
                  <c:v>-1.3361076627223465</c:v>
                </c:pt>
                <c:pt idx="75">
                  <c:v>-2.3411621525005799</c:v>
                </c:pt>
                <c:pt idx="76">
                  <c:v>2.6907464308584945</c:v>
                </c:pt>
                <c:pt idx="77">
                  <c:v>-1.8827190845527575</c:v>
                </c:pt>
                <c:pt idx="78">
                  <c:v>-1.7932060726738364</c:v>
                </c:pt>
                <c:pt idx="79">
                  <c:v>1.9034208680398041</c:v>
                </c:pt>
                <c:pt idx="80">
                  <c:v>3.9215060022309238</c:v>
                </c:pt>
                <c:pt idx="81">
                  <c:v>-0.84137619390635798</c:v>
                </c:pt>
                <c:pt idx="82">
                  <c:v>-1.4988921188109092</c:v>
                </c:pt>
                <c:pt idx="83">
                  <c:v>-0.67866530120966573</c:v>
                </c:pt>
                <c:pt idx="84">
                  <c:v>-3.0133279402201882</c:v>
                </c:pt>
                <c:pt idx="85">
                  <c:v>1.0758362558569967</c:v>
                </c:pt>
                <c:pt idx="86">
                  <c:v>-1.4360537813651817</c:v>
                </c:pt>
                <c:pt idx="87">
                  <c:v>-2.225390936360915</c:v>
                </c:pt>
                <c:pt idx="88">
                  <c:v>-2.5106773165762615</c:v>
                </c:pt>
                <c:pt idx="89">
                  <c:v>0.95124886085147153</c:v>
                </c:pt>
                <c:pt idx="90">
                  <c:v>1.0935274196829141</c:v>
                </c:pt>
                <c:pt idx="91">
                  <c:v>-0.68246381168097336</c:v>
                </c:pt>
                <c:pt idx="92">
                  <c:v>2.5716522074808763</c:v>
                </c:pt>
                <c:pt idx="93">
                  <c:v>-1.5321193934958934</c:v>
                </c:pt>
                <c:pt idx="94">
                  <c:v>-1.8587262314105253</c:v>
                </c:pt>
                <c:pt idx="95">
                  <c:v>-0.26142581112776142</c:v>
                </c:pt>
                <c:pt idx="96">
                  <c:v>1.8218610193048725</c:v>
                </c:pt>
                <c:pt idx="97">
                  <c:v>-0.49834851940412328</c:v>
                </c:pt>
                <c:pt idx="98">
                  <c:v>2.9074840992182036</c:v>
                </c:pt>
                <c:pt idx="99">
                  <c:v>1.7348451958396716</c:v>
                </c:pt>
                <c:pt idx="100">
                  <c:v>0.15159694507311805</c:v>
                </c:pt>
                <c:pt idx="101">
                  <c:v>1.5888173781602237</c:v>
                </c:pt>
                <c:pt idx="102">
                  <c:v>1.2627701806340763</c:v>
                </c:pt>
                <c:pt idx="103">
                  <c:v>-2.6719061984362042</c:v>
                </c:pt>
                <c:pt idx="104">
                  <c:v>-0.16460058057580529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F-4A95-A785-83ABEB2689D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'Por-Perm-Logs'!$AN$113:$AN$114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'Por-Perm-Logs'!$AM$113:$AM$114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F-4A95-A785-83ABEB26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Estimate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4763</xdr:colOff>
      <xdr:row>16</xdr:row>
      <xdr:rowOff>176211</xdr:rowOff>
    </xdr:from>
    <xdr:to>
      <xdr:col>36</xdr:col>
      <xdr:colOff>381224</xdr:colOff>
      <xdr:row>41</xdr:row>
      <xdr:rowOff>11905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561577</xdr:colOff>
      <xdr:row>23</xdr:row>
      <xdr:rowOff>128587</xdr:rowOff>
    </xdr:from>
    <xdr:to>
      <xdr:col>45</xdr:col>
      <xdr:colOff>17586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19845</xdr:colOff>
      <xdr:row>46</xdr:row>
      <xdr:rowOff>75406</xdr:rowOff>
    </xdr:from>
    <xdr:to>
      <xdr:col>45</xdr:col>
      <xdr:colOff>32787</xdr:colOff>
      <xdr:row>61</xdr:row>
      <xdr:rowOff>139056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111125</xdr:colOff>
      <xdr:row>23</xdr:row>
      <xdr:rowOff>127000</xdr:rowOff>
    </xdr:from>
    <xdr:to>
      <xdr:col>53</xdr:col>
      <xdr:colOff>408509</xdr:colOff>
      <xdr:row>39</xdr:row>
      <xdr:rowOff>30163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142875</xdr:colOff>
      <xdr:row>46</xdr:row>
      <xdr:rowOff>79375</xdr:rowOff>
    </xdr:from>
    <xdr:to>
      <xdr:col>53</xdr:col>
      <xdr:colOff>393942</xdr:colOff>
      <xdr:row>61</xdr:row>
      <xdr:rowOff>143025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381000</xdr:colOff>
      <xdr:row>70</xdr:row>
      <xdr:rowOff>0</xdr:rowOff>
    </xdr:from>
    <xdr:to>
      <xdr:col>29</xdr:col>
      <xdr:colOff>500062</xdr:colOff>
      <xdr:row>87</xdr:row>
      <xdr:rowOff>177801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392402</xdr:colOff>
      <xdr:row>80</xdr:row>
      <xdr:rowOff>91138</xdr:rowOff>
    </xdr:from>
    <xdr:to>
      <xdr:col>41</xdr:col>
      <xdr:colOff>175906</xdr:colOff>
      <xdr:row>116</xdr:row>
      <xdr:rowOff>47626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464345</xdr:colOff>
      <xdr:row>99</xdr:row>
      <xdr:rowOff>120284</xdr:rowOff>
    </xdr:from>
    <xdr:to>
      <xdr:col>29</xdr:col>
      <xdr:colOff>169069</xdr:colOff>
      <xdr:row>115</xdr:row>
      <xdr:rowOff>143670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511969</xdr:colOff>
      <xdr:row>17</xdr:row>
      <xdr:rowOff>142875</xdr:rowOff>
    </xdr:from>
    <xdr:to>
      <xdr:col>22</xdr:col>
      <xdr:colOff>916781</xdr:colOff>
      <xdr:row>17</xdr:row>
      <xdr:rowOff>436225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434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4120813" y="2833688"/>
              <a:ext cx="4083843" cy="2933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/>
                <a:t>From Minimized Square Error: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ctrlPr>
                            <a:rPr lang="en-US" b="1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b="1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  <m:e>
                          <m:d>
                            <m:dPr>
                              <m:ctrlPr>
                                <a:rPr lang="en-US" b="1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𝒙</m:t>
                                  </m:r>
                                </m:e>
                                <m:sub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b="1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𝒙</m:t>
                                  </m:r>
                                </m:e>
                              </m:acc>
                            </m:e>
                          </m:d>
                          <m:d>
                            <m:d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𝒚</m:t>
                                  </m:r>
                                </m:e>
                                <m:sub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𝒊</m:t>
                                  </m:r>
                                </m:sub>
                              </m:sSub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b="1" i="1">
                                      <a:latin typeface="Cambria Math" panose="02040503050406030204" pitchFamily="18" charset="0"/>
                                    </a:rPr>
                                    <m:t>𝒚</m:t>
                                  </m:r>
                                </m:e>
                              </m:acc>
                            </m:e>
                          </m:d>
                        </m:e>
                      </m:nary>
                    </m:num>
                    <m:den>
                      <m:nary>
                        <m:naryPr>
                          <m:chr m:val="∑"/>
                          <m:ctrlPr>
                            <a:rPr lang="en-US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i="1">
                              <a:latin typeface="Cambria Math" panose="02040503050406030204" pitchFamily="18" charset="0"/>
                            </a:rPr>
                            <m:t>𝒊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i="1">
                              <a:latin typeface="Cambria Math" panose="02040503050406030204" pitchFamily="18" charset="0"/>
                            </a:rPr>
                            <m:t>𝒏</m:t>
                          </m:r>
                        </m:sup>
                        <m:e>
                          <m:sSup>
                            <m:sSup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𝒙</m:t>
                                      </m:r>
                                    </m:e>
                                    <m:sub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𝒊</m:t>
                                      </m:r>
                                    </m:sub>
                                  </m:sSub>
                                  <m:r>
                                    <a:rPr lang="en-US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acc>
                                    <m:accPr>
                                      <m:chr m:val="̅"/>
                                      <m:ctrlP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accPr>
                                    <m:e>
                                      <m:r>
                                        <a:rPr lang="en-US" i="1">
                                          <a:latin typeface="Cambria Math" panose="02040503050406030204" pitchFamily="18" charset="0"/>
                                        </a:rPr>
                                        <m:t>𝒙</m:t>
                                      </m:r>
                                    </m:e>
                                  </m:acc>
                                </m:e>
                              </m:d>
                            </m:e>
                            <m:sup>
                              <m:r>
                                <a:rPr lang="en-US" b="1" i="1">
                                  <a:latin typeface="Cambria Math" panose="02040503050406030204" pitchFamily="18" charset="0"/>
                                </a:rPr>
                                <m:t>𝟐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4" name="TextBox 14344"/>
            <xdr:cNvSpPr txBox="1"/>
          </xdr:nvSpPr>
          <xdr:spPr>
            <a:xfrm>
              <a:off x="14120813" y="2833688"/>
              <a:ext cx="4083843" cy="29335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/>
                <a:t>From Minimized Square Error: </a:t>
              </a:r>
              <a:r>
                <a:rPr lang="en-US" b="1" i="0">
                  <a:latin typeface="Cambria Math" panose="02040503050406030204" pitchFamily="18" charset="0"/>
                </a:rPr>
                <a:t>𝒃_𝟏=(∑_(𝒊=𝟏)^𝒏▒(𝒙_𝒊−𝒙 ̅ )(𝒚_</a:t>
              </a:r>
              <a:r>
                <a:rPr lang="en-US" i="0">
                  <a:latin typeface="Cambria Math" panose="02040503050406030204" pitchFamily="18" charset="0"/>
                </a:rPr>
                <a:t>𝒊−</a:t>
              </a:r>
              <a:r>
                <a:rPr lang="en-US" b="1" i="0">
                  <a:latin typeface="Cambria Math" panose="02040503050406030204" pitchFamily="18" charset="0"/>
                </a:rPr>
                <a:t>𝒚 ̅ ) )/(∑_(</a:t>
              </a:r>
              <a:r>
                <a:rPr lang="en-US" i="0">
                  <a:latin typeface="Cambria Math" panose="02040503050406030204" pitchFamily="18" charset="0"/>
                </a:rPr>
                <a:t>𝒊=𝟏)^𝒏</a:t>
              </a:r>
              <a:r>
                <a:rPr lang="en-US" b="1" i="0">
                  <a:latin typeface="Cambria Math" panose="02040503050406030204" pitchFamily="18" charset="0"/>
                </a:rPr>
                <a:t>▒(</a:t>
              </a:r>
              <a:r>
                <a:rPr lang="en-US" i="0">
                  <a:latin typeface="Cambria Math" panose="02040503050406030204" pitchFamily="18" charset="0"/>
                </a:rPr>
                <a:t>𝒙_𝒊−𝒙 ̅ )^</a:t>
              </a:r>
              <a:r>
                <a:rPr lang="en-US" b="1" i="0">
                  <a:latin typeface="Cambria Math" panose="02040503050406030204" pitchFamily="18" charset="0"/>
                </a:rPr>
                <a:t>𝟐 )</a:t>
              </a:r>
              <a:endParaRPr lang="en-US"/>
            </a:p>
          </xdr:txBody>
        </xdr:sp>
      </mc:Fallback>
    </mc:AlternateContent>
    <xdr:clientData/>
  </xdr:twoCellAnchor>
  <xdr:twoCellAnchor>
    <xdr:from>
      <xdr:col>17</xdr:col>
      <xdr:colOff>500062</xdr:colOff>
      <xdr:row>17</xdr:row>
      <xdr:rowOff>571500</xdr:rowOff>
    </xdr:from>
    <xdr:to>
      <xdr:col>22</xdr:col>
      <xdr:colOff>7180</xdr:colOff>
      <xdr:row>17</xdr:row>
      <xdr:rowOff>736866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4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4108906" y="3262313"/>
              <a:ext cx="3186149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 b="1"/>
                <a:t>The find intercept: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𝒚</m:t>
                      </m:r>
                    </m:e>
                  </m:acc>
                  <m:r>
                    <a:rPr lang="en-US" b="1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acc>
                    <m:accPr>
                      <m:chr m:val="̅"/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acc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5" name="TextBox 43"/>
            <xdr:cNvSpPr txBox="1"/>
          </xdr:nvSpPr>
          <xdr:spPr>
            <a:xfrm>
              <a:off x="14108906" y="3262313"/>
              <a:ext cx="3186149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/>
                <a:t>The find intercept: </a:t>
              </a:r>
              <a:r>
                <a:rPr lang="en-US" b="1" i="0">
                  <a:latin typeface="Cambria Math" panose="02040503050406030204" pitchFamily="18" charset="0"/>
                </a:rPr>
                <a:t>𝒃_𝟎=𝒚 ̅−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15</xdr:col>
      <xdr:colOff>690562</xdr:colOff>
      <xdr:row>17</xdr:row>
      <xdr:rowOff>345282</xdr:rowOff>
    </xdr:from>
    <xdr:to>
      <xdr:col>16</xdr:col>
      <xdr:colOff>1031117</xdr:colOff>
      <xdr:row>17</xdr:row>
      <xdr:rowOff>510648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2156281" y="3036095"/>
              <a:ext cx="1412117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r>
                <a:rPr lang="en-US" b="1"/>
                <a:t>Model: </a:t>
              </a:r>
              <a14:m>
                <m:oMath xmlns:m="http://schemas.openxmlformats.org/officeDocument/2006/math">
                  <m:r>
                    <a:rPr lang="en-US" b="1" i="1">
                      <a:latin typeface="Cambria Math" panose="02040503050406030204" pitchFamily="18" charset="0"/>
                    </a:rPr>
                    <m:t>𝒚</m:t>
                  </m:r>
                  <m:r>
                    <a:rPr lang="en-US" b="1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1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i="1">
                          <a:latin typeface="Cambria Math" panose="02040503050406030204" pitchFamily="18" charset="0"/>
                        </a:rPr>
                        <m:t>𝒃</m:t>
                      </m:r>
                    </m:e>
                    <m:sub>
                      <m:r>
                        <a:rPr lang="en-US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n-US" b="1" i="1">
                      <a:latin typeface="Cambria Math" panose="02040503050406030204" pitchFamily="18" charset="0"/>
                    </a:rPr>
                    <m:t>𝒙</m:t>
                  </m:r>
                </m:oMath>
              </a14:m>
              <a:endParaRPr lang="en-US"/>
            </a:p>
          </xdr:txBody>
        </xdr:sp>
      </mc:Choice>
      <mc:Fallback xmlns="">
        <xdr:sp macro="" textlink="">
          <xdr:nvSpPr>
            <xdr:cNvPr id="16" name="TextBox 4"/>
            <xdr:cNvSpPr txBox="1"/>
          </xdr:nvSpPr>
          <xdr:spPr>
            <a:xfrm>
              <a:off x="12156281" y="3036095"/>
              <a:ext cx="1412117" cy="16536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/>
                <a:t>Model: </a:t>
              </a:r>
              <a:r>
                <a:rPr lang="en-US" b="1" i="0">
                  <a:latin typeface="Cambria Math" panose="02040503050406030204" pitchFamily="18" charset="0"/>
                </a:rPr>
                <a:t>𝒚=𝒃_𝟎+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</a:t>
              </a:r>
              <a:endParaRPr lang="en-US"/>
            </a:p>
          </xdr:txBody>
        </xdr:sp>
      </mc:Fallback>
    </mc:AlternateContent>
    <xdr:clientData/>
  </xdr:twoCellAnchor>
  <xdr:oneCellAnchor>
    <xdr:from>
      <xdr:col>31</xdr:col>
      <xdr:colOff>393412</xdr:colOff>
      <xdr:row>73</xdr:row>
      <xdr:rowOff>190957</xdr:rowOff>
    </xdr:from>
    <xdr:ext cx="1417618" cy="369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7349162" y="15478582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</m:d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27349162" y="15478582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(𝜌)^2=𝑟^2=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30</xdr:col>
      <xdr:colOff>593435</xdr:colOff>
      <xdr:row>73</xdr:row>
      <xdr:rowOff>179412</xdr:rowOff>
    </xdr:from>
    <xdr:ext cx="1417618" cy="369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6644310" y="15467037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𝜌</m:t>
                  </m:r>
                </m:oMath>
              </a14:m>
              <a:r>
                <a:rPr lang="en-US" sz="1400"/>
                <a:t> =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6644310" y="15467037"/>
              <a:ext cx="1417618" cy="369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</a:t>
              </a:r>
              <a:r>
                <a:rPr lang="en-US" sz="1400"/>
                <a:t> =</a:t>
              </a:r>
            </a:p>
          </xdr:txBody>
        </xdr:sp>
      </mc:Fallback>
    </mc:AlternateContent>
    <xdr:clientData/>
  </xdr:oneCellAnchor>
  <xdr:twoCellAnchor>
    <xdr:from>
      <xdr:col>29</xdr:col>
      <xdr:colOff>297657</xdr:colOff>
      <xdr:row>99</xdr:row>
      <xdr:rowOff>130969</xdr:rowOff>
    </xdr:from>
    <xdr:to>
      <xdr:col>33</xdr:col>
      <xdr:colOff>573881</xdr:colOff>
      <xdr:row>115</xdr:row>
      <xdr:rowOff>154355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365125</xdr:colOff>
      <xdr:row>81</xdr:row>
      <xdr:rowOff>31750</xdr:rowOff>
    </xdr:from>
    <xdr:to>
      <xdr:col>51</xdr:col>
      <xdr:colOff>600317</xdr:colOff>
      <xdr:row>96</xdr:row>
      <xdr:rowOff>63650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25</xdr:col>
      <xdr:colOff>95250</xdr:colOff>
      <xdr:row>134</xdr:row>
      <xdr:rowOff>111125</xdr:rowOff>
    </xdr:from>
    <xdr:ext cx="1886206" cy="574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2069425" y="26771600"/>
              <a:ext cx="1886206" cy="574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≠0</m:t>
                    </m:r>
                  </m:oMath>
                </m:oMathPara>
              </a14:m>
              <a:endParaRPr lang="en-US" sz="2000">
                <a:effectLst/>
              </a:endParaRPr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2069425" y="26771600"/>
              <a:ext cx="1886206" cy="574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𝐻_0:𝑏_𝑖=0</a:t>
              </a:r>
              <a:endParaRPr lang="en-US" sz="16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𝐻_1:𝑏_𝑖≠0</a:t>
              </a:r>
              <a:endParaRPr lang="en-US" sz="2000">
                <a:effectLst/>
              </a:endParaRPr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38</xdr:col>
      <xdr:colOff>501650</xdr:colOff>
      <xdr:row>131</xdr:row>
      <xdr:rowOff>168276</xdr:rowOff>
    </xdr:from>
    <xdr:ext cx="1886206" cy="768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0934025" y="23075901"/>
              <a:ext cx="1886206" cy="768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𝑜𝑡h𝑒𝑟𝑤𝑖𝑠𝑒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30934025" y="23075901"/>
              <a:ext cx="1886206" cy="768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𝐻_0:𝑏_0=𝑏_1=0</a:t>
              </a:r>
              <a:endParaRPr lang="en-US" sz="14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𝐻_1:𝑜𝑡ℎ𝑒𝑟𝑤𝑖𝑠𝑒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29</xdr:col>
      <xdr:colOff>444500</xdr:colOff>
      <xdr:row>93</xdr:row>
      <xdr:rowOff>142875</xdr:rowOff>
    </xdr:from>
    <xdr:to>
      <xdr:col>32</xdr:col>
      <xdr:colOff>827591</xdr:colOff>
      <xdr:row>97</xdr:row>
      <xdr:rowOff>2071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1434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5701625" y="19319875"/>
              <a:ext cx="2684966" cy="62119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en-US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p>
                          <m:e>
                            <m:d>
                              <m:dPr>
                                <m:ctrlPr>
                                  <a:rPr lang="en-US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  <m:sup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𝒊</m:t>
                                        </m:r>
                                      </m:sub>
                                    </m:sSub>
                                    <m:r>
                                      <a:rPr lang="en-US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5" name="TextBox 14344">
              <a:extLst>
                <a:ext uri="{FF2B5EF4-FFF2-40B4-BE49-F238E27FC236}">
                  <a16:creationId xmlns:a16="http://schemas.microsoft.com/office/drawing/2014/main" id="{F8B0DD89-97DE-4C10-9E56-70B1E54E53BD}"/>
                </a:ext>
              </a:extLst>
            </xdr:cNvPr>
            <xdr:cNvSpPr txBox="1"/>
          </xdr:nvSpPr>
          <xdr:spPr>
            <a:xfrm>
              <a:off x="25701625" y="19319875"/>
              <a:ext cx="2684966" cy="62119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𝒃_𝟏=(∑_(𝒊=𝟏)^𝒏▒(𝒙_𝒊−𝒙 ̅ )(𝒚_</a:t>
              </a:r>
              <a:r>
                <a:rPr lang="en-US" i="0">
                  <a:latin typeface="Cambria Math" panose="02040503050406030204" pitchFamily="18" charset="0"/>
                </a:rPr>
                <a:t>𝒊−</a:t>
              </a:r>
              <a:r>
                <a:rPr lang="en-US" b="1" i="0">
                  <a:latin typeface="Cambria Math" panose="02040503050406030204" pitchFamily="18" charset="0"/>
                </a:rPr>
                <a:t>𝒚 ̅ ) )/(∑_(</a:t>
              </a:r>
              <a:r>
                <a:rPr lang="en-US" i="0">
                  <a:latin typeface="Cambria Math" panose="02040503050406030204" pitchFamily="18" charset="0"/>
                </a:rPr>
                <a:t>𝒊=𝟏)^𝒏</a:t>
              </a:r>
              <a:r>
                <a:rPr lang="en-US" b="1" i="0">
                  <a:latin typeface="Cambria Math" panose="02040503050406030204" pitchFamily="18" charset="0"/>
                </a:rPr>
                <a:t>▒(</a:t>
              </a:r>
              <a:r>
                <a:rPr lang="en-US" i="0">
                  <a:latin typeface="Cambria Math" panose="02040503050406030204" pitchFamily="18" charset="0"/>
                </a:rPr>
                <a:t>𝒙_𝒊−𝒙 ̅ )^</a:t>
              </a:r>
              <a:r>
                <a:rPr lang="en-US" b="1" i="0">
                  <a:latin typeface="Cambria Math" panose="02040503050406030204" pitchFamily="18" charset="0"/>
                </a:rPr>
                <a:t>𝟐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29</xdr:col>
      <xdr:colOff>666750</xdr:colOff>
      <xdr:row>97</xdr:row>
      <xdr:rowOff>15875</xdr:rowOff>
    </xdr:from>
    <xdr:to>
      <xdr:col>31</xdr:col>
      <xdr:colOff>380243</xdr:colOff>
      <xdr:row>98</xdr:row>
      <xdr:rowOff>102374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43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5923875" y="19954875"/>
              <a:ext cx="141211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n-US" b="1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𝒃</m:t>
                        </m:r>
                      </m:e>
                      <m:sub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6" name="TextBox 43">
              <a:extLst>
                <a:ext uri="{FF2B5EF4-FFF2-40B4-BE49-F238E27FC236}">
                  <a16:creationId xmlns:a16="http://schemas.microsoft.com/office/drawing/2014/main" id="{C0F63946-C453-46CC-AA5A-F4F0CF3D2C97}"/>
                </a:ext>
              </a:extLst>
            </xdr:cNvPr>
            <xdr:cNvSpPr txBox="1"/>
          </xdr:nvSpPr>
          <xdr:spPr>
            <a:xfrm>
              <a:off x="25923875" y="19954875"/>
              <a:ext cx="141211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𝒃_𝟎=𝒚 ̅−</a:t>
              </a:r>
              <a:r>
                <a:rPr lang="en-US" i="0">
                  <a:latin typeface="Cambria Math" panose="02040503050406030204" pitchFamily="18" charset="0"/>
                </a:rPr>
                <a:t>𝒃_</a:t>
              </a:r>
              <a:r>
                <a:rPr lang="en-US" b="1" i="0">
                  <a:latin typeface="Cambria Math" panose="02040503050406030204" pitchFamily="18" charset="0"/>
                </a:rPr>
                <a:t>𝟏 𝒙 ̅</a:t>
              </a:r>
              <a:endParaRPr lang="en-US"/>
            </a:p>
          </xdr:txBody>
        </xdr:sp>
      </mc:Fallback>
    </mc:AlternateContent>
    <xdr:clientData/>
  </xdr:twoCellAnchor>
  <xdr:twoCellAnchor>
    <xdr:from>
      <xdr:col>26</xdr:col>
      <xdr:colOff>777875</xdr:colOff>
      <xdr:row>124</xdr:row>
      <xdr:rowOff>63500</xdr:rowOff>
    </xdr:from>
    <xdr:to>
      <xdr:col>27</xdr:col>
      <xdr:colOff>762000</xdr:colOff>
      <xdr:row>124</xdr:row>
      <xdr:rowOff>63500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3653750" y="25368250"/>
          <a:ext cx="777875" cy="0"/>
        </a:xfrm>
        <a:prstGeom prst="straightConnector1">
          <a:avLst/>
        </a:prstGeom>
        <a:ln>
          <a:solidFill>
            <a:sysClr val="windowText" lastClr="0000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400050</xdr:colOff>
      <xdr:row>127</xdr:row>
      <xdr:rowOff>133350</xdr:rowOff>
    </xdr:from>
    <xdr:to>
      <xdr:col>30</xdr:col>
      <xdr:colOff>725991</xdr:colOff>
      <xdr:row>129</xdr:row>
      <xdr:rowOff>95579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14344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24174450" y="25803225"/>
              <a:ext cx="2983416" cy="3622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𝒔𝒔𝒓𝒆𝒈</m:t>
                        </m:r>
                      </m:num>
                      <m:den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𝒔𝒔𝒓𝒆𝒈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𝒔𝒔𝒓𝒆𝒔𝒊𝒅</m:t>
                        </m:r>
                      </m:den>
                    </m:f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ＭＳ Ｐゴシック" panose="020B0600070205080204" pitchFamily="34" charset="-128"/>
                            <a:cs typeface="+mn-cs"/>
                          </a:rPr>
                          <m:t>𝒆𝒙𝒑𝒍𝒂𝒊𝒏𝒆𝒅</m:t>
                        </m:r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ＭＳ Ｐゴシック" panose="020B0600070205080204" pitchFamily="34" charset="-128"/>
                            <a:cs typeface="+mn-cs"/>
                          </a:rPr>
                          <m:t> </m:t>
                        </m:r>
                        <m:r>
                          <a:rPr lang="en-US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ＭＳ Ｐゴシック" panose="020B0600070205080204" pitchFamily="34" charset="-128"/>
                            <a:cs typeface="+mn-cs"/>
                          </a:rPr>
                          <m:t>𝒗𝒂𝒓𝒊𝒂𝒏𝒄𝒆</m:t>
                        </m:r>
                      </m:num>
                      <m:den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𝒕𝒐𝒕𝒂𝒍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𝒗𝒂𝒊𝒓𝒂𝒏𝒄𝒆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7" name="TextBox 14344">
              <a:extLst>
                <a:ext uri="{FF2B5EF4-FFF2-40B4-BE49-F238E27FC236}">
                  <a16:creationId xmlns:a16="http://schemas.microsoft.com/office/drawing/2014/main" id="{1BA3ACED-E6C1-48B0-9E9E-C65E9857442F}"/>
                </a:ext>
              </a:extLst>
            </xdr:cNvPr>
            <xdr:cNvSpPr txBox="1"/>
          </xdr:nvSpPr>
          <xdr:spPr>
            <a:xfrm>
              <a:off x="24174450" y="25803225"/>
              <a:ext cx="2983416" cy="36227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𝒓^𝟐=𝒔𝒔𝒓𝒆𝒈/(𝒔𝒔𝒓𝒆𝒈+𝒔𝒔𝒓𝒆𝒔𝒊𝒅)=(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rPr>
                <a:t>𝒆𝒙𝒑𝒍𝒂𝒊𝒏𝒆𝒅 𝒗𝒂𝒓𝒊𝒂𝒏𝒄𝒆</a:t>
              </a:r>
              <a:r>
                <a:rPr lang="en-US" sz="11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ＭＳ Ｐゴシック" panose="020B0600070205080204" pitchFamily="34" charset="-128"/>
                  <a:cs typeface="+mn-cs"/>
                </a:rPr>
                <a:t>)/(</a:t>
              </a:r>
              <a:r>
                <a:rPr lang="en-US" b="1" i="0">
                  <a:latin typeface="Cambria Math" panose="02040503050406030204" pitchFamily="18" charset="0"/>
                </a:rPr>
                <a:t>𝒕𝒐𝒕𝒂𝒍 𝒗𝒂𝒊𝒓𝒂𝒏𝒄𝒆)</a:t>
              </a:r>
              <a:endParaRPr lang="en-US"/>
            </a:p>
          </xdr:txBody>
        </xdr:sp>
      </mc:Fallback>
    </mc:AlternateContent>
    <xdr:clientData/>
  </xdr:twoCellAnchor>
  <xdr:twoCellAnchor>
    <xdr:from>
      <xdr:col>24</xdr:col>
      <xdr:colOff>40485</xdr:colOff>
      <xdr:row>128</xdr:row>
      <xdr:rowOff>26193</xdr:rowOff>
    </xdr:from>
    <xdr:to>
      <xdr:col>27</xdr:col>
      <xdr:colOff>723614</xdr:colOff>
      <xdr:row>128</xdr:row>
      <xdr:rowOff>199317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1434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22757610" y="26255662"/>
              <a:ext cx="2969129" cy="17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n-US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b="1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9" name="TextBox 14344">
              <a:extLst>
                <a:ext uri="{FF2B5EF4-FFF2-40B4-BE49-F238E27FC236}">
                  <a16:creationId xmlns:a16="http://schemas.microsoft.com/office/drawing/2014/main" id="{1BA3ACED-E6C1-48B0-9E9E-C65E9857442F}"/>
                </a:ext>
              </a:extLst>
            </xdr:cNvPr>
            <xdr:cNvSpPr txBox="1"/>
          </xdr:nvSpPr>
          <xdr:spPr>
            <a:xfrm>
              <a:off x="22757610" y="26255662"/>
              <a:ext cx="2969129" cy="17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b="1" i="0">
                  <a:latin typeface="Cambria Math" panose="02040503050406030204" pitchFamily="18" charset="0"/>
                </a:rPr>
                <a:t>𝒓^𝟐=</a:t>
              </a:r>
              <a:endParaRPr lang="en-US"/>
            </a:p>
          </xdr:txBody>
        </xdr:sp>
      </mc:Fallback>
    </mc:AlternateContent>
    <xdr:clientData/>
  </xdr:twoCellAnchor>
  <xdr:twoCellAnchor>
    <xdr:from>
      <xdr:col>23</xdr:col>
      <xdr:colOff>23813</xdr:colOff>
      <xdr:row>16</xdr:row>
      <xdr:rowOff>154782</xdr:rowOff>
    </xdr:from>
    <xdr:to>
      <xdr:col>25</xdr:col>
      <xdr:colOff>383382</xdr:colOff>
      <xdr:row>52</xdr:row>
      <xdr:rowOff>116681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440531</xdr:colOff>
      <xdr:row>16</xdr:row>
      <xdr:rowOff>154781</xdr:rowOff>
    </xdr:from>
    <xdr:to>
      <xdr:col>27</xdr:col>
      <xdr:colOff>716756</xdr:colOff>
      <xdr:row>52</xdr:row>
      <xdr:rowOff>116680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411"/>
  <sheetViews>
    <sheetView tabSelected="1" zoomScaleNormal="100" workbookViewId="0">
      <selection activeCell="R11" sqref="R11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3" max="13" width="8.140625" customWidth="1"/>
    <col min="14" max="14" width="11.5703125" style="9" customWidth="1"/>
    <col min="15" max="15" width="12.140625" customWidth="1"/>
    <col min="16" max="17" width="16" customWidth="1"/>
    <col min="18" max="24" width="18.42578125" customWidth="1"/>
    <col min="25" max="25" width="7.28515625" customWidth="1"/>
    <col min="26" max="26" width="15.140625" customWidth="1"/>
    <col min="27" max="29" width="11.85546875" customWidth="1"/>
    <col min="30" max="30" width="16.140625" customWidth="1"/>
    <col min="31" max="31" width="13.5703125" style="9" bestFit="1" customWidth="1"/>
    <col min="32" max="32" width="9.140625" style="9"/>
    <col min="33" max="33" width="14.85546875" style="9" bestFit="1" customWidth="1"/>
    <col min="34" max="34" width="9.140625" style="9"/>
    <col min="35" max="35" width="10.85546875" style="9" customWidth="1"/>
    <col min="36" max="36" width="11.42578125" style="9" bestFit="1" customWidth="1"/>
    <col min="37" max="39" width="9.140625" style="9"/>
    <col min="40" max="40" width="12.7109375" style="9" customWidth="1"/>
    <col min="41" max="41" width="9.140625" style="9"/>
    <col min="43" max="43" width="8.7109375" customWidth="1"/>
    <col min="54" max="54" width="15.140625" customWidth="1"/>
    <col min="55" max="137" width="9.140625" style="1"/>
  </cols>
  <sheetData>
    <row r="1" spans="1:137" s="1" customFormat="1" ht="15.75" thickBot="1" x14ac:dyDescent="0.3"/>
    <row r="2" spans="1:137" s="1" customForma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6"/>
    </row>
    <row r="3" spans="1:137" s="1" customFormat="1" ht="29.25" thickBot="1" x14ac:dyDescent="0.5">
      <c r="B3" s="37"/>
      <c r="C3" s="131" t="s">
        <v>120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9"/>
    </row>
    <row r="4" spans="1:137" s="1" customFormat="1" ht="21.75" thickBot="1" x14ac:dyDescent="0.4">
      <c r="B4" s="37"/>
      <c r="C4" s="5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132" t="s">
        <v>121</v>
      </c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2"/>
      <c r="BA4" s="38"/>
      <c r="BB4" s="39"/>
    </row>
    <row r="5" spans="1:137" s="1" customFormat="1" ht="15.75" x14ac:dyDescent="0.25">
      <c r="B5" s="37"/>
      <c r="C5" s="103" t="s">
        <v>75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</row>
    <row r="6" spans="1:137" s="1" customFormat="1" ht="15.75" x14ac:dyDescent="0.25">
      <c r="B6" s="37"/>
      <c r="C6" s="103" t="s">
        <v>76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52" t="s">
        <v>32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</row>
    <row r="7" spans="1:137" s="1" customFormat="1" ht="15.75" x14ac:dyDescent="0.25">
      <c r="B7" s="37"/>
      <c r="C7" s="103" t="s">
        <v>77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92"/>
      <c r="AA7" s="92"/>
      <c r="AB7" s="92"/>
      <c r="AC7" s="92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40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9"/>
    </row>
    <row r="8" spans="1:137" s="9" customFormat="1" ht="15.75" x14ac:dyDescent="0.25">
      <c r="A8" s="1"/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52" t="s">
        <v>78</v>
      </c>
      <c r="AA8" s="12"/>
      <c r="AB8" s="12"/>
      <c r="AC8" s="12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40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9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</row>
    <row r="9" spans="1:137" s="9" customFormat="1" ht="15.75" x14ac:dyDescent="0.25">
      <c r="A9" s="1"/>
      <c r="B9" s="37"/>
      <c r="C9" s="38"/>
      <c r="D9" s="38"/>
      <c r="E9" s="38"/>
      <c r="F9" s="38"/>
      <c r="G9" s="38"/>
      <c r="H9" s="38"/>
      <c r="I9" s="38"/>
      <c r="J9" s="158" t="s">
        <v>7</v>
      </c>
      <c r="K9" s="159"/>
      <c r="L9" s="158" t="s">
        <v>8</v>
      </c>
      <c r="M9" s="159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53" t="s">
        <v>79</v>
      </c>
      <c r="AA9" s="12"/>
      <c r="AB9" s="12"/>
      <c r="AC9" s="12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40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</row>
    <row r="10" spans="1:137" s="9" customFormat="1" ht="16.5" thickBot="1" x14ac:dyDescent="0.3">
      <c r="A10" s="1"/>
      <c r="B10" s="37"/>
      <c r="C10" s="38"/>
      <c r="D10" s="38"/>
      <c r="E10" s="38"/>
      <c r="F10" s="160" t="s">
        <v>14</v>
      </c>
      <c r="G10" s="161"/>
      <c r="H10" s="160" t="s">
        <v>29</v>
      </c>
      <c r="I10" s="161"/>
      <c r="J10" s="160" t="s">
        <v>3</v>
      </c>
      <c r="K10" s="161"/>
      <c r="L10" s="160" t="s">
        <v>6</v>
      </c>
      <c r="M10" s="161"/>
      <c r="N10" s="160" t="s">
        <v>127</v>
      </c>
      <c r="O10" s="161"/>
      <c r="P10" s="92"/>
      <c r="Q10" s="92"/>
      <c r="R10" s="92"/>
      <c r="S10" s="92"/>
      <c r="T10" s="92"/>
      <c r="U10" s="92"/>
      <c r="V10" s="92"/>
      <c r="W10" s="92"/>
      <c r="X10" s="144"/>
      <c r="Y10" s="91"/>
      <c r="Z10" s="54" t="s">
        <v>80</v>
      </c>
      <c r="AA10" s="92"/>
      <c r="AB10" s="92"/>
      <c r="AC10" s="92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40"/>
      <c r="AP10" s="38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1"/>
      <c r="BC10" s="33"/>
      <c r="BD10" s="33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</row>
    <row r="11" spans="1:137" ht="15.75" x14ac:dyDescent="0.25">
      <c r="B11" s="37"/>
      <c r="C11" s="38"/>
      <c r="D11" s="38"/>
      <c r="E11" s="38"/>
      <c r="F11" s="42" t="s">
        <v>10</v>
      </c>
      <c r="G11" s="10">
        <f ca="1">MIN(F20:F124)</f>
        <v>0.24606254776911152</v>
      </c>
      <c r="H11" s="42" t="s">
        <v>10</v>
      </c>
      <c r="I11" s="10">
        <f ca="1">MIN(H20:H124)</f>
        <v>0</v>
      </c>
      <c r="J11" s="42" t="s">
        <v>1</v>
      </c>
      <c r="K11" s="2">
        <v>0</v>
      </c>
      <c r="L11" s="42" t="s">
        <v>1</v>
      </c>
      <c r="M11" s="5">
        <v>1.8</v>
      </c>
      <c r="N11" s="42" t="s">
        <v>1</v>
      </c>
      <c r="O11" s="7">
        <f ca="1">AVERAGE(N20:N124)</f>
        <v>1.7740055738518117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53"/>
      <c r="AA11" s="12"/>
      <c r="AB11" s="12"/>
      <c r="AC11" s="12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40"/>
      <c r="AP11" s="43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1"/>
      <c r="BC11" s="33"/>
      <c r="BD11" s="33"/>
    </row>
    <row r="12" spans="1:137" ht="15.75" thickBot="1" x14ac:dyDescent="0.3">
      <c r="B12" s="37"/>
      <c r="C12" s="38"/>
      <c r="D12" s="38"/>
      <c r="E12" s="38"/>
      <c r="F12" s="42" t="s">
        <v>11</v>
      </c>
      <c r="G12" s="11">
        <f ca="1">MAX(F20:F124)</f>
        <v>0.68848267513597561</v>
      </c>
      <c r="H12" s="42" t="s">
        <v>11</v>
      </c>
      <c r="I12" s="11">
        <f ca="1">MAX(H20:H124)</f>
        <v>1</v>
      </c>
      <c r="J12" s="42" t="s">
        <v>2</v>
      </c>
      <c r="K12" s="3">
        <v>1</v>
      </c>
      <c r="L12" s="42" t="s">
        <v>2</v>
      </c>
      <c r="M12" s="6">
        <v>0.3</v>
      </c>
      <c r="N12" s="42" t="s">
        <v>2</v>
      </c>
      <c r="O12" s="8">
        <f ca="1">STDEV(N20:N124)</f>
        <v>0.27134434469634378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38" t="s">
        <v>33</v>
      </c>
      <c r="AA12" s="12"/>
      <c r="AB12" s="12"/>
      <c r="AC12" s="12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40"/>
      <c r="AP12" s="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1"/>
      <c r="BC12" s="33"/>
      <c r="BD12" s="33"/>
    </row>
    <row r="13" spans="1:137" ht="15.75" thickBot="1" x14ac:dyDescent="0.3">
      <c r="B13" s="37"/>
      <c r="C13" s="38"/>
      <c r="D13" s="38"/>
      <c r="E13" s="38"/>
      <c r="F13" s="160" t="s">
        <v>15</v>
      </c>
      <c r="G13" s="161"/>
      <c r="H13" s="160" t="s">
        <v>30</v>
      </c>
      <c r="I13" s="161"/>
      <c r="J13" s="160" t="s">
        <v>4</v>
      </c>
      <c r="K13" s="161"/>
      <c r="L13" s="160" t="s">
        <v>5</v>
      </c>
      <c r="M13" s="161"/>
      <c r="N13" s="160" t="s">
        <v>0</v>
      </c>
      <c r="O13" s="161"/>
      <c r="P13" s="92"/>
      <c r="Q13" s="92"/>
      <c r="R13" s="92"/>
      <c r="S13" s="92"/>
      <c r="T13" s="92"/>
      <c r="U13" s="92"/>
      <c r="V13" s="92"/>
      <c r="W13" s="92"/>
      <c r="X13" s="144"/>
      <c r="Y13" s="92"/>
      <c r="Z13" s="43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40"/>
      <c r="AP13" s="38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1"/>
      <c r="BC13" s="33"/>
      <c r="BD13" s="33"/>
    </row>
    <row r="14" spans="1:137" x14ac:dyDescent="0.25">
      <c r="B14" s="37"/>
      <c r="C14" s="38"/>
      <c r="D14" s="38"/>
      <c r="E14" s="38"/>
      <c r="F14" s="42" t="s">
        <v>10</v>
      </c>
      <c r="G14" s="10">
        <f ca="1">MIN(G20:G124)</f>
        <v>0.19956530496133698</v>
      </c>
      <c r="H14" s="42" t="s">
        <v>10</v>
      </c>
      <c r="I14" s="10">
        <f ca="1">MIN(I20:I124)</f>
        <v>0</v>
      </c>
      <c r="J14" s="42" t="s">
        <v>1</v>
      </c>
      <c r="K14" s="2">
        <v>0</v>
      </c>
      <c r="L14" s="42" t="s">
        <v>1</v>
      </c>
      <c r="M14" s="5">
        <v>12</v>
      </c>
      <c r="N14" s="42" t="s">
        <v>1</v>
      </c>
      <c r="O14" s="7">
        <f ca="1">AVERAGE(O20:O124)</f>
        <v>12.319987995812896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1"/>
      <c r="BC14" s="33"/>
      <c r="BD14" s="33"/>
    </row>
    <row r="15" spans="1:137" ht="15.75" thickBot="1" x14ac:dyDescent="0.3">
      <c r="B15" s="37"/>
      <c r="C15" s="38"/>
      <c r="D15" s="38"/>
      <c r="E15" s="38"/>
      <c r="F15" s="42" t="s">
        <v>11</v>
      </c>
      <c r="G15" s="11">
        <f ca="1">MAX(G20:G124)</f>
        <v>0.75719410370690821</v>
      </c>
      <c r="H15" s="42" t="s">
        <v>11</v>
      </c>
      <c r="I15" s="11">
        <f ca="1">MAX(I20:I124)</f>
        <v>1</v>
      </c>
      <c r="J15" s="42" t="s">
        <v>2</v>
      </c>
      <c r="K15" s="3">
        <v>1</v>
      </c>
      <c r="L15" s="42" t="s">
        <v>2</v>
      </c>
      <c r="M15" s="6">
        <v>3.5</v>
      </c>
      <c r="N15" s="42" t="s">
        <v>2</v>
      </c>
      <c r="O15" s="8">
        <f ca="1">STDEV(O20:O124)</f>
        <v>3.4058741421127272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1"/>
      <c r="BC15" s="33"/>
      <c r="BD15" s="33"/>
    </row>
    <row r="16" spans="1:137" ht="15.75" thickBot="1" x14ac:dyDescent="0.3">
      <c r="B16" s="37"/>
      <c r="C16" s="38"/>
      <c r="D16" s="38"/>
      <c r="E16" s="38"/>
      <c r="F16" s="38"/>
      <c r="G16" s="38"/>
      <c r="H16" s="38"/>
      <c r="I16" s="38"/>
      <c r="J16" s="42" t="s">
        <v>9</v>
      </c>
      <c r="K16" s="4">
        <v>-0.85</v>
      </c>
      <c r="L16" s="38"/>
      <c r="M16" s="43"/>
      <c r="N16" s="38"/>
      <c r="O16" s="43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1"/>
      <c r="BC16" s="33"/>
      <c r="BD16" s="33"/>
    </row>
    <row r="17" spans="1:137" s="9" customFormat="1" ht="19.5" thickBot="1" x14ac:dyDescent="0.35">
      <c r="A17" s="1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132" t="s">
        <v>44</v>
      </c>
      <c r="Q17" s="60"/>
      <c r="R17" s="60"/>
      <c r="S17" s="60"/>
      <c r="T17" s="60"/>
      <c r="U17" s="60"/>
      <c r="V17" s="60"/>
      <c r="W17" s="61"/>
      <c r="X17" s="45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1"/>
      <c r="BC17" s="33"/>
      <c r="BD17" s="33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</row>
    <row r="18" spans="1:137" s="9" customFormat="1" ht="76.5" customHeight="1" thickBot="1" x14ac:dyDescent="0.3">
      <c r="A18" s="1"/>
      <c r="B18" s="37"/>
      <c r="C18" s="104"/>
      <c r="D18" s="164" t="s">
        <v>26</v>
      </c>
      <c r="E18" s="164"/>
      <c r="F18" s="164" t="s">
        <v>25</v>
      </c>
      <c r="G18" s="164"/>
      <c r="H18" s="164" t="s">
        <v>24</v>
      </c>
      <c r="I18" s="164"/>
      <c r="J18" s="164" t="s">
        <v>27</v>
      </c>
      <c r="K18" s="164"/>
      <c r="L18" s="164" t="s">
        <v>28</v>
      </c>
      <c r="M18" s="164"/>
      <c r="N18" s="105" t="s">
        <v>124</v>
      </c>
      <c r="O18" s="146" t="s">
        <v>125</v>
      </c>
      <c r="P18" s="62"/>
      <c r="Q18" s="63"/>
      <c r="R18" s="63"/>
      <c r="S18" s="63"/>
      <c r="T18" s="63"/>
      <c r="U18" s="63"/>
      <c r="V18" s="63"/>
      <c r="W18" s="64"/>
      <c r="X18" s="44"/>
      <c r="Y18" s="44"/>
      <c r="Z18" s="90"/>
      <c r="AA18" s="90"/>
      <c r="AB18" s="90"/>
      <c r="AC18" s="90"/>
      <c r="AD18" s="90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9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</row>
    <row r="19" spans="1:137" s="9" customFormat="1" ht="17.25" x14ac:dyDescent="0.25">
      <c r="A19" s="1"/>
      <c r="B19" s="37"/>
      <c r="C19" s="56" t="s">
        <v>20</v>
      </c>
      <c r="D19" s="56" t="s">
        <v>12</v>
      </c>
      <c r="E19" s="56" t="s">
        <v>13</v>
      </c>
      <c r="F19" s="56" t="s">
        <v>18</v>
      </c>
      <c r="G19" s="56" t="s">
        <v>17</v>
      </c>
      <c r="H19" s="56" t="s">
        <v>16</v>
      </c>
      <c r="I19" s="56" t="s">
        <v>19</v>
      </c>
      <c r="J19" s="56" t="s">
        <v>3</v>
      </c>
      <c r="K19" s="56" t="s">
        <v>4</v>
      </c>
      <c r="L19" s="56" t="s">
        <v>6</v>
      </c>
      <c r="M19" s="56" t="s">
        <v>5</v>
      </c>
      <c r="N19" s="56" t="s">
        <v>128</v>
      </c>
      <c r="O19" s="56" t="s">
        <v>0</v>
      </c>
      <c r="P19" s="65" t="s">
        <v>34</v>
      </c>
      <c r="Q19" s="56" t="s">
        <v>35</v>
      </c>
      <c r="R19" s="56" t="s">
        <v>37</v>
      </c>
      <c r="S19" s="56" t="s">
        <v>38</v>
      </c>
      <c r="T19" s="56" t="s">
        <v>54</v>
      </c>
      <c r="U19" s="56" t="s">
        <v>53</v>
      </c>
      <c r="V19" s="56" t="s">
        <v>126</v>
      </c>
      <c r="W19" s="66" t="s">
        <v>41</v>
      </c>
      <c r="X19" s="145"/>
      <c r="Y19" s="90"/>
      <c r="Z19" s="90"/>
      <c r="AA19" s="90"/>
      <c r="AB19" s="90"/>
      <c r="AC19" s="90"/>
      <c r="AD19" s="90"/>
      <c r="AE19" s="38"/>
      <c r="AF19" s="38"/>
      <c r="AG19" s="38"/>
      <c r="AH19" s="38"/>
      <c r="AI19" s="38"/>
      <c r="AJ19" s="38"/>
      <c r="AK19" s="38"/>
      <c r="AL19" s="45" t="s">
        <v>129</v>
      </c>
      <c r="AM19" s="38"/>
      <c r="AN19" s="38"/>
      <c r="AO19" s="162" t="s">
        <v>23</v>
      </c>
      <c r="AP19" s="13">
        <f ca="1">AM21</f>
        <v>1.1265625245881119</v>
      </c>
      <c r="AQ19" s="14">
        <f t="shared" ref="AQ19:AY19" ca="1" si="0">AP19+($AM$22-$AM$21)/10</f>
        <v>1.2575640040861327</v>
      </c>
      <c r="AR19" s="14">
        <f t="shared" ca="1" si="0"/>
        <v>1.3885654835841534</v>
      </c>
      <c r="AS19" s="14">
        <f t="shared" ca="1" si="0"/>
        <v>1.5195669630821742</v>
      </c>
      <c r="AT19" s="14">
        <f t="shared" ca="1" si="0"/>
        <v>1.650568442580195</v>
      </c>
      <c r="AU19" s="14">
        <f t="shared" ca="1" si="0"/>
        <v>1.7815699220782157</v>
      </c>
      <c r="AV19" s="14">
        <f t="shared" ca="1" si="0"/>
        <v>1.9125714015762365</v>
      </c>
      <c r="AW19" s="14">
        <f t="shared" ca="1" si="0"/>
        <v>2.0435728810742573</v>
      </c>
      <c r="AX19" s="14">
        <f t="shared" ca="1" si="0"/>
        <v>2.174574360572278</v>
      </c>
      <c r="AY19" s="15">
        <f t="shared" ca="1" si="0"/>
        <v>2.3055758400702988</v>
      </c>
      <c r="AZ19" s="38"/>
      <c r="BA19" s="38"/>
      <c r="BB19" s="39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</row>
    <row r="20" spans="1:137" s="9" customFormat="1" ht="15.75" thickBot="1" x14ac:dyDescent="0.3">
      <c r="A20" s="1"/>
      <c r="B20" s="37"/>
      <c r="C20" s="46">
        <v>0.25</v>
      </c>
      <c r="D20" s="46">
        <f ca="1">RAND()</f>
        <v>0.84921976872430582</v>
      </c>
      <c r="E20" s="46">
        <f ca="1">RAND()</f>
        <v>0.60272331778187549</v>
      </c>
      <c r="F20" s="46">
        <f ca="1">AVERAGE(D20:D24)</f>
        <v>0.43377544985644612</v>
      </c>
      <c r="G20" s="46">
        <f ca="1">AVERAGE(E20:E24)</f>
        <v>0.5108364731130417</v>
      </c>
      <c r="H20" s="46">
        <f ca="1">(F20-$G$11)/($G$12-$G$11)</f>
        <v>0.42428653326542509</v>
      </c>
      <c r="I20" s="46">
        <f ca="1">(G20-$G$14)/($G$15-$G$14)</f>
        <v>0.55820497228969002</v>
      </c>
      <c r="J20" s="46">
        <f ca="1">_xlfn.NORM.INV(RAND(),$K$11,$K$12)</f>
        <v>-0.67333603228050143</v>
      </c>
      <c r="K20" s="46">
        <f ca="1">_xlfn.NORM.INV(RAND(),$K$14+$K$16*($K$15/$K$12)*(J20-$K$11),SQRT((1-$K$16^2)*$K$12))</f>
        <v>1.706835371816199</v>
      </c>
      <c r="L20" s="12">
        <f ca="1">J20*$M$12+$M$11</f>
        <v>1.5979991903158497</v>
      </c>
      <c r="M20" s="12">
        <f ca="1">K20*$M$15+$M$14</f>
        <v>17.973923801356698</v>
      </c>
      <c r="N20" s="46">
        <f ca="1">IF(L20&lt;0,0,L20)</f>
        <v>1.5979991903158497</v>
      </c>
      <c r="O20" s="12">
        <f ca="1">IF(M20&lt;0,0,M20)</f>
        <v>17.973923801356698</v>
      </c>
      <c r="P20" s="67">
        <f ca="1">N20-$O$11</f>
        <v>-0.17600638353596199</v>
      </c>
      <c r="Q20" s="46">
        <f ca="1">O20-$O$11</f>
        <v>16.199918227504885</v>
      </c>
      <c r="R20" s="46">
        <f ca="1">P20*Q20</f>
        <v>-2.8512890208014463</v>
      </c>
      <c r="S20" s="46">
        <f ca="1">P20^2</f>
        <v>3.097824704540815E-2</v>
      </c>
      <c r="T20" s="46">
        <f ca="1">(O20-V20)^2</f>
        <v>15.081694474871068</v>
      </c>
      <c r="U20" s="46">
        <f ca="1">(O20-$O$14)^2</f>
        <v>31.966990093210232</v>
      </c>
      <c r="V20" s="46">
        <f t="shared" ref="V20:V51" ca="1" si="1">$AC$95+$AA$95*N20</f>
        <v>14.090408064956101</v>
      </c>
      <c r="W20" s="68">
        <f ca="1">V20-O20</f>
        <v>-3.8835157364005966</v>
      </c>
      <c r="X20" s="46"/>
      <c r="Y20" s="46"/>
      <c r="Z20" s="12"/>
      <c r="AA20" s="12"/>
      <c r="AB20" s="12"/>
      <c r="AC20" s="12"/>
      <c r="AD20" s="12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165"/>
      <c r="AP20" s="16">
        <f t="shared" ref="AP20:AY20" ca="1" si="2">AP19+($AM$22-$AM$21)/10</f>
        <v>1.2575640040861327</v>
      </c>
      <c r="AQ20" s="17">
        <f t="shared" ca="1" si="2"/>
        <v>1.3885654835841534</v>
      </c>
      <c r="AR20" s="17">
        <f t="shared" ca="1" si="2"/>
        <v>1.5195669630821742</v>
      </c>
      <c r="AS20" s="17">
        <f t="shared" ca="1" si="2"/>
        <v>1.650568442580195</v>
      </c>
      <c r="AT20" s="17">
        <f t="shared" ca="1" si="2"/>
        <v>1.7815699220782157</v>
      </c>
      <c r="AU20" s="17">
        <f t="shared" ca="1" si="2"/>
        <v>1.9125714015762365</v>
      </c>
      <c r="AV20" s="17">
        <f t="shared" ca="1" si="2"/>
        <v>2.0435728810742573</v>
      </c>
      <c r="AW20" s="17">
        <f t="shared" ca="1" si="2"/>
        <v>2.174574360572278</v>
      </c>
      <c r="AX20" s="17">
        <f t="shared" ca="1" si="2"/>
        <v>2.3055758400702988</v>
      </c>
      <c r="AY20" s="18">
        <f t="shared" ca="1" si="2"/>
        <v>2.4365773195683196</v>
      </c>
      <c r="AZ20" s="38"/>
      <c r="BA20" s="38"/>
      <c r="BB20" s="39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</row>
    <row r="21" spans="1:137" s="9" customFormat="1" x14ac:dyDescent="0.25">
      <c r="A21" s="1"/>
      <c r="B21" s="37"/>
      <c r="C21" s="46">
        <f>C20+0.25</f>
        <v>0.5</v>
      </c>
      <c r="D21" s="46">
        <f t="shared" ref="D21:E52" ca="1" si="3">RAND()</f>
        <v>0.39108150864085822</v>
      </c>
      <c r="E21" s="46">
        <f t="shared" ca="1" si="3"/>
        <v>0.62093136329968235</v>
      </c>
      <c r="F21" s="46">
        <f ca="1">AVERAGE(D20:D25)</f>
        <v>0.48833246800097418</v>
      </c>
      <c r="G21" s="46">
        <f ca="1">AVERAGE(E20:E25)</f>
        <v>0.4777979326282395</v>
      </c>
      <c r="H21" s="46">
        <f t="shared" ref="H21:H84" ca="1" si="4">(F21-$G$11)/($G$12-$G$11)</f>
        <v>0.54760148837208611</v>
      </c>
      <c r="I21" s="46">
        <f t="shared" ref="I21:I84" ca="1" si="5">(G21-$G$14)/($G$15-$G$14)</f>
        <v>0.49895670433953215</v>
      </c>
      <c r="J21" s="46">
        <f t="shared" ref="J21:J84" ca="1" si="6">_xlfn.NORM.INV(RAND(),$K$11,$K$12)</f>
        <v>-1.7155921175641502</v>
      </c>
      <c r="K21" s="46">
        <f t="shared" ref="K21:K84" ca="1" si="7">_xlfn.NORM.INV(RAND(),$K$14+$K$16*($K$15/$K$12)*(J21-$K$11),SQRT((1-$K$16^2)*$K$12))</f>
        <v>1.4774295180067838</v>
      </c>
      <c r="L21" s="12">
        <f t="shared" ref="L21:L84" ca="1" si="8">J21*$M$12+$M$11</f>
        <v>1.285322364730755</v>
      </c>
      <c r="M21" s="12">
        <f t="shared" ref="M21:M84" ca="1" si="9">K21*$M$15+$M$14</f>
        <v>17.171003313023743</v>
      </c>
      <c r="N21" s="46">
        <f t="shared" ref="N21:N84" ca="1" si="10">IF(L21&lt;0,0,L21)</f>
        <v>1.285322364730755</v>
      </c>
      <c r="O21" s="12">
        <f t="shared" ref="O21:O84" ca="1" si="11">IF(M21&lt;0,0,M21)</f>
        <v>17.171003313023743</v>
      </c>
      <c r="P21" s="67">
        <f t="shared" ref="P21:P52" ca="1" si="12">N21-$O$11</f>
        <v>-0.48868320912105667</v>
      </c>
      <c r="Q21" s="46">
        <f t="shared" ref="Q21:Q84" ca="1" si="13">O21-$O$11</f>
        <v>15.396997739171931</v>
      </c>
      <c r="R21" s="46">
        <f t="shared" ref="R21:R84" ca="1" si="14">P21*Q21</f>
        <v>-7.5242542660081941</v>
      </c>
      <c r="S21" s="46">
        <f t="shared" ref="S21:S84" ca="1" si="15">P21^2</f>
        <v>0.23881127887685441</v>
      </c>
      <c r="T21" s="46">
        <f t="shared" ref="T21:T84" ca="1" si="16">(O21-V21)^2</f>
        <v>4.1694068724771067E-3</v>
      </c>
      <c r="U21" s="46">
        <f t="shared" ref="U21:U84" ca="1" si="17">(O21-$O$14)^2</f>
        <v>23.532349607814247</v>
      </c>
      <c r="V21" s="46">
        <f t="shared" ca="1" si="1"/>
        <v>17.235574257514877</v>
      </c>
      <c r="W21" s="68">
        <f t="shared" ref="W21:W84" ca="1" si="18">V21-O21</f>
        <v>6.4570944491133986E-2</v>
      </c>
      <c r="X21" s="46"/>
      <c r="Y21" s="46"/>
      <c r="Z21" s="12"/>
      <c r="AA21" s="12"/>
      <c r="AB21" s="12"/>
      <c r="AC21" s="12"/>
      <c r="AD21" s="12"/>
      <c r="AE21" s="38"/>
      <c r="AF21" s="38"/>
      <c r="AG21" s="38"/>
      <c r="AH21" s="38"/>
      <c r="AI21" s="38"/>
      <c r="AJ21" s="38"/>
      <c r="AK21" s="38"/>
      <c r="AL21" s="23" t="s">
        <v>10</v>
      </c>
      <c r="AM21" s="19">
        <f ca="1">MIN(N20:N124)</f>
        <v>1.1265625245881119</v>
      </c>
      <c r="AN21" s="42" t="s">
        <v>0</v>
      </c>
      <c r="AO21" s="31">
        <f ca="1">MIN(N20:N124)</f>
        <v>1.1265625245881119</v>
      </c>
      <c r="AP21" s="14">
        <f ca="1">$AM$21+($AM$22-$AM$21)/20</f>
        <v>1.1920632643371223</v>
      </c>
      <c r="AQ21" s="14">
        <f t="shared" ref="AQ21:AY21" ca="1" si="19">AP21+($AM$22-$AM$21)/10</f>
        <v>1.3230647438351431</v>
      </c>
      <c r="AR21" s="14">
        <f t="shared" ca="1" si="19"/>
        <v>1.4540662233331638</v>
      </c>
      <c r="AS21" s="14">
        <f t="shared" ca="1" si="19"/>
        <v>1.5850677028311846</v>
      </c>
      <c r="AT21" s="14">
        <f t="shared" ca="1" si="19"/>
        <v>1.7160691823292054</v>
      </c>
      <c r="AU21" s="14">
        <f t="shared" ca="1" si="19"/>
        <v>1.8470706618272261</v>
      </c>
      <c r="AV21" s="14">
        <f t="shared" ca="1" si="19"/>
        <v>1.9780721413252469</v>
      </c>
      <c r="AW21" s="14">
        <f t="shared" ca="1" si="19"/>
        <v>2.1090736208232674</v>
      </c>
      <c r="AX21" s="14">
        <f t="shared" ca="1" si="19"/>
        <v>2.2400751003212882</v>
      </c>
      <c r="AY21" s="14">
        <f t="shared" ca="1" si="19"/>
        <v>2.371076579819309</v>
      </c>
      <c r="AZ21" s="21">
        <f ca="1">AM22</f>
        <v>2.4365773195683187</v>
      </c>
      <c r="BA21" s="38"/>
      <c r="BB21" s="39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</row>
    <row r="22" spans="1:137" s="9" customFormat="1" ht="15.75" thickBot="1" x14ac:dyDescent="0.3">
      <c r="A22" s="1"/>
      <c r="B22" s="37"/>
      <c r="C22" s="46">
        <f t="shared" ref="C22:C85" si="20">C21+0.25</f>
        <v>0.75</v>
      </c>
      <c r="D22" s="46">
        <f t="shared" ca="1" si="3"/>
        <v>3.5502010720145361E-4</v>
      </c>
      <c r="E22" s="46">
        <f t="shared" ca="1" si="3"/>
        <v>0.34785013875760329</v>
      </c>
      <c r="F22" s="46">
        <f ca="1">AVERAGE(D20:D26)</f>
        <v>0.50554866839592061</v>
      </c>
      <c r="G22" s="46">
        <f ca="1">AVERAGE(E20:E26)</f>
        <v>0.41353346041193234</v>
      </c>
      <c r="H22" s="46">
        <f t="shared" ca="1" si="4"/>
        <v>0.58651517997425495</v>
      </c>
      <c r="I22" s="46">
        <f t="shared" ca="1" si="5"/>
        <v>0.38371073361335201</v>
      </c>
      <c r="J22" s="46">
        <f t="shared" ca="1" si="6"/>
        <v>-0.35536988088078764</v>
      </c>
      <c r="K22" s="46">
        <f t="shared" ca="1" si="7"/>
        <v>0.64930151884361753</v>
      </c>
      <c r="L22" s="12">
        <f t="shared" ca="1" si="8"/>
        <v>1.6933890357357637</v>
      </c>
      <c r="M22" s="12">
        <f t="shared" ca="1" si="9"/>
        <v>14.272555315952662</v>
      </c>
      <c r="N22" s="46">
        <f t="shared" ca="1" si="10"/>
        <v>1.6933890357357637</v>
      </c>
      <c r="O22" s="12">
        <f t="shared" ca="1" si="11"/>
        <v>14.272555315952662</v>
      </c>
      <c r="P22" s="67">
        <f t="shared" ca="1" si="12"/>
        <v>-8.0616538116047964E-2</v>
      </c>
      <c r="Q22" s="46">
        <f t="shared" ca="1" si="13"/>
        <v>12.498549742100851</v>
      </c>
      <c r="R22" s="46">
        <f t="shared" ca="1" si="14"/>
        <v>-1.0075898116793947</v>
      </c>
      <c r="S22" s="46">
        <f t="shared" ca="1" si="15"/>
        <v>6.4990262178162145E-3</v>
      </c>
      <c r="T22" s="46">
        <f t="shared" ca="1" si="16"/>
        <v>1.3033840245649129</v>
      </c>
      <c r="U22" s="46">
        <f t="shared" ca="1" si="17"/>
        <v>3.8125191396777858</v>
      </c>
      <c r="V22" s="46">
        <f t="shared" ca="1" si="1"/>
        <v>13.130896862401464</v>
      </c>
      <c r="W22" s="68">
        <f t="shared" ca="1" si="18"/>
        <v>-1.141658453551198</v>
      </c>
      <c r="X22" s="46"/>
      <c r="Y22" s="46"/>
      <c r="Z22" s="12"/>
      <c r="AA22" s="12"/>
      <c r="AB22" s="12"/>
      <c r="AC22" s="12"/>
      <c r="AD22" s="12"/>
      <c r="AE22" s="38"/>
      <c r="AF22" s="38"/>
      <c r="AG22" s="38"/>
      <c r="AH22" s="38"/>
      <c r="AI22" s="38"/>
      <c r="AJ22" s="38"/>
      <c r="AK22" s="38"/>
      <c r="AL22" s="24" t="s">
        <v>11</v>
      </c>
      <c r="AM22" s="20">
        <f ca="1">MAX(N20:N124)</f>
        <v>2.4365773195683187</v>
      </c>
      <c r="AN22" s="42" t="s">
        <v>21</v>
      </c>
      <c r="AO22" s="32">
        <v>0</v>
      </c>
      <c r="AP22" s="17">
        <f ca="1">COUNTIF($N$20:$N$124,"&lt;"&amp;AP20)/COUNT($N$20:$N$124)</f>
        <v>1.9047619047619049E-2</v>
      </c>
      <c r="AQ22" s="17">
        <f ca="1">(COUNTIF($N$20:$N$124,"&lt;"&amp;AQ20)-AP22)/COUNT(N20:N124)</f>
        <v>0.11410430839002268</v>
      </c>
      <c r="AR22" s="17">
        <f ca="1">(COUNTIF($N$20:$N$124,"&lt;"&amp;AR20)/COUNT($N$20:$N$124))-SUM($AP$22:AQ22)</f>
        <v>2.8752834467120181E-2</v>
      </c>
      <c r="AS22" s="17">
        <f ca="1">(COUNTIF($N$20:$N$124,"&lt;"&amp;AS20)/COUNT($N$20:$N$124))-SUM($AP$22:AR22)</f>
        <v>0.12380952380952379</v>
      </c>
      <c r="AT22" s="17">
        <f ca="1">(COUNTIF($N$20:$N$124,"&lt;"&amp;AT20)/COUNT($N$20:$N$124))-SUM($AP$22:AS22)</f>
        <v>0.21904761904761905</v>
      </c>
      <c r="AU22" s="17">
        <f ca="1">(COUNTIF($N$20:$N$124,"&lt;"&amp;AU20)/COUNT($N$20:$N$124))-SUM($AP$22:AT22)</f>
        <v>0.21904761904761905</v>
      </c>
      <c r="AV22" s="17">
        <f ca="1">(COUNTIF($N$20:$N$124,"&lt;"&amp;AV20)/COUNT($N$20:$N$124))-SUM($AP$22:AU22)</f>
        <v>8.5714285714285743E-2</v>
      </c>
      <c r="AW22" s="17">
        <f ca="1">(COUNTIF($N$20:$N$124,"&lt;"&amp;AW20)/COUNT($N$20:$N$124))-SUM($AP$22:AV22)</f>
        <v>0.12380952380952381</v>
      </c>
      <c r="AX22" s="17">
        <f ca="1">(COUNTIF($N$20:$N$124,"&lt;"&amp;AX20)/COUNT($N$20:$N$124))-SUM($AP$22:AW22)</f>
        <v>4.7619047619047561E-2</v>
      </c>
      <c r="AY22" s="17">
        <f ca="1">(COUNTIF($N$20:$N$124,"&lt;"&amp;AY20)/COUNT($N$20:$N$124))-SUM($AP$22:AX22)</f>
        <v>9.523809523809601E-3</v>
      </c>
      <c r="AZ22" s="22">
        <v>0</v>
      </c>
      <c r="BA22" s="38"/>
      <c r="BB22" s="39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</row>
    <row r="23" spans="1:137" s="9" customFormat="1" ht="15.75" thickBot="1" x14ac:dyDescent="0.3">
      <c r="A23" s="1"/>
      <c r="B23" s="37"/>
      <c r="C23" s="46">
        <f t="shared" si="20"/>
        <v>1</v>
      </c>
      <c r="D23" s="46">
        <f t="shared" ca="1" si="3"/>
        <v>0.59780999376920341</v>
      </c>
      <c r="E23" s="46">
        <f t="shared" ca="1" si="3"/>
        <v>0.39978628118843251</v>
      </c>
      <c r="F23" s="46">
        <f ca="1">AVERAGE(D20:D27)</f>
        <v>0.55504134422015305</v>
      </c>
      <c r="G23" s="46">
        <f ca="1">AVERAGE(E20:E27)</f>
        <v>0.42557324140793268</v>
      </c>
      <c r="H23" s="46">
        <f t="shared" ca="1" si="4"/>
        <v>0.69838322747651538</v>
      </c>
      <c r="I23" s="46">
        <f t="shared" ca="1" si="5"/>
        <v>0.4053017651796641</v>
      </c>
      <c r="J23" s="46">
        <f t="shared" ca="1" si="6"/>
        <v>-0.52848190581510468</v>
      </c>
      <c r="K23" s="46">
        <f t="shared" ca="1" si="7"/>
        <v>0.44414164932345224</v>
      </c>
      <c r="L23" s="12">
        <f t="shared" ca="1" si="8"/>
        <v>1.6414554282554685</v>
      </c>
      <c r="M23" s="12">
        <f t="shared" ca="1" si="9"/>
        <v>13.554495772632084</v>
      </c>
      <c r="N23" s="46">
        <f t="shared" ca="1" si="10"/>
        <v>1.6414554282554685</v>
      </c>
      <c r="O23" s="12">
        <f t="shared" ca="1" si="11"/>
        <v>13.554495772632084</v>
      </c>
      <c r="P23" s="67">
        <f t="shared" ca="1" si="12"/>
        <v>-0.13255014559634315</v>
      </c>
      <c r="Q23" s="46">
        <f t="shared" ca="1" si="13"/>
        <v>11.780490198780273</v>
      </c>
      <c r="R23" s="46">
        <f t="shared" ca="1" si="14"/>
        <v>-1.5615056910446186</v>
      </c>
      <c r="S23" s="46">
        <f t="shared" ca="1" si="15"/>
        <v>1.7569541097611767E-2</v>
      </c>
      <c r="T23" s="46">
        <f t="shared" ca="1" si="16"/>
        <v>9.7600456655765281E-3</v>
      </c>
      <c r="U23" s="46">
        <f t="shared" ca="1" si="17"/>
        <v>1.5240094510270528</v>
      </c>
      <c r="V23" s="46">
        <f t="shared" ca="1" si="1"/>
        <v>13.653288716031785</v>
      </c>
      <c r="W23" s="68">
        <f t="shared" ca="1" si="18"/>
        <v>9.8792943399701016E-2</v>
      </c>
      <c r="X23" s="46"/>
      <c r="Y23" s="46"/>
      <c r="Z23" s="12"/>
      <c r="AA23" s="12"/>
      <c r="AB23" s="12"/>
      <c r="AC23" s="12"/>
      <c r="AD23" s="12"/>
      <c r="AE23" s="38"/>
      <c r="AF23" s="38"/>
      <c r="AG23" s="38"/>
      <c r="AH23" s="38"/>
      <c r="AI23" s="38"/>
      <c r="AJ23" s="38"/>
      <c r="AK23" s="38"/>
      <c r="AL23" s="38"/>
      <c r="AM23" s="38"/>
      <c r="AN23" s="42" t="s">
        <v>31</v>
      </c>
      <c r="AO23" s="25">
        <f>AO22</f>
        <v>0</v>
      </c>
      <c r="AP23" s="26">
        <f ca="1">AP22+AO23</f>
        <v>1.9047619047619049E-2</v>
      </c>
      <c r="AQ23" s="26">
        <f t="shared" ref="AQ23:AZ23" ca="1" si="21">AQ22+AP23</f>
        <v>0.13315192743764173</v>
      </c>
      <c r="AR23" s="26">
        <f t="shared" ca="1" si="21"/>
        <v>0.16190476190476191</v>
      </c>
      <c r="AS23" s="26">
        <f t="shared" ca="1" si="21"/>
        <v>0.2857142857142857</v>
      </c>
      <c r="AT23" s="26">
        <f t="shared" ca="1" si="21"/>
        <v>0.50476190476190474</v>
      </c>
      <c r="AU23" s="26">
        <f t="shared" ca="1" si="21"/>
        <v>0.72380952380952379</v>
      </c>
      <c r="AV23" s="26">
        <f t="shared" ca="1" si="21"/>
        <v>0.80952380952380953</v>
      </c>
      <c r="AW23" s="26">
        <f t="shared" ca="1" si="21"/>
        <v>0.93333333333333335</v>
      </c>
      <c r="AX23" s="26">
        <f t="shared" ca="1" si="21"/>
        <v>0.98095238095238091</v>
      </c>
      <c r="AY23" s="26">
        <f t="shared" ca="1" si="21"/>
        <v>0.99047619047619051</v>
      </c>
      <c r="AZ23" s="27">
        <f t="shared" ca="1" si="21"/>
        <v>0.99047619047619051</v>
      </c>
      <c r="BA23" s="38"/>
      <c r="BB23" s="39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</row>
    <row r="24" spans="1:137" s="9" customFormat="1" x14ac:dyDescent="0.25">
      <c r="A24" s="1"/>
      <c r="B24" s="37"/>
      <c r="C24" s="46">
        <f t="shared" si="20"/>
        <v>1.25</v>
      </c>
      <c r="D24" s="46">
        <f t="shared" ca="1" si="3"/>
        <v>0.3304109580406619</v>
      </c>
      <c r="E24" s="46">
        <f t="shared" ca="1" si="3"/>
        <v>0.58289126453761519</v>
      </c>
      <c r="F24" s="46">
        <f ca="1">AVERAGE(D20:D28)</f>
        <v>0.57429261463557024</v>
      </c>
      <c r="G24" s="46">
        <f ca="1">AVERAGE(E20:E28)</f>
        <v>0.47036812361452274</v>
      </c>
      <c r="H24" s="46">
        <f t="shared" ca="1" si="4"/>
        <v>0.74189677766238571</v>
      </c>
      <c r="I24" s="46">
        <f t="shared" ca="1" si="5"/>
        <v>0.48563277087262618</v>
      </c>
      <c r="J24" s="46">
        <f t="shared" ca="1" si="6"/>
        <v>0.35432775022077029</v>
      </c>
      <c r="K24" s="46">
        <f t="shared" ca="1" si="7"/>
        <v>-0.62143817371271792</v>
      </c>
      <c r="L24" s="12">
        <f t="shared" ca="1" si="8"/>
        <v>1.9062983250662311</v>
      </c>
      <c r="M24" s="12">
        <f t="shared" ca="1" si="9"/>
        <v>9.8249663920054875</v>
      </c>
      <c r="N24" s="46">
        <f t="shared" ca="1" si="10"/>
        <v>1.9062983250662311</v>
      </c>
      <c r="O24" s="12">
        <f t="shared" ca="1" si="11"/>
        <v>9.8249663920054875</v>
      </c>
      <c r="P24" s="67">
        <f t="shared" ca="1" si="12"/>
        <v>0.13229275121441941</v>
      </c>
      <c r="Q24" s="46">
        <f t="shared" ca="1" si="13"/>
        <v>8.0509608181536763</v>
      </c>
      <c r="R24" s="46">
        <f t="shared" ca="1" si="14"/>
        <v>1.0650837565530429</v>
      </c>
      <c r="S24" s="46">
        <f t="shared" ca="1" si="15"/>
        <v>1.750137202388027E-2</v>
      </c>
      <c r="T24" s="46">
        <f t="shared" ca="1" si="16"/>
        <v>1.3556177121089934</v>
      </c>
      <c r="U24" s="46">
        <f t="shared" ca="1" si="17"/>
        <v>6.2251328034656952</v>
      </c>
      <c r="V24" s="46">
        <f t="shared" ca="1" si="1"/>
        <v>10.98927636452526</v>
      </c>
      <c r="W24" s="68">
        <f t="shared" ca="1" si="18"/>
        <v>1.1643099725197725</v>
      </c>
      <c r="X24" s="46"/>
      <c r="Y24" s="46"/>
      <c r="Z24" s="12"/>
      <c r="AA24" s="12"/>
      <c r="AB24" s="12"/>
      <c r="AC24" s="12"/>
      <c r="AD24" s="12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47"/>
      <c r="AX24" s="38"/>
      <c r="AY24" s="38"/>
      <c r="AZ24" s="38"/>
      <c r="BA24" s="38"/>
      <c r="BB24" s="39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</row>
    <row r="25" spans="1:137" s="9" customFormat="1" x14ac:dyDescent="0.25">
      <c r="A25" s="1"/>
      <c r="B25" s="37"/>
      <c r="C25" s="46">
        <f t="shared" si="20"/>
        <v>1.5</v>
      </c>
      <c r="D25" s="46">
        <f t="shared" ca="1" si="3"/>
        <v>0.76111755872361442</v>
      </c>
      <c r="E25" s="46">
        <f t="shared" ca="1" si="3"/>
        <v>0.31260523020422815</v>
      </c>
      <c r="F25" s="46">
        <f t="shared" ref="F25:G25" ca="1" si="22">AVERAGE(D21:D29)</f>
        <v>0.50237695074708866</v>
      </c>
      <c r="G25" s="46">
        <f t="shared" ca="1" si="22"/>
        <v>0.48410772955412795</v>
      </c>
      <c r="H25" s="46">
        <f t="shared" ca="1" si="4"/>
        <v>0.57934616244399717</v>
      </c>
      <c r="I25" s="46">
        <f t="shared" ca="1" si="5"/>
        <v>0.51027211154246521</v>
      </c>
      <c r="J25" s="46">
        <f t="shared" ca="1" si="6"/>
        <v>-1.7454227342325033</v>
      </c>
      <c r="K25" s="46">
        <f t="shared" ca="1" si="7"/>
        <v>1.6422948573941976</v>
      </c>
      <c r="L25" s="12">
        <f t="shared" ca="1" si="8"/>
        <v>1.2763731797302491</v>
      </c>
      <c r="M25" s="12">
        <f t="shared" ca="1" si="9"/>
        <v>17.748032000879689</v>
      </c>
      <c r="N25" s="46">
        <f t="shared" ca="1" si="10"/>
        <v>1.2763731797302491</v>
      </c>
      <c r="O25" s="12">
        <f t="shared" ca="1" si="11"/>
        <v>17.748032000879689</v>
      </c>
      <c r="P25" s="67">
        <f t="shared" ca="1" si="12"/>
        <v>-0.49763239412156257</v>
      </c>
      <c r="Q25" s="46">
        <f t="shared" ca="1" si="13"/>
        <v>15.974026427027878</v>
      </c>
      <c r="R25" s="46">
        <f t="shared" ca="1" si="14"/>
        <v>-7.9491930146429928</v>
      </c>
      <c r="S25" s="46">
        <f t="shared" ca="1" si="15"/>
        <v>0.24763799967915817</v>
      </c>
      <c r="T25" s="46">
        <f t="shared" ca="1" si="16"/>
        <v>0.17845498110143476</v>
      </c>
      <c r="U25" s="46">
        <f t="shared" ca="1" si="17"/>
        <v>29.463661720941552</v>
      </c>
      <c r="V25" s="46">
        <f t="shared" ca="1" si="1"/>
        <v>17.325592678489556</v>
      </c>
      <c r="W25" s="68">
        <f t="shared" ca="1" si="18"/>
        <v>-0.42243932239013304</v>
      </c>
      <c r="X25" s="46"/>
      <c r="Y25" s="46"/>
      <c r="Z25" s="12"/>
      <c r="AA25" s="12"/>
      <c r="AB25" s="12"/>
      <c r="AC25" s="12"/>
      <c r="AD25" s="12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9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</row>
    <row r="26" spans="1:137" s="9" customFormat="1" x14ac:dyDescent="0.25">
      <c r="A26" s="1"/>
      <c r="B26" s="37"/>
      <c r="C26" s="46">
        <f t="shared" si="20"/>
        <v>1.75</v>
      </c>
      <c r="D26" s="46">
        <f t="shared" ca="1" si="3"/>
        <v>0.60884587076559871</v>
      </c>
      <c r="E26" s="46">
        <f t="shared" ca="1" si="3"/>
        <v>2.7946627114089795E-2</v>
      </c>
      <c r="F26" s="46">
        <f t="shared" ref="F26:G26" ca="1" si="23">AVERAGE(D22:D30)</f>
        <v>0.48630096556873714</v>
      </c>
      <c r="G26" s="46">
        <f t="shared" ca="1" si="23"/>
        <v>0.46270142597133646</v>
      </c>
      <c r="H26" s="46">
        <f t="shared" ca="1" si="4"/>
        <v>0.543009693590217</v>
      </c>
      <c r="I26" s="46">
        <f t="shared" ca="1" si="5"/>
        <v>0.47188402321032269</v>
      </c>
      <c r="J26" s="46">
        <f t="shared" ca="1" si="6"/>
        <v>-1.6813029817796767</v>
      </c>
      <c r="K26" s="46">
        <f t="shared" ca="1" si="7"/>
        <v>1.4424334531783762</v>
      </c>
      <c r="L26" s="12">
        <f t="shared" ca="1" si="8"/>
        <v>1.295609105466097</v>
      </c>
      <c r="M26" s="12">
        <f t="shared" ca="1" si="9"/>
        <v>17.048517086124317</v>
      </c>
      <c r="N26" s="46">
        <f t="shared" ca="1" si="10"/>
        <v>1.295609105466097</v>
      </c>
      <c r="O26" s="12">
        <f t="shared" ca="1" si="11"/>
        <v>17.048517086124317</v>
      </c>
      <c r="P26" s="67">
        <f t="shared" ca="1" si="12"/>
        <v>-0.4783964683857147</v>
      </c>
      <c r="Q26" s="46">
        <f t="shared" ca="1" si="13"/>
        <v>15.274511512272506</v>
      </c>
      <c r="R26" s="46">
        <f t="shared" ca="1" si="14"/>
        <v>-7.3072723637881092</v>
      </c>
      <c r="S26" s="46">
        <f t="shared" ca="1" si="15"/>
        <v>0.22886318096392413</v>
      </c>
      <c r="T26" s="46">
        <f t="shared" ca="1" si="16"/>
        <v>6.9863671607965395E-3</v>
      </c>
      <c r="U26" s="46">
        <f t="shared" ca="1" si="17"/>
        <v>22.35898735792135</v>
      </c>
      <c r="V26" s="46">
        <f t="shared" ca="1" si="1"/>
        <v>17.13210157727427</v>
      </c>
      <c r="W26" s="68">
        <f t="shared" ca="1" si="18"/>
        <v>8.3584491149952811E-2</v>
      </c>
      <c r="X26" s="46"/>
      <c r="Y26" s="46"/>
      <c r="Z26" s="12"/>
      <c r="AA26" s="12"/>
      <c r="AB26" s="12"/>
      <c r="AC26" s="12"/>
      <c r="AD26" s="12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9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</row>
    <row r="27" spans="1:137" s="9" customFormat="1" x14ac:dyDescent="0.25">
      <c r="A27" s="1"/>
      <c r="B27" s="37"/>
      <c r="C27" s="46">
        <f t="shared" si="20"/>
        <v>2</v>
      </c>
      <c r="D27" s="46">
        <f t="shared" ca="1" si="3"/>
        <v>0.9014900749897804</v>
      </c>
      <c r="E27" s="46">
        <f t="shared" ca="1" si="3"/>
        <v>0.5098517083799351</v>
      </c>
      <c r="F27" s="46">
        <f t="shared" ref="F27:G27" ca="1" si="24">AVERAGE(D23:D31)</f>
        <v>0.53971035552721858</v>
      </c>
      <c r="G27" s="46">
        <f t="shared" ca="1" si="24"/>
        <v>0.50066702820687148</v>
      </c>
      <c r="H27" s="46">
        <f t="shared" ca="1" si="4"/>
        <v>0.66373067045073231</v>
      </c>
      <c r="I27" s="46">
        <f t="shared" ca="1" si="5"/>
        <v>0.53996802877269956</v>
      </c>
      <c r="J27" s="46">
        <f t="shared" ca="1" si="6"/>
        <v>1.7919444111178601E-2</v>
      </c>
      <c r="K27" s="46">
        <f t="shared" ca="1" si="7"/>
        <v>-0.91985580405182887</v>
      </c>
      <c r="L27" s="12">
        <f t="shared" ca="1" si="8"/>
        <v>1.8053758332333536</v>
      </c>
      <c r="M27" s="12">
        <f t="shared" ca="1" si="9"/>
        <v>8.7805046858185989</v>
      </c>
      <c r="N27" s="46">
        <f t="shared" ca="1" si="10"/>
        <v>1.8053758332333536</v>
      </c>
      <c r="O27" s="12">
        <f t="shared" ca="1" si="11"/>
        <v>8.7805046858185989</v>
      </c>
      <c r="P27" s="67">
        <f t="shared" ca="1" si="12"/>
        <v>3.1370259381541921E-2</v>
      </c>
      <c r="Q27" s="46">
        <f t="shared" ca="1" si="13"/>
        <v>7.0064991119667877</v>
      </c>
      <c r="R27" s="46">
        <f t="shared" ca="1" si="14"/>
        <v>0.21979569449894126</v>
      </c>
      <c r="S27" s="46">
        <f t="shared" ca="1" si="15"/>
        <v>9.8409317366521883E-4</v>
      </c>
      <c r="T27" s="46">
        <f t="shared" ca="1" si="16"/>
        <v>10.393756154824128</v>
      </c>
      <c r="U27" s="46">
        <f t="shared" ca="1" si="17"/>
        <v>12.527942101728188</v>
      </c>
      <c r="V27" s="46">
        <f t="shared" ca="1" si="1"/>
        <v>12.004439572695834</v>
      </c>
      <c r="W27" s="68">
        <f t="shared" ca="1" si="18"/>
        <v>3.2239348868772346</v>
      </c>
      <c r="X27" s="46"/>
      <c r="Y27" s="46"/>
      <c r="Z27" s="12"/>
      <c r="AA27" s="12"/>
      <c r="AB27" s="12"/>
      <c r="AC27" s="12"/>
      <c r="AD27" s="12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9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</row>
    <row r="28" spans="1:137" s="9" customFormat="1" x14ac:dyDescent="0.25">
      <c r="A28" s="1"/>
      <c r="B28" s="37"/>
      <c r="C28" s="46">
        <f t="shared" si="20"/>
        <v>2.25</v>
      </c>
      <c r="D28" s="46">
        <f t="shared" ca="1" si="3"/>
        <v>0.72830277795890841</v>
      </c>
      <c r="E28" s="46">
        <f t="shared" ca="1" si="3"/>
        <v>0.82872718126724354</v>
      </c>
      <c r="F28" s="46">
        <f t="shared" ref="F28:G28" ca="1" si="25">AVERAGE(D24:D32)</f>
        <v>0.55323764474482529</v>
      </c>
      <c r="G28" s="46">
        <f t="shared" ca="1" si="25"/>
        <v>0.50578138574970766</v>
      </c>
      <c r="H28" s="46">
        <f t="shared" ca="1" si="4"/>
        <v>0.69430633457821345</v>
      </c>
      <c r="I28" s="46">
        <f t="shared" ca="1" si="5"/>
        <v>0.54913964536485071</v>
      </c>
      <c r="J28" s="46">
        <f t="shared" ca="1" si="6"/>
        <v>-0.39736181017737254</v>
      </c>
      <c r="K28" s="46">
        <f t="shared" ca="1" si="7"/>
        <v>0.68391918647530869</v>
      </c>
      <c r="L28" s="12">
        <f t="shared" ca="1" si="8"/>
        <v>1.6807914569467883</v>
      </c>
      <c r="M28" s="12">
        <f t="shared" ca="1" si="9"/>
        <v>14.39371715266358</v>
      </c>
      <c r="N28" s="46">
        <f t="shared" ca="1" si="10"/>
        <v>1.6807914569467883</v>
      </c>
      <c r="O28" s="12">
        <f t="shared" ca="1" si="11"/>
        <v>14.39371715266358</v>
      </c>
      <c r="P28" s="67">
        <f t="shared" ca="1" si="12"/>
        <v>-9.3214116905023348E-2</v>
      </c>
      <c r="Q28" s="46">
        <f t="shared" ca="1" si="13"/>
        <v>12.619711578811769</v>
      </c>
      <c r="R28" s="46">
        <f t="shared" ca="1" si="14"/>
        <v>-1.1763352704150369</v>
      </c>
      <c r="S28" s="46">
        <f t="shared" ca="1" si="15"/>
        <v>8.6888715903833593E-3</v>
      </c>
      <c r="T28" s="46">
        <f t="shared" ca="1" si="16"/>
        <v>1.2907306163270889</v>
      </c>
      <c r="U28" s="46">
        <f t="shared" ca="1" si="17"/>
        <v>4.3003526159726473</v>
      </c>
      <c r="V28" s="46">
        <f t="shared" ca="1" si="1"/>
        <v>13.257613893128124</v>
      </c>
      <c r="W28" s="68">
        <f t="shared" ca="1" si="18"/>
        <v>-1.1361032595354565</v>
      </c>
      <c r="X28" s="46"/>
      <c r="Y28" s="46"/>
      <c r="Z28" s="12"/>
      <c r="AA28" s="12"/>
      <c r="AB28" s="12"/>
      <c r="AC28" s="12"/>
      <c r="AD28" s="12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9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</row>
    <row r="29" spans="1:137" s="9" customFormat="1" x14ac:dyDescent="0.25">
      <c r="A29" s="1"/>
      <c r="B29" s="37"/>
      <c r="C29" s="46">
        <f t="shared" si="20"/>
        <v>2.5</v>
      </c>
      <c r="D29" s="46">
        <f t="shared" ca="1" si="3"/>
        <v>0.20197879372797078</v>
      </c>
      <c r="E29" s="46">
        <f t="shared" ca="1" si="3"/>
        <v>0.72637977123832242</v>
      </c>
      <c r="F29" s="46">
        <f t="shared" ref="F29:G29" ca="1" si="26">AVERAGE(D25:D33)</f>
        <v>0.5213548235706863</v>
      </c>
      <c r="G29" s="46">
        <f t="shared" ca="1" si="26"/>
        <v>0.47429086082015876</v>
      </c>
      <c r="H29" s="46">
        <f t="shared" ca="1" si="4"/>
        <v>0.62224175342116983</v>
      </c>
      <c r="I29" s="46">
        <f t="shared" ca="1" si="5"/>
        <v>0.49266744557820175</v>
      </c>
      <c r="J29" s="46">
        <f t="shared" ca="1" si="6"/>
        <v>0.41047807036290429</v>
      </c>
      <c r="K29" s="46">
        <f t="shared" ca="1" si="7"/>
        <v>-1.0375855423688045</v>
      </c>
      <c r="L29" s="12">
        <f t="shared" ca="1" si="8"/>
        <v>1.9231434211088714</v>
      </c>
      <c r="M29" s="12">
        <f t="shared" ca="1" si="9"/>
        <v>8.3684506017091849</v>
      </c>
      <c r="N29" s="46">
        <f t="shared" ca="1" si="10"/>
        <v>1.9231434211088714</v>
      </c>
      <c r="O29" s="12">
        <f t="shared" ca="1" si="11"/>
        <v>8.3684506017091849</v>
      </c>
      <c r="P29" s="67">
        <f t="shared" ca="1" si="12"/>
        <v>0.1491378472570597</v>
      </c>
      <c r="Q29" s="46">
        <f t="shared" ca="1" si="13"/>
        <v>6.5944450278573736</v>
      </c>
      <c r="R29" s="46">
        <f t="shared" ca="1" si="14"/>
        <v>0.98348133530966975</v>
      </c>
      <c r="S29" s="46">
        <f t="shared" ca="1" si="15"/>
        <v>2.2242097484470067E-2</v>
      </c>
      <c r="T29" s="46">
        <f t="shared" ca="1" si="16"/>
        <v>6.0092817269210501</v>
      </c>
      <c r="U29" s="46">
        <f t="shared" ca="1" si="17"/>
        <v>15.61464777699995</v>
      </c>
      <c r="V29" s="46">
        <f t="shared" ca="1" si="1"/>
        <v>10.8198342369081</v>
      </c>
      <c r="W29" s="68">
        <f t="shared" ca="1" si="18"/>
        <v>2.4513836351989156</v>
      </c>
      <c r="X29" s="46"/>
      <c r="Y29" s="46"/>
      <c r="Z29" s="12"/>
      <c r="AA29" s="12"/>
      <c r="AB29" s="12"/>
      <c r="AC29" s="12"/>
      <c r="AD29" s="12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9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</row>
    <row r="30" spans="1:137" s="9" customFormat="1" x14ac:dyDescent="0.25">
      <c r="A30" s="1"/>
      <c r="B30" s="37"/>
      <c r="C30" s="46">
        <f t="shared" si="20"/>
        <v>2.75</v>
      </c>
      <c r="D30" s="46">
        <f t="shared" ca="1" si="3"/>
        <v>0.24639764203569359</v>
      </c>
      <c r="E30" s="46">
        <f t="shared" ca="1" si="3"/>
        <v>0.42827463105455832</v>
      </c>
      <c r="F30" s="46">
        <f t="shared" ref="F30:G30" ca="1" si="27">AVERAGE(D26:D34)</f>
        <v>0.49080635550819057</v>
      </c>
      <c r="G30" s="46">
        <f t="shared" ca="1" si="27"/>
        <v>0.52678557445060881</v>
      </c>
      <c r="H30" s="46">
        <f t="shared" ca="1" si="4"/>
        <v>0.55319320392521909</v>
      </c>
      <c r="I30" s="46">
        <f t="shared" ca="1" si="5"/>
        <v>0.58680661799637845</v>
      </c>
      <c r="J30" s="46">
        <f t="shared" ca="1" si="6"/>
        <v>-0.39141111590328953</v>
      </c>
      <c r="K30" s="46">
        <f t="shared" ca="1" si="7"/>
        <v>0.79862711966589717</v>
      </c>
      <c r="L30" s="12">
        <f t="shared" ca="1" si="8"/>
        <v>1.6825766652290133</v>
      </c>
      <c r="M30" s="12">
        <f t="shared" ca="1" si="9"/>
        <v>14.79519491883064</v>
      </c>
      <c r="N30" s="46">
        <f t="shared" ca="1" si="10"/>
        <v>1.6825766652290133</v>
      </c>
      <c r="O30" s="12">
        <f t="shared" ca="1" si="11"/>
        <v>14.79519491883064</v>
      </c>
      <c r="P30" s="67">
        <f t="shared" ca="1" si="12"/>
        <v>-9.1428908622798399E-2</v>
      </c>
      <c r="Q30" s="46">
        <f t="shared" ca="1" si="13"/>
        <v>13.021189344978829</v>
      </c>
      <c r="R30" s="46">
        <f t="shared" ca="1" si="14"/>
        <v>-1.1905131307822254</v>
      </c>
      <c r="S30" s="46">
        <f t="shared" ca="1" si="15"/>
        <v>8.3592453319560195E-3</v>
      </c>
      <c r="T30" s="46">
        <f t="shared" ca="1" si="16"/>
        <v>2.4196989372392657</v>
      </c>
      <c r="U30" s="46">
        <f t="shared" ca="1" si="17"/>
        <v>6.1266493117549681</v>
      </c>
      <c r="V30" s="46">
        <f t="shared" ca="1" si="1"/>
        <v>13.239656768466187</v>
      </c>
      <c r="W30" s="68">
        <f t="shared" ca="1" si="18"/>
        <v>-1.5555381503644536</v>
      </c>
      <c r="X30" s="46"/>
      <c r="Y30" s="46"/>
      <c r="Z30" s="12"/>
      <c r="AA30" s="12"/>
      <c r="AB30" s="12"/>
      <c r="AC30" s="12"/>
      <c r="AD30" s="12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9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</row>
    <row r="31" spans="1:137" s="9" customFormat="1" x14ac:dyDescent="0.25">
      <c r="A31" s="1"/>
      <c r="B31" s="37"/>
      <c r="C31" s="46">
        <f t="shared" si="20"/>
        <v>3</v>
      </c>
      <c r="D31" s="46">
        <f t="shared" ca="1" si="3"/>
        <v>0.48103952973353536</v>
      </c>
      <c r="E31" s="46">
        <f t="shared" ca="1" si="3"/>
        <v>0.68954055887741794</v>
      </c>
      <c r="F31" s="46">
        <f t="shared" ref="F31:G31" ca="1" si="28">AVERAGE(D27:D35)</f>
        <v>0.49174254960529229</v>
      </c>
      <c r="G31" s="46">
        <f t="shared" ca="1" si="28"/>
        <v>0.57268423561301685</v>
      </c>
      <c r="H31" s="46">
        <f t="shared" ca="1" si="4"/>
        <v>0.55530927875814684</v>
      </c>
      <c r="I31" s="46">
        <f t="shared" ca="1" si="5"/>
        <v>0.66911703895322394</v>
      </c>
      <c r="J31" s="46">
        <f t="shared" ca="1" si="6"/>
        <v>-1.8016639337581715</v>
      </c>
      <c r="K31" s="46">
        <f t="shared" ca="1" si="7"/>
        <v>1.4869106849941529</v>
      </c>
      <c r="L31" s="12">
        <f t="shared" ca="1" si="8"/>
        <v>1.2595008198725486</v>
      </c>
      <c r="M31" s="12">
        <f t="shared" ca="1" si="9"/>
        <v>17.204187397479537</v>
      </c>
      <c r="N31" s="46">
        <f t="shared" ca="1" si="10"/>
        <v>1.2595008198725486</v>
      </c>
      <c r="O31" s="12">
        <f t="shared" ca="1" si="11"/>
        <v>17.204187397479537</v>
      </c>
      <c r="P31" s="67">
        <f t="shared" ca="1" si="12"/>
        <v>-0.5145047539792631</v>
      </c>
      <c r="Q31" s="46">
        <f t="shared" ca="1" si="13"/>
        <v>15.430181823627725</v>
      </c>
      <c r="R31" s="46">
        <f t="shared" ca="1" si="14"/>
        <v>-7.9389019030208798</v>
      </c>
      <c r="S31" s="46">
        <f t="shared" ca="1" si="15"/>
        <v>0.26471514186726203</v>
      </c>
      <c r="T31" s="46">
        <f t="shared" ca="1" si="16"/>
        <v>8.4751815671345571E-2</v>
      </c>
      <c r="U31" s="46">
        <f t="shared" ca="1" si="17"/>
        <v>23.855403795240765</v>
      </c>
      <c r="V31" s="46">
        <f t="shared" ca="1" si="1"/>
        <v>17.495309048463014</v>
      </c>
      <c r="W31" s="68">
        <f t="shared" ca="1" si="18"/>
        <v>0.29112165098347731</v>
      </c>
      <c r="X31" s="46"/>
      <c r="Y31" s="46"/>
      <c r="Z31" s="12"/>
      <c r="AA31" s="12"/>
      <c r="AB31" s="12"/>
      <c r="AC31" s="12"/>
      <c r="AD31" s="12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9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</row>
    <row r="32" spans="1:137" s="9" customFormat="1" x14ac:dyDescent="0.25">
      <c r="A32" s="1"/>
      <c r="B32" s="37"/>
      <c r="C32" s="46">
        <f t="shared" si="20"/>
        <v>3.25</v>
      </c>
      <c r="D32" s="46">
        <f t="shared" ca="1" si="3"/>
        <v>0.71955559672766412</v>
      </c>
      <c r="E32" s="46">
        <f t="shared" ca="1" si="3"/>
        <v>0.44581549907395912</v>
      </c>
      <c r="F32" s="46">
        <f t="shared" ref="F32:G32" ca="1" si="29">AVERAGE(D28:D36)</f>
        <v>0.50027487707988394</v>
      </c>
      <c r="G32" s="46">
        <f t="shared" ca="1" si="29"/>
        <v>0.61962437132809189</v>
      </c>
      <c r="H32" s="46">
        <f t="shared" ca="1" si="4"/>
        <v>0.57459485585287173</v>
      </c>
      <c r="I32" s="46">
        <f t="shared" ca="1" si="5"/>
        <v>0.75329514421010901</v>
      </c>
      <c r="J32" s="46">
        <f t="shared" ca="1" si="6"/>
        <v>-2.6327325248512192E-2</v>
      </c>
      <c r="K32" s="46">
        <f t="shared" ca="1" si="7"/>
        <v>0.41135483886214885</v>
      </c>
      <c r="L32" s="12">
        <f t="shared" ca="1" si="8"/>
        <v>1.7921018024254465</v>
      </c>
      <c r="M32" s="12">
        <f t="shared" ca="1" si="9"/>
        <v>13.439741936017521</v>
      </c>
      <c r="N32" s="46">
        <f t="shared" ca="1" si="10"/>
        <v>1.7921018024254465</v>
      </c>
      <c r="O32" s="12">
        <f t="shared" ca="1" si="11"/>
        <v>13.439741936017521</v>
      </c>
      <c r="P32" s="67">
        <f t="shared" ca="1" si="12"/>
        <v>1.8096228573634798E-2</v>
      </c>
      <c r="Q32" s="46">
        <f t="shared" ca="1" si="13"/>
        <v>11.66573636216571</v>
      </c>
      <c r="R32" s="46">
        <f t="shared" ca="1" si="14"/>
        <v>0.21110583168951358</v>
      </c>
      <c r="S32" s="46">
        <f t="shared" ca="1" si="15"/>
        <v>3.2747348858923651E-4</v>
      </c>
      <c r="T32" s="46">
        <f t="shared" ca="1" si="16"/>
        <v>1.6946337977338104</v>
      </c>
      <c r="U32" s="46">
        <f t="shared" ca="1" si="17"/>
        <v>1.253848886603782</v>
      </c>
      <c r="V32" s="46">
        <f t="shared" ca="1" si="1"/>
        <v>12.137960926118463</v>
      </c>
      <c r="W32" s="68">
        <f t="shared" ca="1" si="18"/>
        <v>-1.3017810098990577</v>
      </c>
      <c r="X32" s="46"/>
      <c r="Y32" s="46"/>
      <c r="Z32" s="12"/>
      <c r="AA32" s="12"/>
      <c r="AB32" s="12"/>
      <c r="AC32" s="12"/>
      <c r="AD32" s="12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9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</row>
    <row r="33" spans="1:137" s="9" customFormat="1" x14ac:dyDescent="0.25">
      <c r="A33" s="1"/>
      <c r="B33" s="37"/>
      <c r="C33" s="46">
        <f t="shared" si="20"/>
        <v>3.5</v>
      </c>
      <c r="D33" s="46">
        <f t="shared" ca="1" si="3"/>
        <v>4.3465567473411015E-2</v>
      </c>
      <c r="E33" s="46">
        <f t="shared" ca="1" si="3"/>
        <v>0.29947654017167402</v>
      </c>
      <c r="F33" s="46">
        <f t="shared" ref="F33:G33" ca="1" si="30">AVERAGE(D29:D37)</f>
        <v>0.50896581610616387</v>
      </c>
      <c r="G33" s="46">
        <f t="shared" ca="1" si="30"/>
        <v>0.62775077906841226</v>
      </c>
      <c r="H33" s="46">
        <f t="shared" ca="1" si="4"/>
        <v>0.59423894184417936</v>
      </c>
      <c r="I33" s="46">
        <f t="shared" ca="1" si="5"/>
        <v>0.7678682935140928</v>
      </c>
      <c r="J33" s="46">
        <f t="shared" ca="1" si="6"/>
        <v>0.98491211314458726</v>
      </c>
      <c r="K33" s="46">
        <f t="shared" ca="1" si="7"/>
        <v>-5.5676617119408189E-2</v>
      </c>
      <c r="L33" s="12">
        <f t="shared" ca="1" si="8"/>
        <v>2.0954736339433762</v>
      </c>
      <c r="M33" s="12">
        <f t="shared" ca="1" si="9"/>
        <v>11.805131840082071</v>
      </c>
      <c r="N33" s="46">
        <f t="shared" ca="1" si="10"/>
        <v>2.0954736339433762</v>
      </c>
      <c r="O33" s="12">
        <f t="shared" ca="1" si="11"/>
        <v>11.805131840082071</v>
      </c>
      <c r="P33" s="67">
        <f t="shared" ca="1" si="12"/>
        <v>0.32146806009156448</v>
      </c>
      <c r="Q33" s="46">
        <f t="shared" ca="1" si="13"/>
        <v>10.03112626623026</v>
      </c>
      <c r="R33" s="46">
        <f t="shared" ca="1" si="14"/>
        <v>3.2246867013385798</v>
      </c>
      <c r="S33" s="46">
        <f t="shared" ca="1" si="15"/>
        <v>0.1033417136590337</v>
      </c>
      <c r="T33" s="46">
        <f t="shared" ca="1" si="16"/>
        <v>7.3915453336308827</v>
      </c>
      <c r="U33" s="46">
        <f t="shared" ca="1" si="17"/>
        <v>0.26507686109392409</v>
      </c>
      <c r="V33" s="46">
        <f t="shared" ca="1" si="1"/>
        <v>9.086392181043184</v>
      </c>
      <c r="W33" s="68">
        <f t="shared" ca="1" si="18"/>
        <v>-2.7187396590388868</v>
      </c>
      <c r="X33" s="46"/>
      <c r="Y33" s="46"/>
      <c r="Z33" s="12"/>
      <c r="AA33" s="12"/>
      <c r="AB33" s="12"/>
      <c r="AC33" s="12"/>
      <c r="AD33" s="12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9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</row>
    <row r="34" spans="1:137" s="9" customFormat="1" x14ac:dyDescent="0.25">
      <c r="A34" s="1"/>
      <c r="B34" s="37"/>
      <c r="C34" s="46">
        <f t="shared" si="20"/>
        <v>3.75</v>
      </c>
      <c r="D34" s="46">
        <f t="shared" ca="1" si="3"/>
        <v>0.48618134616115372</v>
      </c>
      <c r="E34" s="46">
        <f t="shared" ca="1" si="3"/>
        <v>0.78505765287827878</v>
      </c>
      <c r="F34" s="46">
        <f t="shared" ref="F34:G34" ca="1" si="31">AVERAGE(D30:D38)</f>
        <v>0.50520796991388262</v>
      </c>
      <c r="G34" s="46">
        <f t="shared" ca="1" si="31"/>
        <v>0.64173857731194905</v>
      </c>
      <c r="H34" s="46">
        <f t="shared" ca="1" si="4"/>
        <v>0.58574510090017273</v>
      </c>
      <c r="I34" s="46">
        <f t="shared" ca="1" si="5"/>
        <v>0.79295271934540468</v>
      </c>
      <c r="J34" s="46">
        <f t="shared" ca="1" si="6"/>
        <v>-0.72768751354174843</v>
      </c>
      <c r="K34" s="46">
        <f t="shared" ca="1" si="7"/>
        <v>1.1242367452389086</v>
      </c>
      <c r="L34" s="12">
        <f t="shared" ca="1" si="8"/>
        <v>1.5816937459374756</v>
      </c>
      <c r="M34" s="12">
        <f t="shared" ca="1" si="9"/>
        <v>15.934828608336179</v>
      </c>
      <c r="N34" s="46">
        <f t="shared" ca="1" si="10"/>
        <v>1.5816937459374756</v>
      </c>
      <c r="O34" s="12">
        <f t="shared" ca="1" si="11"/>
        <v>15.934828608336179</v>
      </c>
      <c r="P34" s="67">
        <f t="shared" ca="1" si="12"/>
        <v>-0.1923118279143361</v>
      </c>
      <c r="Q34" s="46">
        <f t="shared" ca="1" si="13"/>
        <v>14.160823034484368</v>
      </c>
      <c r="R34" s="46">
        <f t="shared" ca="1" si="14"/>
        <v>-2.7232937625331246</v>
      </c>
      <c r="S34" s="46">
        <f t="shared" ca="1" si="15"/>
        <v>3.698383915575322E-2</v>
      </c>
      <c r="T34" s="46">
        <f t="shared" ca="1" si="16"/>
        <v>2.8237666288923426</v>
      </c>
      <c r="U34" s="46">
        <f t="shared" ca="1" si="17"/>
        <v>13.067072653947703</v>
      </c>
      <c r="V34" s="46">
        <f t="shared" ca="1" si="1"/>
        <v>14.254421922770943</v>
      </c>
      <c r="W34" s="68">
        <f t="shared" ca="1" si="18"/>
        <v>-1.6804066855652362</v>
      </c>
      <c r="X34" s="46"/>
      <c r="Y34" s="46"/>
      <c r="Z34" s="12"/>
      <c r="AA34" s="12"/>
      <c r="AB34" s="12"/>
      <c r="AC34" s="12"/>
      <c r="AD34" s="12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</row>
    <row r="35" spans="1:137" s="9" customFormat="1" x14ac:dyDescent="0.25">
      <c r="A35" s="1"/>
      <c r="B35" s="37"/>
      <c r="C35" s="46">
        <f t="shared" si="20"/>
        <v>4</v>
      </c>
      <c r="D35" s="46">
        <f t="shared" ca="1" si="3"/>
        <v>0.6172716176395141</v>
      </c>
      <c r="E35" s="46">
        <f t="shared" ca="1" si="3"/>
        <v>0.44103457757576225</v>
      </c>
      <c r="F35" s="46">
        <f t="shared" ref="F35:G35" ca="1" si="32">AVERAGE(D31:D39)</f>
        <v>0.55379193567154106</v>
      </c>
      <c r="G35" s="46">
        <f t="shared" ca="1" si="32"/>
        <v>0.68737721979673805</v>
      </c>
      <c r="H35" s="46">
        <f t="shared" ca="1" si="4"/>
        <v>0.69555919558617607</v>
      </c>
      <c r="I35" s="46">
        <f t="shared" ca="1" si="5"/>
        <v>0.87479684681417358</v>
      </c>
      <c r="J35" s="46">
        <f t="shared" ca="1" si="6"/>
        <v>0.64774572565904964</v>
      </c>
      <c r="K35" s="46">
        <f t="shared" ca="1" si="7"/>
        <v>-0.66165827515339359</v>
      </c>
      <c r="L35" s="12">
        <f t="shared" ca="1" si="8"/>
        <v>1.9943237176977149</v>
      </c>
      <c r="M35" s="12">
        <f t="shared" ca="1" si="9"/>
        <v>9.6841960369631224</v>
      </c>
      <c r="N35" s="46">
        <f t="shared" ca="1" si="10"/>
        <v>1.9943237176977149</v>
      </c>
      <c r="O35" s="12">
        <f t="shared" ca="1" si="11"/>
        <v>9.6841960369631224</v>
      </c>
      <c r="P35" s="67">
        <f t="shared" ca="1" si="12"/>
        <v>0.2203181438459032</v>
      </c>
      <c r="Q35" s="46">
        <f t="shared" ca="1" si="13"/>
        <v>7.9101904631113111</v>
      </c>
      <c r="R35" s="46">
        <f t="shared" ca="1" si="14"/>
        <v>1.7427584803002496</v>
      </c>
      <c r="S35" s="46">
        <f t="shared" ca="1" si="15"/>
        <v>4.8540084507704098E-2</v>
      </c>
      <c r="T35" s="46">
        <f t="shared" ca="1" si="16"/>
        <v>0.17610358619019481</v>
      </c>
      <c r="U35" s="46">
        <f t="shared" ca="1" si="17"/>
        <v>6.9473992503371287</v>
      </c>
      <c r="V35" s="46">
        <f t="shared" ca="1" si="1"/>
        <v>10.103843015017528</v>
      </c>
      <c r="W35" s="68">
        <f t="shared" ca="1" si="18"/>
        <v>0.41964697805440565</v>
      </c>
      <c r="X35" s="46"/>
      <c r="Y35" s="46"/>
      <c r="Z35" s="12"/>
      <c r="AA35" s="12"/>
      <c r="AB35" s="12"/>
      <c r="AC35" s="12"/>
      <c r="AD35" s="12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</row>
    <row r="36" spans="1:137" s="9" customFormat="1" x14ac:dyDescent="0.25">
      <c r="A36" s="1"/>
      <c r="B36" s="37"/>
      <c r="C36" s="46">
        <f t="shared" si="20"/>
        <v>4.25</v>
      </c>
      <c r="D36" s="46">
        <f t="shared" ca="1" si="3"/>
        <v>0.97828102226110414</v>
      </c>
      <c r="E36" s="46">
        <f t="shared" ca="1" si="3"/>
        <v>0.93231292981560965</v>
      </c>
      <c r="F36" s="46">
        <f t="shared" ref="F36:G36" ca="1" si="33">AVERAGE(D32:D40)</f>
        <v>0.60760856680948361</v>
      </c>
      <c r="G36" s="46">
        <f t="shared" ca="1" si="33"/>
        <v>0.71948797284374466</v>
      </c>
      <c r="H36" s="46">
        <f t="shared" ca="1" si="4"/>
        <v>0.81720065764677685</v>
      </c>
      <c r="I36" s="46">
        <f t="shared" ca="1" si="5"/>
        <v>0.93238130643900319</v>
      </c>
      <c r="J36" s="46">
        <f t="shared" ca="1" si="6"/>
        <v>0.57597201198453507</v>
      </c>
      <c r="K36" s="46">
        <f t="shared" ca="1" si="7"/>
        <v>-1.9624271915964091</v>
      </c>
      <c r="L36" s="12">
        <f t="shared" ca="1" si="8"/>
        <v>1.9727916035953605</v>
      </c>
      <c r="M36" s="12">
        <f t="shared" ca="1" si="9"/>
        <v>5.1315048294125685</v>
      </c>
      <c r="N36" s="46">
        <f t="shared" ca="1" si="10"/>
        <v>1.9727916035953605</v>
      </c>
      <c r="O36" s="12">
        <f t="shared" ca="1" si="11"/>
        <v>5.1315048294125685</v>
      </c>
      <c r="P36" s="67">
        <f t="shared" ca="1" si="12"/>
        <v>0.19878602974354886</v>
      </c>
      <c r="Q36" s="46">
        <f t="shared" ca="1" si="13"/>
        <v>3.3574992555607568</v>
      </c>
      <c r="R36" s="46">
        <f t="shared" ca="1" si="14"/>
        <v>0.66742394687984374</v>
      </c>
      <c r="S36" s="46">
        <f t="shared" ca="1" si="15"/>
        <v>3.9515885621203097E-2</v>
      </c>
      <c r="T36" s="46">
        <f t="shared" ca="1" si="16"/>
        <v>26.924955923146673</v>
      </c>
      <c r="U36" s="46">
        <f t="shared" ca="1" si="17"/>
        <v>51.674290233620887</v>
      </c>
      <c r="V36" s="46">
        <f t="shared" ca="1" si="1"/>
        <v>10.320431107858493</v>
      </c>
      <c r="W36" s="68">
        <f t="shared" ca="1" si="18"/>
        <v>5.1889262784459245</v>
      </c>
      <c r="X36" s="46"/>
      <c r="Y36" s="46"/>
      <c r="Z36" s="12"/>
      <c r="AA36" s="12"/>
      <c r="AB36" s="12"/>
      <c r="AC36" s="12"/>
      <c r="AD36" s="12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9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</row>
    <row r="37" spans="1:137" s="9" customFormat="1" x14ac:dyDescent="0.25">
      <c r="A37" s="1"/>
      <c r="B37" s="37"/>
      <c r="C37" s="46">
        <f t="shared" si="20"/>
        <v>4.5</v>
      </c>
      <c r="D37" s="46">
        <f t="shared" ca="1" si="3"/>
        <v>0.80652122919542812</v>
      </c>
      <c r="E37" s="46">
        <f t="shared" ca="1" si="3"/>
        <v>0.90186485093012791</v>
      </c>
      <c r="F37" s="46">
        <f t="shared" ref="F37:G37" ca="1" si="34">AVERAGE(D33:D41)</f>
        <v>0.54259676300346582</v>
      </c>
      <c r="G37" s="46">
        <f t="shared" ca="1" si="34"/>
        <v>0.75408004770934223</v>
      </c>
      <c r="H37" s="46">
        <f t="shared" ca="1" si="4"/>
        <v>0.6702548028255999</v>
      </c>
      <c r="I37" s="46">
        <f t="shared" ca="1" si="5"/>
        <v>0.99441553950482597</v>
      </c>
      <c r="J37" s="46">
        <f t="shared" ca="1" si="6"/>
        <v>-1.5448408994112692</v>
      </c>
      <c r="K37" s="46">
        <f t="shared" ca="1" si="7"/>
        <v>0.63795815109403198</v>
      </c>
      <c r="L37" s="12">
        <f t="shared" ca="1" si="8"/>
        <v>1.3365477301766193</v>
      </c>
      <c r="M37" s="12">
        <f t="shared" ca="1" si="9"/>
        <v>14.232853528829112</v>
      </c>
      <c r="N37" s="46">
        <f t="shared" ca="1" si="10"/>
        <v>1.3365477301766193</v>
      </c>
      <c r="O37" s="12">
        <f t="shared" ca="1" si="11"/>
        <v>14.232853528829112</v>
      </c>
      <c r="P37" s="67">
        <f t="shared" ca="1" si="12"/>
        <v>-0.43745784367519236</v>
      </c>
      <c r="Q37" s="46">
        <f t="shared" ca="1" si="13"/>
        <v>12.458847954977301</v>
      </c>
      <c r="R37" s="46">
        <f t="shared" ca="1" si="14"/>
        <v>-5.4502207610614501</v>
      </c>
      <c r="S37" s="46">
        <f t="shared" ca="1" si="15"/>
        <v>0.19136936499294904</v>
      </c>
      <c r="T37" s="46">
        <f t="shared" ca="1" si="16"/>
        <v>6.1874222701721298</v>
      </c>
      <c r="U37" s="46">
        <f t="shared" ca="1" si="17"/>
        <v>3.6590545474014124</v>
      </c>
      <c r="V37" s="46">
        <f t="shared" ca="1" si="1"/>
        <v>16.720306497263316</v>
      </c>
      <c r="W37" s="68">
        <f t="shared" ca="1" si="18"/>
        <v>2.4874529684342033</v>
      </c>
      <c r="X37" s="46"/>
      <c r="Y37" s="46"/>
      <c r="Z37" s="12"/>
      <c r="AA37" s="12"/>
      <c r="AB37" s="12"/>
      <c r="AC37" s="12"/>
      <c r="AD37" s="12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9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</row>
    <row r="38" spans="1:137" s="9" customFormat="1" x14ac:dyDescent="0.25">
      <c r="A38" s="1"/>
      <c r="B38" s="37"/>
      <c r="C38" s="46">
        <f t="shared" si="20"/>
        <v>4.75</v>
      </c>
      <c r="D38" s="46">
        <f t="shared" ca="1" si="3"/>
        <v>0.16815817799743982</v>
      </c>
      <c r="E38" s="46">
        <f t="shared" ca="1" si="3"/>
        <v>0.85226995543015338</v>
      </c>
      <c r="F38" s="46">
        <f t="shared" ref="F38:G38" ca="1" si="35">AVERAGE(D34:D42)</f>
        <v>0.56869623340075381</v>
      </c>
      <c r="G38" s="46">
        <f t="shared" ca="1" si="35"/>
        <v>0.75719410370690821</v>
      </c>
      <c r="H38" s="46">
        <f t="shared" ca="1" si="4"/>
        <v>0.72924730516183689</v>
      </c>
      <c r="I38" s="46">
        <f t="shared" ca="1" si="5"/>
        <v>1</v>
      </c>
      <c r="J38" s="46">
        <f t="shared" ca="1" si="6"/>
        <v>1.1092645132585397</v>
      </c>
      <c r="K38" s="46">
        <f t="shared" ca="1" si="7"/>
        <v>-1.8158502745845073</v>
      </c>
      <c r="L38" s="12">
        <f t="shared" ca="1" si="8"/>
        <v>2.1327793539775621</v>
      </c>
      <c r="M38" s="12">
        <f t="shared" ca="1" si="9"/>
        <v>5.6445240389542244</v>
      </c>
      <c r="N38" s="46">
        <f t="shared" ca="1" si="10"/>
        <v>2.1327793539775621</v>
      </c>
      <c r="O38" s="12">
        <f t="shared" ca="1" si="11"/>
        <v>5.6445240389542244</v>
      </c>
      <c r="P38" s="67">
        <f t="shared" ca="1" si="12"/>
        <v>0.35877378012575045</v>
      </c>
      <c r="Q38" s="46">
        <f t="shared" ca="1" si="13"/>
        <v>3.8705184651024127</v>
      </c>
      <c r="R38" s="46">
        <f t="shared" ca="1" si="14"/>
        <v>1.3886405407713101</v>
      </c>
      <c r="S38" s="46">
        <f t="shared" ca="1" si="15"/>
        <v>0.12871862530572034</v>
      </c>
      <c r="T38" s="46">
        <f t="shared" ca="1" si="16"/>
        <v>9.4041328900124483</v>
      </c>
      <c r="U38" s="46">
        <f t="shared" ca="1" si="17"/>
        <v>44.561819039319239</v>
      </c>
      <c r="V38" s="46">
        <f t="shared" ca="1" si="1"/>
        <v>8.7111399082819183</v>
      </c>
      <c r="W38" s="68">
        <f t="shared" ca="1" si="18"/>
        <v>3.0666158693276939</v>
      </c>
      <c r="X38" s="46"/>
      <c r="Y38" s="46"/>
      <c r="Z38" s="12"/>
      <c r="AA38" s="12"/>
      <c r="AB38" s="12"/>
      <c r="AC38" s="12"/>
      <c r="AD38" s="12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9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</row>
    <row r="39" spans="1:137" s="9" customFormat="1" x14ac:dyDescent="0.25">
      <c r="A39" s="1"/>
      <c r="B39" s="37"/>
      <c r="C39" s="46">
        <f t="shared" si="20"/>
        <v>5</v>
      </c>
      <c r="D39" s="46">
        <f t="shared" ca="1" si="3"/>
        <v>0.68365333385461868</v>
      </c>
      <c r="E39" s="46">
        <f t="shared" ca="1" si="3"/>
        <v>0.83902241341765882</v>
      </c>
      <c r="F39" s="46">
        <f t="shared" ref="F39:G39" ca="1" si="36">AVERAGE(D35:D43)</f>
        <v>0.57786060556688212</v>
      </c>
      <c r="G39" s="46">
        <f t="shared" ca="1" si="36"/>
        <v>0.68503987341738393</v>
      </c>
      <c r="H39" s="46">
        <f t="shared" ca="1" si="4"/>
        <v>0.74996148971006615</v>
      </c>
      <c r="I39" s="46">
        <f t="shared" ca="1" si="5"/>
        <v>0.87060526563218976</v>
      </c>
      <c r="J39" s="46">
        <f t="shared" ca="1" si="6"/>
        <v>-1.3774973060695028</v>
      </c>
      <c r="K39" s="46">
        <f t="shared" ca="1" si="7"/>
        <v>0.65097265142958272</v>
      </c>
      <c r="L39" s="12">
        <f t="shared" ca="1" si="8"/>
        <v>1.3867508081791491</v>
      </c>
      <c r="M39" s="12">
        <f t="shared" ca="1" si="9"/>
        <v>14.278404280003539</v>
      </c>
      <c r="N39" s="46">
        <f t="shared" ca="1" si="10"/>
        <v>1.3867508081791491</v>
      </c>
      <c r="O39" s="12">
        <f t="shared" ca="1" si="11"/>
        <v>14.278404280003539</v>
      </c>
      <c r="P39" s="67">
        <f t="shared" ca="1" si="12"/>
        <v>-0.38725476567266259</v>
      </c>
      <c r="Q39" s="46">
        <f t="shared" ca="1" si="13"/>
        <v>12.504398706151727</v>
      </c>
      <c r="R39" s="46">
        <f t="shared" ca="1" si="14"/>
        <v>-4.8423879908283327</v>
      </c>
      <c r="S39" s="46">
        <f t="shared" ca="1" si="15"/>
        <v>0.14996625353618881</v>
      </c>
      <c r="T39" s="46">
        <f t="shared" ca="1" si="16"/>
        <v>3.7516493357197547</v>
      </c>
      <c r="U39" s="46">
        <f t="shared" ca="1" si="17"/>
        <v>3.8353943421830827</v>
      </c>
      <c r="V39" s="46">
        <f t="shared" ca="1" si="1"/>
        <v>16.21532176294383</v>
      </c>
      <c r="W39" s="68">
        <f t="shared" ca="1" si="18"/>
        <v>1.9369174829402915</v>
      </c>
      <c r="X39" s="46"/>
      <c r="Y39" s="46"/>
      <c r="Z39" s="12"/>
      <c r="AA39" s="12"/>
      <c r="AB39" s="12"/>
      <c r="AC39" s="12"/>
      <c r="AD39" s="12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9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</row>
    <row r="40" spans="1:137" s="9" customFormat="1" ht="15.75" thickBot="1" x14ac:dyDescent="0.3">
      <c r="A40" s="1"/>
      <c r="B40" s="37"/>
      <c r="C40" s="46">
        <f t="shared" si="20"/>
        <v>5.25</v>
      </c>
      <c r="D40" s="46">
        <f t="shared" ca="1" si="3"/>
        <v>0.96538920997501909</v>
      </c>
      <c r="E40" s="46">
        <f t="shared" ca="1" si="3"/>
        <v>0.97853733630047801</v>
      </c>
      <c r="F40" s="46">
        <f t="shared" ref="F40:G40" ca="1" si="37">AVERAGE(D36:D44)</f>
        <v>0.5179461889853707</v>
      </c>
      <c r="G40" s="46">
        <f t="shared" ca="1" si="37"/>
        <v>0.65875406714849738</v>
      </c>
      <c r="H40" s="46">
        <f t="shared" ca="1" si="4"/>
        <v>0.61453723372491942</v>
      </c>
      <c r="I40" s="46">
        <f t="shared" ca="1" si="5"/>
        <v>0.82346672772306728</v>
      </c>
      <c r="J40" s="46">
        <f t="shared" ca="1" si="6"/>
        <v>1.0523823041621236</v>
      </c>
      <c r="K40" s="46">
        <f t="shared" ca="1" si="7"/>
        <v>-0.65574929423201989</v>
      </c>
      <c r="L40" s="12">
        <f t="shared" ca="1" si="8"/>
        <v>2.1157146912486371</v>
      </c>
      <c r="M40" s="12">
        <f t="shared" ca="1" si="9"/>
        <v>9.704877470187931</v>
      </c>
      <c r="N40" s="46">
        <f t="shared" ca="1" si="10"/>
        <v>2.1157146912486371</v>
      </c>
      <c r="O40" s="12">
        <f t="shared" ca="1" si="11"/>
        <v>9.704877470187931</v>
      </c>
      <c r="P40" s="67">
        <f t="shared" ca="1" si="12"/>
        <v>0.34170911739682541</v>
      </c>
      <c r="Q40" s="46">
        <f t="shared" ca="1" si="13"/>
        <v>7.9308718963361198</v>
      </c>
      <c r="R40" s="46">
        <f t="shared" ca="1" si="14"/>
        <v>2.7100512358843027</v>
      </c>
      <c r="S40" s="46">
        <f t="shared" ca="1" si="15"/>
        <v>0.11676512091211741</v>
      </c>
      <c r="T40" s="46">
        <f t="shared" ca="1" si="16"/>
        <v>0.67582678581818578</v>
      </c>
      <c r="U40" s="46">
        <f t="shared" ca="1" si="17"/>
        <v>6.8388030612344828</v>
      </c>
      <c r="V40" s="46">
        <f t="shared" ca="1" si="1"/>
        <v>8.8827906220884216</v>
      </c>
      <c r="W40" s="68">
        <f t="shared" ca="1" si="18"/>
        <v>-0.82208684809950938</v>
      </c>
      <c r="X40" s="46"/>
      <c r="Y40" s="46"/>
      <c r="Z40" s="12"/>
      <c r="AA40" s="12"/>
      <c r="AB40" s="12"/>
      <c r="AC40" s="12"/>
      <c r="AD40" s="12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9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</row>
    <row r="41" spans="1:137" s="9" customFormat="1" x14ac:dyDescent="0.25">
      <c r="A41" s="1"/>
      <c r="B41" s="37"/>
      <c r="C41" s="46">
        <f t="shared" si="20"/>
        <v>5.5</v>
      </c>
      <c r="D41" s="46">
        <f t="shared" ca="1" si="3"/>
        <v>0.13444936247350481</v>
      </c>
      <c r="E41" s="46">
        <f t="shared" ca="1" si="3"/>
        <v>0.75714417286433666</v>
      </c>
      <c r="F41" s="46">
        <f t="shared" ref="F41:G41" ca="1" si="38">AVERAGE(D37:D45)</f>
        <v>0.50482390120606402</v>
      </c>
      <c r="G41" s="46">
        <f t="shared" ca="1" si="38"/>
        <v>0.58676430996911588</v>
      </c>
      <c r="H41" s="46">
        <f t="shared" ca="1" si="4"/>
        <v>0.58487699232178503</v>
      </c>
      <c r="I41" s="46">
        <f t="shared" ca="1" si="5"/>
        <v>0.69436694424465306</v>
      </c>
      <c r="J41" s="46">
        <f t="shared" ca="1" si="6"/>
        <v>-0.5732902177605208</v>
      </c>
      <c r="K41" s="46">
        <f t="shared" ca="1" si="7"/>
        <v>1.3375281044727254</v>
      </c>
      <c r="L41" s="12">
        <f t="shared" ca="1" si="8"/>
        <v>1.6280129346718437</v>
      </c>
      <c r="M41" s="12">
        <f t="shared" ca="1" si="9"/>
        <v>16.681348365654539</v>
      </c>
      <c r="N41" s="46">
        <f t="shared" ca="1" si="10"/>
        <v>1.6280129346718437</v>
      </c>
      <c r="O41" s="12">
        <f t="shared" ca="1" si="11"/>
        <v>16.681348365654539</v>
      </c>
      <c r="P41" s="67">
        <f t="shared" ca="1" si="12"/>
        <v>-0.14599263917996796</v>
      </c>
      <c r="Q41" s="46">
        <f t="shared" ca="1" si="13"/>
        <v>14.907342791802728</v>
      </c>
      <c r="R41" s="46">
        <f t="shared" ca="1" si="14"/>
        <v>-2.176362317335752</v>
      </c>
      <c r="S41" s="46">
        <f t="shared" ca="1" si="15"/>
        <v>2.1313850694732316E-2</v>
      </c>
      <c r="T41" s="46">
        <f t="shared" ca="1" si="16"/>
        <v>8.3685449970669179</v>
      </c>
      <c r="U41" s="46">
        <f t="shared" ca="1" si="17"/>
        <v>19.021464275625235</v>
      </c>
      <c r="V41" s="46">
        <f t="shared" ca="1" si="1"/>
        <v>13.788504609578709</v>
      </c>
      <c r="W41" s="68">
        <f t="shared" ca="1" si="18"/>
        <v>-2.8928437560758304</v>
      </c>
      <c r="X41" s="46"/>
      <c r="Y41" s="46"/>
      <c r="Z41" s="12"/>
      <c r="AA41" s="12"/>
      <c r="AB41" s="12"/>
      <c r="AC41" s="12"/>
      <c r="AD41" s="12"/>
      <c r="AE41" s="38"/>
      <c r="AF41" s="38"/>
      <c r="AG41" s="38"/>
      <c r="AH41" s="38"/>
      <c r="AI41" s="38"/>
      <c r="AJ41" s="38"/>
      <c r="AK41" s="38"/>
      <c r="AL41" s="45" t="s">
        <v>22</v>
      </c>
      <c r="AM41" s="38"/>
      <c r="AN41" s="38"/>
      <c r="AO41" s="162" t="s">
        <v>23</v>
      </c>
      <c r="AP41" s="13">
        <f ca="1">AM43</f>
        <v>5.1177906420223076</v>
      </c>
      <c r="AQ41" s="14">
        <f ca="1">AP41+($AM$44-$AM$43)/10</f>
        <v>6.6374049605552976</v>
      </c>
      <c r="AR41" s="14">
        <f t="shared" ref="AR41:AY41" ca="1" si="39">AQ41+($AM$44-$AM$43)/10</f>
        <v>8.1570192790882885</v>
      </c>
      <c r="AS41" s="14">
        <f t="shared" ca="1" si="39"/>
        <v>9.6766335976212794</v>
      </c>
      <c r="AT41" s="14">
        <f t="shared" ca="1" si="39"/>
        <v>11.19624791615427</v>
      </c>
      <c r="AU41" s="14">
        <f t="shared" ca="1" si="39"/>
        <v>12.715862234687261</v>
      </c>
      <c r="AV41" s="14">
        <f t="shared" ca="1" si="39"/>
        <v>14.235476553220252</v>
      </c>
      <c r="AW41" s="14">
        <f t="shared" ca="1" si="39"/>
        <v>15.755090871753243</v>
      </c>
      <c r="AX41" s="14">
        <f t="shared" ca="1" si="39"/>
        <v>17.274705190286234</v>
      </c>
      <c r="AY41" s="14">
        <f t="shared" ca="1" si="39"/>
        <v>18.794319508819225</v>
      </c>
      <c r="AZ41" s="38"/>
      <c r="BA41" s="38"/>
      <c r="BB41" s="39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</row>
    <row r="42" spans="1:137" s="9" customFormat="1" ht="15.75" thickBot="1" x14ac:dyDescent="0.3">
      <c r="A42" s="1"/>
      <c r="B42" s="37"/>
      <c r="C42" s="46">
        <f t="shared" si="20"/>
        <v>5.75</v>
      </c>
      <c r="D42" s="46">
        <f t="shared" ca="1" si="3"/>
        <v>0.27836080104900229</v>
      </c>
      <c r="E42" s="46">
        <f t="shared" ca="1" si="3"/>
        <v>0.3275030441497675</v>
      </c>
      <c r="F42" s="46">
        <f t="shared" ref="F42:G42" ca="1" si="40">AVERAGE(D38:D46)</f>
        <v>0.42230388993299806</v>
      </c>
      <c r="G42" s="46">
        <f t="shared" ca="1" si="40"/>
        <v>0.57720809764216585</v>
      </c>
      <c r="H42" s="46">
        <f t="shared" ca="1" si="4"/>
        <v>0.39835742377458228</v>
      </c>
      <c r="I42" s="46">
        <f t="shared" ca="1" si="5"/>
        <v>0.67722971541348886</v>
      </c>
      <c r="J42" s="46">
        <f t="shared" ca="1" si="6"/>
        <v>-0.42433303395670369</v>
      </c>
      <c r="K42" s="46">
        <f t="shared" ca="1" si="7"/>
        <v>-0.35454689921827992</v>
      </c>
      <c r="L42" s="12">
        <f t="shared" ca="1" si="8"/>
        <v>1.6727000898129889</v>
      </c>
      <c r="M42" s="12">
        <f t="shared" ca="1" si="9"/>
        <v>10.759085852736021</v>
      </c>
      <c r="N42" s="46">
        <f t="shared" ca="1" si="10"/>
        <v>1.6727000898129889</v>
      </c>
      <c r="O42" s="12">
        <f t="shared" ca="1" si="11"/>
        <v>10.759085852736021</v>
      </c>
      <c r="P42" s="67">
        <f t="shared" ca="1" si="12"/>
        <v>-0.10130548403882278</v>
      </c>
      <c r="Q42" s="46">
        <f t="shared" ca="1" si="13"/>
        <v>8.9850802788842099</v>
      </c>
      <c r="R42" s="46">
        <f t="shared" ca="1" si="14"/>
        <v>-0.91023790678004568</v>
      </c>
      <c r="S42" s="46">
        <f t="shared" ca="1" si="15"/>
        <v>1.0262801096340177E-2</v>
      </c>
      <c r="T42" s="46">
        <f t="shared" ca="1" si="16"/>
        <v>6.6559758991719447</v>
      </c>
      <c r="U42" s="46">
        <f t="shared" ca="1" si="17"/>
        <v>2.4364155002619818</v>
      </c>
      <c r="V42" s="46">
        <f t="shared" ca="1" si="1"/>
        <v>13.339003661343874</v>
      </c>
      <c r="W42" s="68">
        <f t="shared" ca="1" si="18"/>
        <v>2.5799178086078527</v>
      </c>
      <c r="X42" s="46"/>
      <c r="Y42" s="46"/>
      <c r="Z42" s="12"/>
      <c r="AA42" s="12"/>
      <c r="AB42" s="12"/>
      <c r="AC42" s="12"/>
      <c r="AD42" s="12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163"/>
      <c r="AP42" s="16">
        <f ca="1">AP41+($AM$44-$AM$43)/10</f>
        <v>6.6374049605552976</v>
      </c>
      <c r="AQ42" s="17">
        <f ca="1">AQ41+($AM$44-$AM$43)/10</f>
        <v>8.1570192790882885</v>
      </c>
      <c r="AR42" s="17">
        <f t="shared" ref="AR42:AY42" ca="1" si="41">AR41+($AM$44-$AM$43)/10</f>
        <v>9.6766335976212794</v>
      </c>
      <c r="AS42" s="17">
        <f t="shared" ca="1" si="41"/>
        <v>11.19624791615427</v>
      </c>
      <c r="AT42" s="17">
        <f t="shared" ca="1" si="41"/>
        <v>12.715862234687261</v>
      </c>
      <c r="AU42" s="17">
        <f t="shared" ca="1" si="41"/>
        <v>14.235476553220252</v>
      </c>
      <c r="AV42" s="17">
        <f t="shared" ca="1" si="41"/>
        <v>15.755090871753243</v>
      </c>
      <c r="AW42" s="17">
        <f t="shared" ca="1" si="41"/>
        <v>17.274705190286234</v>
      </c>
      <c r="AX42" s="17">
        <f t="shared" ca="1" si="41"/>
        <v>18.794319508819225</v>
      </c>
      <c r="AY42" s="17">
        <f t="shared" ca="1" si="41"/>
        <v>20.313933827352216</v>
      </c>
      <c r="AZ42" s="38"/>
      <c r="BA42" s="38"/>
      <c r="BB42" s="39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</row>
    <row r="43" spans="1:137" s="9" customFormat="1" x14ac:dyDescent="0.25">
      <c r="A43" s="1"/>
      <c r="B43" s="37"/>
      <c r="C43" s="46">
        <f t="shared" si="20"/>
        <v>6</v>
      </c>
      <c r="D43" s="46">
        <f t="shared" ca="1" si="3"/>
        <v>0.5686606956563085</v>
      </c>
      <c r="E43" s="46">
        <f t="shared" ca="1" si="3"/>
        <v>0.13566958027256071</v>
      </c>
      <c r="F43" s="46">
        <f t="shared" ref="F43:G43" ca="1" si="42">AVERAGE(D39:D47)</f>
        <v>0.45493870363773453</v>
      </c>
      <c r="G43" s="46">
        <f t="shared" ca="1" si="42"/>
        <v>0.56962602142359897</v>
      </c>
      <c r="H43" s="46">
        <f t="shared" ca="1" si="4"/>
        <v>0.47212172988553591</v>
      </c>
      <c r="I43" s="46">
        <f t="shared" ca="1" si="5"/>
        <v>0.66363272000072804</v>
      </c>
      <c r="J43" s="46">
        <f t="shared" ca="1" si="6"/>
        <v>9.4851067928650071E-2</v>
      </c>
      <c r="K43" s="46">
        <f t="shared" ca="1" si="7"/>
        <v>-0.24701503025447377</v>
      </c>
      <c r="L43" s="12">
        <f t="shared" ca="1" si="8"/>
        <v>1.8284553203785952</v>
      </c>
      <c r="M43" s="12">
        <f t="shared" ca="1" si="9"/>
        <v>11.135447394109342</v>
      </c>
      <c r="N43" s="46">
        <f t="shared" ca="1" si="10"/>
        <v>1.8284553203785952</v>
      </c>
      <c r="O43" s="12">
        <f t="shared" ca="1" si="11"/>
        <v>11.135447394109342</v>
      </c>
      <c r="P43" s="67">
        <f t="shared" ca="1" si="12"/>
        <v>5.4449746526783471E-2</v>
      </c>
      <c r="Q43" s="46">
        <f t="shared" ca="1" si="13"/>
        <v>9.3614418202575305</v>
      </c>
      <c r="R43" s="46">
        <f t="shared" ca="1" si="14"/>
        <v>0.50972813423825303</v>
      </c>
      <c r="S43" s="46">
        <f t="shared" ca="1" si="15"/>
        <v>2.9647748968309687E-3</v>
      </c>
      <c r="T43" s="46">
        <f t="shared" ca="1" si="16"/>
        <v>0.40556430386621994</v>
      </c>
      <c r="U43" s="46">
        <f t="shared" ca="1" si="17"/>
        <v>1.4031364370842194</v>
      </c>
      <c r="V43" s="46">
        <f t="shared" ca="1" si="1"/>
        <v>11.772286701836354</v>
      </c>
      <c r="W43" s="68">
        <f t="shared" ca="1" si="18"/>
        <v>0.63683930772701203</v>
      </c>
      <c r="X43" s="46"/>
      <c r="Y43" s="46"/>
      <c r="Z43" s="12"/>
      <c r="AA43" s="12"/>
      <c r="AB43" s="12"/>
      <c r="AC43" s="12"/>
      <c r="AD43" s="12"/>
      <c r="AE43" s="38"/>
      <c r="AF43" s="38"/>
      <c r="AG43" s="38"/>
      <c r="AH43" s="38"/>
      <c r="AI43" s="38"/>
      <c r="AJ43" s="38"/>
      <c r="AK43" s="38"/>
      <c r="AL43" s="23" t="s">
        <v>10</v>
      </c>
      <c r="AM43" s="19">
        <f ca="1">MIN(O20:O124)</f>
        <v>5.1177906420223076</v>
      </c>
      <c r="AN43" s="42" t="s">
        <v>0</v>
      </c>
      <c r="AO43" s="31">
        <f ca="1">MIN(O20:O124)</f>
        <v>5.1177906420223076</v>
      </c>
      <c r="AP43" s="14">
        <f ca="1">AVERAGE(AP41:AP42)</f>
        <v>5.8775978012888022</v>
      </c>
      <c r="AQ43" s="14">
        <f t="shared" ref="AQ43:AY43" ca="1" si="43">AVERAGE(AQ41:AQ42)</f>
        <v>7.3972121198217931</v>
      </c>
      <c r="AR43" s="14">
        <f t="shared" ca="1" si="43"/>
        <v>8.9168264383547839</v>
      </c>
      <c r="AS43" s="14">
        <f t="shared" ca="1" si="43"/>
        <v>10.436440756887775</v>
      </c>
      <c r="AT43" s="14">
        <f t="shared" ca="1" si="43"/>
        <v>11.956055075420766</v>
      </c>
      <c r="AU43" s="14">
        <f t="shared" ca="1" si="43"/>
        <v>13.475669393953757</v>
      </c>
      <c r="AV43" s="14">
        <f t="shared" ca="1" si="43"/>
        <v>14.995283712486748</v>
      </c>
      <c r="AW43" s="14">
        <f t="shared" ca="1" si="43"/>
        <v>16.51489803101974</v>
      </c>
      <c r="AX43" s="14">
        <f t="shared" ca="1" si="43"/>
        <v>18.034512349552728</v>
      </c>
      <c r="AY43" s="14">
        <f t="shared" ca="1" si="43"/>
        <v>19.554126668085722</v>
      </c>
      <c r="AZ43" s="21">
        <f ca="1">AM44</f>
        <v>20.313933827352209</v>
      </c>
      <c r="BA43" s="38"/>
      <c r="BB43" s="39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</row>
    <row r="44" spans="1:137" s="9" customFormat="1" ht="15.75" thickBot="1" x14ac:dyDescent="0.3">
      <c r="A44" s="1"/>
      <c r="B44" s="37"/>
      <c r="C44" s="46">
        <f t="shared" si="20"/>
        <v>6.25</v>
      </c>
      <c r="D44" s="46">
        <f t="shared" ca="1" si="3"/>
        <v>7.8041868405910431E-2</v>
      </c>
      <c r="E44" s="46">
        <f t="shared" ca="1" si="3"/>
        <v>0.20446232115578433</v>
      </c>
      <c r="F44" s="46">
        <f t="shared" ref="F44:G44" ca="1" si="44">AVERAGE(D40:D48)</f>
        <v>0.43557091486162569</v>
      </c>
      <c r="G44" s="46">
        <f t="shared" ca="1" si="44"/>
        <v>0.53009796569181011</v>
      </c>
      <c r="H44" s="46">
        <f t="shared" ca="1" si="4"/>
        <v>0.42834481383205664</v>
      </c>
      <c r="I44" s="46">
        <f t="shared" ca="1" si="5"/>
        <v>0.59274675460455362</v>
      </c>
      <c r="J44" s="46">
        <f t="shared" ca="1" si="6"/>
        <v>1.55377454690073</v>
      </c>
      <c r="K44" s="46">
        <f t="shared" ca="1" si="7"/>
        <v>-0.59559850785548296</v>
      </c>
      <c r="L44" s="12">
        <f t="shared" ca="1" si="8"/>
        <v>2.2661323640702191</v>
      </c>
      <c r="M44" s="12">
        <f t="shared" ca="1" si="9"/>
        <v>9.9154052225058091</v>
      </c>
      <c r="N44" s="46">
        <f t="shared" ca="1" si="10"/>
        <v>2.2661323640702191</v>
      </c>
      <c r="O44" s="12">
        <f t="shared" ca="1" si="11"/>
        <v>9.9154052225058091</v>
      </c>
      <c r="P44" s="67">
        <f t="shared" ca="1" si="12"/>
        <v>0.49212679021840744</v>
      </c>
      <c r="Q44" s="46">
        <f t="shared" ca="1" si="13"/>
        <v>8.1413996486539979</v>
      </c>
      <c r="R44" s="46">
        <f t="shared" ca="1" si="14"/>
        <v>4.0066008769773624</v>
      </c>
      <c r="S44" s="46">
        <f t="shared" ca="1" si="15"/>
        <v>0.2421887776506724</v>
      </c>
      <c r="T44" s="46">
        <f t="shared" ca="1" si="16"/>
        <v>6.4802927850435195</v>
      </c>
      <c r="U44" s="46">
        <f t="shared" ca="1" si="17"/>
        <v>5.782018313685203</v>
      </c>
      <c r="V44" s="46">
        <f t="shared" ca="1" si="1"/>
        <v>7.369763302470016</v>
      </c>
      <c r="W44" s="68">
        <f t="shared" ca="1" si="18"/>
        <v>-2.5456419200357931</v>
      </c>
      <c r="X44" s="46"/>
      <c r="Y44" s="46"/>
      <c r="Z44" s="12"/>
      <c r="AA44" s="12"/>
      <c r="AB44" s="12"/>
      <c r="AC44" s="12"/>
      <c r="AD44" s="12"/>
      <c r="AE44" s="38"/>
      <c r="AF44" s="38"/>
      <c r="AG44" s="38"/>
      <c r="AH44" s="38"/>
      <c r="AI44" s="38"/>
      <c r="AJ44" s="38"/>
      <c r="AK44" s="38"/>
      <c r="AL44" s="24" t="s">
        <v>11</v>
      </c>
      <c r="AM44" s="20">
        <f ca="1">MAX(O20:O124)</f>
        <v>20.313933827352209</v>
      </c>
      <c r="AN44" s="42" t="s">
        <v>21</v>
      </c>
      <c r="AO44" s="32">
        <v>0</v>
      </c>
      <c r="AP44" s="17">
        <f ca="1">COUNTIF($O$20:$O$124,"&lt;"&amp;AP42)/COUNT($O$20:$O$124)</f>
        <v>7.6190476190476197E-2</v>
      </c>
      <c r="AQ44" s="17">
        <f ca="1">(COUNTIF($O$20:$O$124,"&lt;"&amp;AQ42))/COUNT(O20:O124)-AP44</f>
        <v>3.8095238095238085E-2</v>
      </c>
      <c r="AR44" s="17">
        <f ca="1">(COUNTIF($O$20:$O$124,"&lt;"&amp;AR42)/COUNT($O$20:$O$124))-SUM($AP$44:AQ44)</f>
        <v>0.11428571428571428</v>
      </c>
      <c r="AS44" s="17">
        <f ca="1">(COUNTIF($O$20:$O$124,"&lt;"&amp;AS42)/COUNT($O$20:$O$124))-SUM($AP$44:AR44)</f>
        <v>0.15238095238095237</v>
      </c>
      <c r="AT44" s="17">
        <f ca="1">(COUNTIF($O$20:$O$124,"&lt;"&amp;AT42)/COUNT($O$20:$O$124))-SUM($AP$44:AS44)</f>
        <v>0.12380952380952381</v>
      </c>
      <c r="AU44" s="17">
        <f ca="1">(COUNTIF($O$20:$O$124,"&lt;"&amp;AU42)/COUNT($O$20:$O$124))-SUM($AP$44:AT44)</f>
        <v>0.17142857142857149</v>
      </c>
      <c r="AV44" s="17">
        <f ca="1">(COUNTIF($O$20:$O$124,"&lt;"&amp;AV42)/COUNT($O$20:$O$124))-SUM($AP$44:AU44)</f>
        <v>0.15238095238095239</v>
      </c>
      <c r="AW44" s="17">
        <f ca="1">(COUNTIF($O$20:$O$124,"&lt;"&amp;AW42)/COUNT($O$20:$O$124))-SUM($AP$44:AV44)</f>
        <v>0.10476190476190472</v>
      </c>
      <c r="AX44" s="17">
        <f ca="1">(COUNTIF($O$20:$O$124,"&lt;"&amp;AX42)/COUNT($O$20:$O$124))-SUM($AP$44:AW44)</f>
        <v>4.7619047619047561E-2</v>
      </c>
      <c r="AY44" s="17">
        <f ca="1">(COUNTIF($O$20:$O$124,"&lt;"&amp;AY42)/COUNT($O$20:$O$124))-SUM($AP$44:AX44)</f>
        <v>9.523809523809601E-3</v>
      </c>
      <c r="AZ44" s="22">
        <v>0</v>
      </c>
      <c r="BA44" s="38"/>
      <c r="BB44" s="39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</row>
    <row r="45" spans="1:137" s="9" customFormat="1" ht="15.75" thickBot="1" x14ac:dyDescent="0.3">
      <c r="A45" s="1"/>
      <c r="B45" s="37"/>
      <c r="C45" s="46">
        <f t="shared" si="20"/>
        <v>6.5</v>
      </c>
      <c r="D45" s="46">
        <f t="shared" ca="1" si="3"/>
        <v>0.86018043224734464</v>
      </c>
      <c r="E45" s="46">
        <f t="shared" ca="1" si="3"/>
        <v>0.28440511520117584</v>
      </c>
      <c r="F45" s="46">
        <f t="shared" ref="F45:G45" ca="1" si="45">AVERAGE(D41:D49)</f>
        <v>0.36812918054250499</v>
      </c>
      <c r="G45" s="46">
        <f t="shared" ca="1" si="45"/>
        <v>0.43373796098313039</v>
      </c>
      <c r="H45" s="46">
        <f t="shared" ca="1" si="4"/>
        <v>0.2759065992315789</v>
      </c>
      <c r="I45" s="46">
        <f t="shared" ca="1" si="5"/>
        <v>0.41994361939086139</v>
      </c>
      <c r="J45" s="46">
        <f t="shared" ca="1" si="6"/>
        <v>0.81813932683771262</v>
      </c>
      <c r="K45" s="46">
        <f t="shared" ca="1" si="7"/>
        <v>-0.83400244151632363</v>
      </c>
      <c r="L45" s="12">
        <f t="shared" ca="1" si="8"/>
        <v>2.0454417980513138</v>
      </c>
      <c r="M45" s="12">
        <f t="shared" ca="1" si="9"/>
        <v>9.0809914546928674</v>
      </c>
      <c r="N45" s="46">
        <f t="shared" ca="1" si="10"/>
        <v>2.0454417980513138</v>
      </c>
      <c r="O45" s="12">
        <f t="shared" ca="1" si="11"/>
        <v>9.0809914546928674</v>
      </c>
      <c r="P45" s="67">
        <f t="shared" ca="1" si="12"/>
        <v>0.27143622419950209</v>
      </c>
      <c r="Q45" s="46">
        <f t="shared" ca="1" si="13"/>
        <v>7.3069858808410562</v>
      </c>
      <c r="R45" s="46">
        <f t="shared" ca="1" si="14"/>
        <v>1.9833806577745692</v>
      </c>
      <c r="S45" s="46">
        <f t="shared" ca="1" si="15"/>
        <v>7.3677623807682363E-2</v>
      </c>
      <c r="T45" s="46">
        <f t="shared" ca="1" si="16"/>
        <v>0.25873801060106322</v>
      </c>
      <c r="U45" s="46">
        <f t="shared" ca="1" si="17"/>
        <v>10.491098593387512</v>
      </c>
      <c r="V45" s="46">
        <f t="shared" ca="1" si="1"/>
        <v>9.5896544183545274</v>
      </c>
      <c r="W45" s="68">
        <f t="shared" ca="1" si="18"/>
        <v>0.50866296366165997</v>
      </c>
      <c r="X45" s="46"/>
      <c r="Y45" s="46"/>
      <c r="Z45" s="12"/>
      <c r="AA45" s="12"/>
      <c r="AB45" s="12"/>
      <c r="AC45" s="12"/>
      <c r="AD45" s="12"/>
      <c r="AE45" s="38"/>
      <c r="AF45" s="38"/>
      <c r="AG45" s="38"/>
      <c r="AH45" s="38"/>
      <c r="AI45" s="38"/>
      <c r="AJ45" s="38"/>
      <c r="AK45" s="38"/>
      <c r="AL45" s="38"/>
      <c r="AM45" s="38"/>
      <c r="AN45" s="42" t="s">
        <v>31</v>
      </c>
      <c r="AO45" s="28">
        <f>AO44</f>
        <v>0</v>
      </c>
      <c r="AP45" s="29">
        <f ca="1">AP44+AO45</f>
        <v>7.6190476190476197E-2</v>
      </c>
      <c r="AQ45" s="29">
        <f t="shared" ref="AQ45:AZ45" ca="1" si="46">AQ44+AP45</f>
        <v>0.11428571428571428</v>
      </c>
      <c r="AR45" s="29">
        <f t="shared" ca="1" si="46"/>
        <v>0.22857142857142856</v>
      </c>
      <c r="AS45" s="29">
        <f t="shared" ca="1" si="46"/>
        <v>0.38095238095238093</v>
      </c>
      <c r="AT45" s="29">
        <f t="shared" ca="1" si="46"/>
        <v>0.50476190476190474</v>
      </c>
      <c r="AU45" s="29">
        <f t="shared" ca="1" si="46"/>
        <v>0.67619047619047623</v>
      </c>
      <c r="AV45" s="29">
        <f t="shared" ca="1" si="46"/>
        <v>0.82857142857142863</v>
      </c>
      <c r="AW45" s="29">
        <f t="shared" ca="1" si="46"/>
        <v>0.93333333333333335</v>
      </c>
      <c r="AX45" s="29">
        <f t="shared" ca="1" si="46"/>
        <v>0.98095238095238091</v>
      </c>
      <c r="AY45" s="29">
        <f t="shared" ca="1" si="46"/>
        <v>0.99047619047619051</v>
      </c>
      <c r="AZ45" s="30">
        <f t="shared" ca="1" si="46"/>
        <v>0.99047619047619051</v>
      </c>
      <c r="BA45" s="38"/>
      <c r="BB45" s="39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</row>
    <row r="46" spans="1:137" s="9" customFormat="1" x14ac:dyDescent="0.25">
      <c r="A46" s="1"/>
      <c r="B46" s="37"/>
      <c r="C46" s="46">
        <f t="shared" si="20"/>
        <v>6.75</v>
      </c>
      <c r="D46" s="46">
        <f t="shared" ca="1" si="3"/>
        <v>6.3841127737834125E-2</v>
      </c>
      <c r="E46" s="46">
        <f t="shared" ca="1" si="3"/>
        <v>0.81585893998757808</v>
      </c>
      <c r="F46" s="46">
        <f t="shared" ref="F46:G46" ca="1" si="47">AVERAGE(D42:D50)</f>
        <v>0.4117653599830578</v>
      </c>
      <c r="G46" s="46">
        <f t="shared" ca="1" si="47"/>
        <v>0.36074133424431604</v>
      </c>
      <c r="H46" s="46">
        <f t="shared" ca="1" si="4"/>
        <v>0.37453723726394123</v>
      </c>
      <c r="I46" s="46">
        <f t="shared" ca="1" si="5"/>
        <v>0.28903820901208277</v>
      </c>
      <c r="J46" s="46">
        <f t="shared" ca="1" si="6"/>
        <v>-0.46264395048426094</v>
      </c>
      <c r="K46" s="46">
        <f t="shared" ca="1" si="7"/>
        <v>3.5713340550706962E-2</v>
      </c>
      <c r="L46" s="12">
        <f t="shared" ca="1" si="8"/>
        <v>1.6612068148547219</v>
      </c>
      <c r="M46" s="12">
        <f t="shared" ca="1" si="9"/>
        <v>12.124996691927475</v>
      </c>
      <c r="N46" s="46">
        <f t="shared" ca="1" si="10"/>
        <v>1.6612068148547219</v>
      </c>
      <c r="O46" s="12">
        <f t="shared" ca="1" si="11"/>
        <v>12.124996691927475</v>
      </c>
      <c r="P46" s="67">
        <f t="shared" ca="1" si="12"/>
        <v>-0.1127987589970898</v>
      </c>
      <c r="Q46" s="46">
        <f t="shared" ca="1" si="13"/>
        <v>10.350991118075664</v>
      </c>
      <c r="R46" s="46">
        <f t="shared" ca="1" si="14"/>
        <v>-1.1675789525088338</v>
      </c>
      <c r="S46" s="46">
        <f t="shared" ca="1" si="15"/>
        <v>1.2723560031283547E-2</v>
      </c>
      <c r="T46" s="46">
        <f t="shared" ca="1" si="16"/>
        <v>1.7678786661967751</v>
      </c>
      <c r="U46" s="46">
        <f t="shared" ca="1" si="17"/>
        <v>3.8021608590936846E-2</v>
      </c>
      <c r="V46" s="46">
        <f t="shared" ca="1" si="1"/>
        <v>13.454612676412008</v>
      </c>
      <c r="W46" s="68">
        <f t="shared" ca="1" si="18"/>
        <v>1.3296159844845334</v>
      </c>
      <c r="X46" s="46"/>
      <c r="Y46" s="46"/>
      <c r="Z46" s="12"/>
      <c r="AA46" s="12"/>
      <c r="AB46" s="12"/>
      <c r="AC46" s="12"/>
      <c r="AD46" s="12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9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</row>
    <row r="47" spans="1:137" s="9" customFormat="1" x14ac:dyDescent="0.25">
      <c r="A47" s="1"/>
      <c r="B47" s="37"/>
      <c r="C47" s="46">
        <f t="shared" si="20"/>
        <v>7</v>
      </c>
      <c r="D47" s="46">
        <f t="shared" ca="1" si="3"/>
        <v>0.46187150134006794</v>
      </c>
      <c r="E47" s="46">
        <f t="shared" ca="1" si="3"/>
        <v>0.78403126946305024</v>
      </c>
      <c r="F47" s="46">
        <f t="shared" ref="F47:G47" ca="1" si="48">AVERAGE(D43:D51)</f>
        <v>0.46459679689165057</v>
      </c>
      <c r="G47" s="46">
        <f t="shared" ca="1" si="48"/>
        <v>0.38106106282400787</v>
      </c>
      <c r="H47" s="46">
        <f t="shared" ca="1" si="4"/>
        <v>0.49395186973789246</v>
      </c>
      <c r="I47" s="46">
        <f t="shared" ca="1" si="5"/>
        <v>0.32547773406065023</v>
      </c>
      <c r="J47" s="46">
        <f t="shared" ca="1" si="6"/>
        <v>7.7837615090807624E-2</v>
      </c>
      <c r="K47" s="46">
        <f t="shared" ca="1" si="7"/>
        <v>1.354639823042048</v>
      </c>
      <c r="L47" s="12">
        <f t="shared" ca="1" si="8"/>
        <v>1.8233512845272424</v>
      </c>
      <c r="M47" s="12">
        <f t="shared" ca="1" si="9"/>
        <v>16.741239380647169</v>
      </c>
      <c r="N47" s="46">
        <f t="shared" ca="1" si="10"/>
        <v>1.8233512845272424</v>
      </c>
      <c r="O47" s="12">
        <f t="shared" ca="1" si="11"/>
        <v>16.741239380647169</v>
      </c>
      <c r="P47" s="67">
        <f t="shared" ca="1" si="12"/>
        <v>4.9345710675430698E-2</v>
      </c>
      <c r="Q47" s="46">
        <f t="shared" ca="1" si="13"/>
        <v>14.967233806795358</v>
      </c>
      <c r="R47" s="46">
        <f t="shared" ca="1" si="14"/>
        <v>0.73856878904164891</v>
      </c>
      <c r="S47" s="46">
        <f t="shared" ca="1" si="15"/>
        <v>2.4349991620633152E-3</v>
      </c>
      <c r="T47" s="46">
        <f t="shared" ca="1" si="16"/>
        <v>24.182907765830969</v>
      </c>
      <c r="U47" s="46">
        <f t="shared" ca="1" si="17"/>
        <v>19.547463807898975</v>
      </c>
      <c r="V47" s="46">
        <f t="shared" ca="1" si="1"/>
        <v>11.823627382346473</v>
      </c>
      <c r="W47" s="68">
        <f t="shared" ca="1" si="18"/>
        <v>-4.9176119983006963</v>
      </c>
      <c r="X47" s="46"/>
      <c r="Y47" s="46"/>
      <c r="Z47" s="12"/>
      <c r="AA47" s="12"/>
      <c r="AB47" s="12"/>
      <c r="AC47" s="12"/>
      <c r="AD47" s="12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9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</row>
    <row r="48" spans="1:137" s="9" customFormat="1" x14ac:dyDescent="0.25">
      <c r="A48" s="1"/>
      <c r="B48" s="37"/>
      <c r="C48" s="46">
        <f t="shared" si="20"/>
        <v>7.25</v>
      </c>
      <c r="D48" s="46">
        <f t="shared" ca="1" si="3"/>
        <v>0.50934323486963939</v>
      </c>
      <c r="E48" s="46">
        <f t="shared" ca="1" si="3"/>
        <v>0.48326991183156043</v>
      </c>
      <c r="F48" s="46">
        <f t="shared" ref="F48:G48" ca="1" si="49">AVERAGE(D44:D52)</f>
        <v>0.46899594770538694</v>
      </c>
      <c r="G48" s="46">
        <f t="shared" ca="1" si="49"/>
        <v>0.4659075993943923</v>
      </c>
      <c r="H48" s="46">
        <f t="shared" ca="1" si="4"/>
        <v>0.50389524830866106</v>
      </c>
      <c r="I48" s="46">
        <f t="shared" ca="1" si="5"/>
        <v>0.47763367859087041</v>
      </c>
      <c r="J48" s="46">
        <f t="shared" ca="1" si="6"/>
        <v>0.13129451498885336</v>
      </c>
      <c r="K48" s="46">
        <f t="shared" ca="1" si="7"/>
        <v>-0.54533585221975034</v>
      </c>
      <c r="L48" s="12">
        <f t="shared" ca="1" si="8"/>
        <v>1.8393883544966561</v>
      </c>
      <c r="M48" s="12">
        <f t="shared" ca="1" si="9"/>
        <v>10.091324517230873</v>
      </c>
      <c r="N48" s="46">
        <f t="shared" ca="1" si="10"/>
        <v>1.8393883544966561</v>
      </c>
      <c r="O48" s="12">
        <f t="shared" ca="1" si="11"/>
        <v>10.091324517230873</v>
      </c>
      <c r="P48" s="67">
        <f t="shared" ca="1" si="12"/>
        <v>6.5382780644844374E-2</v>
      </c>
      <c r="Q48" s="46">
        <f t="shared" ca="1" si="13"/>
        <v>8.3173189433790622</v>
      </c>
      <c r="R48" s="46">
        <f t="shared" ca="1" si="14"/>
        <v>0.54380944002816201</v>
      </c>
      <c r="S48" s="46">
        <f t="shared" ca="1" si="15"/>
        <v>4.274908004851836E-3</v>
      </c>
      <c r="T48" s="46">
        <f t="shared" ca="1" si="16"/>
        <v>2.4680050008808752</v>
      </c>
      <c r="U48" s="46">
        <f t="shared" ca="1" si="17"/>
        <v>4.9669409007653229</v>
      </c>
      <c r="V48" s="46">
        <f t="shared" ca="1" si="1"/>
        <v>11.662313059799175</v>
      </c>
      <c r="W48" s="68">
        <f t="shared" ca="1" si="18"/>
        <v>1.5709885425683012</v>
      </c>
      <c r="X48" s="46"/>
      <c r="Y48" s="46"/>
      <c r="Z48" s="12"/>
      <c r="AA48" s="12"/>
      <c r="AB48" s="12"/>
      <c r="AC48" s="12"/>
      <c r="AD48" s="12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9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</row>
    <row r="49" spans="1:137" s="9" customFormat="1" x14ac:dyDescent="0.25">
      <c r="A49" s="1"/>
      <c r="B49" s="37"/>
      <c r="C49" s="46">
        <f t="shared" si="20"/>
        <v>7.5</v>
      </c>
      <c r="D49" s="46">
        <f t="shared" ca="1" si="3"/>
        <v>0.35841360110293263</v>
      </c>
      <c r="E49" s="46">
        <f t="shared" ca="1" si="3"/>
        <v>0.11129729392235976</v>
      </c>
      <c r="F49" s="46">
        <f t="shared" ref="F49:G49" ca="1" si="50">AVERAGE(D45:D53)</f>
        <v>0.56826391398309484</v>
      </c>
      <c r="G49" s="46">
        <f t="shared" ca="1" si="50"/>
        <v>0.45913479095901155</v>
      </c>
      <c r="H49" s="46">
        <f t="shared" ca="1" si="4"/>
        <v>0.7282701357454453</v>
      </c>
      <c r="I49" s="46">
        <f t="shared" ca="1" si="5"/>
        <v>0.46548794929816406</v>
      </c>
      <c r="J49" s="46">
        <f t="shared" ca="1" si="6"/>
        <v>0.46863326429906327</v>
      </c>
      <c r="K49" s="46">
        <f t="shared" ca="1" si="7"/>
        <v>-1.6226865340478702</v>
      </c>
      <c r="L49" s="12">
        <f t="shared" ca="1" si="8"/>
        <v>1.940589979289719</v>
      </c>
      <c r="M49" s="12">
        <f t="shared" ca="1" si="9"/>
        <v>6.3205971308324544</v>
      </c>
      <c r="N49" s="46">
        <f t="shared" ca="1" si="10"/>
        <v>1.940589979289719</v>
      </c>
      <c r="O49" s="12">
        <f t="shared" ca="1" si="11"/>
        <v>6.3205971308324544</v>
      </c>
      <c r="P49" s="67">
        <f t="shared" ca="1" si="12"/>
        <v>0.16658440543790731</v>
      </c>
      <c r="Q49" s="46">
        <f t="shared" ca="1" si="13"/>
        <v>4.5465915569806423</v>
      </c>
      <c r="R49" s="46">
        <f t="shared" ca="1" si="14"/>
        <v>0.75739125128862961</v>
      </c>
      <c r="S49" s="46">
        <f t="shared" ca="1" si="15"/>
        <v>2.7750364135101083E-2</v>
      </c>
      <c r="T49" s="46">
        <f t="shared" ca="1" si="16"/>
        <v>18.694770539502951</v>
      </c>
      <c r="U49" s="46">
        <f t="shared" ca="1" si="17"/>
        <v>35.992690750810773</v>
      </c>
      <c r="V49" s="46">
        <f t="shared" ca="1" si="1"/>
        <v>10.644342097814544</v>
      </c>
      <c r="W49" s="68">
        <f t="shared" ca="1" si="18"/>
        <v>4.3237449669820895</v>
      </c>
      <c r="X49" s="46"/>
      <c r="Y49" s="46"/>
      <c r="Z49" s="12"/>
      <c r="AA49" s="12"/>
      <c r="AB49" s="12"/>
      <c r="AC49" s="12"/>
      <c r="AD49" s="12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9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</row>
    <row r="50" spans="1:137" s="9" customFormat="1" x14ac:dyDescent="0.25">
      <c r="A50" s="1"/>
      <c r="B50" s="37"/>
      <c r="C50" s="46">
        <f t="shared" si="20"/>
        <v>7.75</v>
      </c>
      <c r="D50" s="46">
        <f t="shared" ca="1" si="3"/>
        <v>0.52717497743848063</v>
      </c>
      <c r="E50" s="46">
        <f t="shared" ca="1" si="3"/>
        <v>0.10017453221500749</v>
      </c>
      <c r="F50" s="46">
        <f t="shared" ref="F50:G50" ca="1" si="51">AVERAGE(D46:D54)</f>
        <v>0.49113312077903171</v>
      </c>
      <c r="G50" s="46">
        <f t="shared" ca="1" si="51"/>
        <v>0.52778797809140376</v>
      </c>
      <c r="H50" s="46">
        <f t="shared" ca="1" si="4"/>
        <v>0.55393178983175539</v>
      </c>
      <c r="I50" s="46">
        <f t="shared" ca="1" si="5"/>
        <v>0.5886042361306103</v>
      </c>
      <c r="J50" s="46">
        <f t="shared" ca="1" si="6"/>
        <v>-0.27496668364684729</v>
      </c>
      <c r="K50" s="46">
        <f t="shared" ca="1" si="7"/>
        <v>0.7569203105176403</v>
      </c>
      <c r="L50" s="12">
        <f t="shared" ca="1" si="8"/>
        <v>1.7175099949059458</v>
      </c>
      <c r="M50" s="12">
        <f t="shared" ca="1" si="9"/>
        <v>14.649221086811741</v>
      </c>
      <c r="N50" s="46">
        <f t="shared" ca="1" si="10"/>
        <v>1.7175099949059458</v>
      </c>
      <c r="O50" s="12">
        <f t="shared" ca="1" si="11"/>
        <v>14.649221086811741</v>
      </c>
      <c r="P50" s="67">
        <f t="shared" ca="1" si="12"/>
        <v>-5.6495578945865876E-2</v>
      </c>
      <c r="Q50" s="46">
        <f t="shared" ca="1" si="13"/>
        <v>12.875215512959929</v>
      </c>
      <c r="R50" s="46">
        <f t="shared" ca="1" si="14"/>
        <v>-0.72739275445746476</v>
      </c>
      <c r="S50" s="46">
        <f t="shared" ca="1" si="15"/>
        <v>3.1917504404285636E-3</v>
      </c>
      <c r="T50" s="46">
        <f t="shared" ca="1" si="16"/>
        <v>3.1009558057508189</v>
      </c>
      <c r="U50" s="46">
        <f t="shared" ca="1" si="17"/>
        <v>5.4253267922040305</v>
      </c>
      <c r="V50" s="46">
        <f t="shared" ca="1" si="1"/>
        <v>12.888267990971077</v>
      </c>
      <c r="W50" s="68">
        <f t="shared" ca="1" si="18"/>
        <v>-1.7609530958406641</v>
      </c>
      <c r="X50" s="46"/>
      <c r="Y50" s="46"/>
      <c r="Z50" s="12"/>
      <c r="AA50" s="12"/>
      <c r="AB50" s="12"/>
      <c r="AC50" s="12"/>
      <c r="AD50" s="12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9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</row>
    <row r="51" spans="1:137" s="9" customFormat="1" x14ac:dyDescent="0.25">
      <c r="A51" s="1"/>
      <c r="B51" s="37"/>
      <c r="C51" s="46">
        <f t="shared" si="20"/>
        <v>8</v>
      </c>
      <c r="D51" s="46">
        <f t="shared" ca="1" si="3"/>
        <v>0.75384373322633758</v>
      </c>
      <c r="E51" s="46">
        <f t="shared" ca="1" si="3"/>
        <v>0.51038060136699359</v>
      </c>
      <c r="F51" s="46">
        <f t="shared" ref="F51:G51" ca="1" si="52">AVERAGE(D47:D55)</f>
        <v>0.57756043286892733</v>
      </c>
      <c r="G51" s="46">
        <f t="shared" ca="1" si="52"/>
        <v>0.4818428023459061</v>
      </c>
      <c r="H51" s="46">
        <f t="shared" ca="1" si="4"/>
        <v>0.74928301086295468</v>
      </c>
      <c r="I51" s="46">
        <f t="shared" ca="1" si="5"/>
        <v>0.50621040021529373</v>
      </c>
      <c r="J51" s="46">
        <f t="shared" ca="1" si="6"/>
        <v>-1.1727037047047901</v>
      </c>
      <c r="K51" s="46">
        <f t="shared" ca="1" si="7"/>
        <v>1.9321657973838395</v>
      </c>
      <c r="L51" s="12">
        <f t="shared" ca="1" si="8"/>
        <v>1.448188888588563</v>
      </c>
      <c r="M51" s="12">
        <f t="shared" ca="1" si="9"/>
        <v>18.762580290843438</v>
      </c>
      <c r="N51" s="46">
        <f t="shared" ca="1" si="10"/>
        <v>1.448188888588563</v>
      </c>
      <c r="O51" s="12">
        <f t="shared" ca="1" si="11"/>
        <v>18.762580290843438</v>
      </c>
      <c r="P51" s="67">
        <f t="shared" ca="1" si="12"/>
        <v>-0.3258166852632487</v>
      </c>
      <c r="Q51" s="46">
        <f t="shared" ca="1" si="13"/>
        <v>16.988574716991625</v>
      </c>
      <c r="R51" s="46">
        <f t="shared" ca="1" si="14"/>
        <v>-5.5351611016372448</v>
      </c>
      <c r="S51" s="46">
        <f t="shared" ca="1" si="15"/>
        <v>0.10615651239593087</v>
      </c>
      <c r="T51" s="46">
        <f t="shared" ca="1" si="16"/>
        <v>10.018835131781874</v>
      </c>
      <c r="U51" s="46">
        <f t="shared" ca="1" si="17"/>
        <v>41.506995479986905</v>
      </c>
      <c r="V51" s="46">
        <f t="shared" ca="1" si="1"/>
        <v>15.597325935853641</v>
      </c>
      <c r="W51" s="68">
        <f t="shared" ca="1" si="18"/>
        <v>-3.1652543549897967</v>
      </c>
      <c r="X51" s="46"/>
      <c r="Y51" s="46"/>
      <c r="Z51" s="12"/>
      <c r="AA51" s="12"/>
      <c r="AB51" s="12"/>
      <c r="AC51" s="12"/>
      <c r="AD51" s="1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9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</row>
    <row r="52" spans="1:137" s="9" customFormat="1" x14ac:dyDescent="0.25">
      <c r="A52" s="1"/>
      <c r="B52" s="37"/>
      <c r="C52" s="46">
        <f t="shared" si="20"/>
        <v>8.25</v>
      </c>
      <c r="D52" s="46">
        <f t="shared" ca="1" si="3"/>
        <v>0.60825305297993482</v>
      </c>
      <c r="E52" s="46">
        <f t="shared" ca="1" si="3"/>
        <v>0.89928840940602051</v>
      </c>
      <c r="F52" s="46">
        <f t="shared" ref="F52:G52" ca="1" si="53">AVERAGE(D48:D56)</f>
        <v>0.61442803846522775</v>
      </c>
      <c r="G52" s="46">
        <f t="shared" ca="1" si="53"/>
        <v>0.42283883941569439</v>
      </c>
      <c r="H52" s="46">
        <f t="shared" ca="1" si="4"/>
        <v>0.83261467530535704</v>
      </c>
      <c r="I52" s="46">
        <f t="shared" ca="1" si="5"/>
        <v>0.40039814112296268</v>
      </c>
      <c r="J52" s="46">
        <f t="shared" ca="1" si="6"/>
        <v>0.8868838003496321</v>
      </c>
      <c r="K52" s="46">
        <f t="shared" ca="1" si="7"/>
        <v>-0.76564144998308825</v>
      </c>
      <c r="L52" s="12">
        <f t="shared" ca="1" si="8"/>
        <v>2.0660651401048895</v>
      </c>
      <c r="M52" s="12">
        <f t="shared" ca="1" si="9"/>
        <v>9.3202549250591922</v>
      </c>
      <c r="N52" s="46">
        <f t="shared" ca="1" si="10"/>
        <v>2.0660651401048895</v>
      </c>
      <c r="O52" s="12">
        <f t="shared" ca="1" si="11"/>
        <v>9.3202549250591922</v>
      </c>
      <c r="P52" s="67">
        <f t="shared" ca="1" si="12"/>
        <v>0.29205956625307783</v>
      </c>
      <c r="Q52" s="46">
        <f t="shared" ca="1" si="13"/>
        <v>7.5462493512073809</v>
      </c>
      <c r="R52" s="46">
        <f t="shared" ca="1" si="14"/>
        <v>2.2039543123511978</v>
      </c>
      <c r="S52" s="46">
        <f t="shared" ca="1" si="15"/>
        <v>8.5298790239935959E-2</v>
      </c>
      <c r="T52" s="46">
        <f t="shared" ca="1" si="16"/>
        <v>3.8381238021420227E-3</v>
      </c>
      <c r="U52" s="46">
        <f t="shared" ca="1" si="17"/>
        <v>8.9983984957734471</v>
      </c>
      <c r="V52" s="46">
        <f t="shared" ref="V52:V83" ca="1" si="54">$AC$95+$AA$95*N52</f>
        <v>9.3822075182425451</v>
      </c>
      <c r="W52" s="68">
        <f t="shared" ca="1" si="18"/>
        <v>6.1952593183352889E-2</v>
      </c>
      <c r="X52" s="46"/>
      <c r="Y52" s="46"/>
      <c r="Z52" s="12"/>
      <c r="AA52" s="12"/>
      <c r="AB52" s="12"/>
      <c r="AC52" s="12"/>
      <c r="AD52" s="1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9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</row>
    <row r="53" spans="1:137" s="9" customFormat="1" x14ac:dyDescent="0.25">
      <c r="A53" s="1"/>
      <c r="B53" s="37"/>
      <c r="C53" s="46">
        <f t="shared" si="20"/>
        <v>8.5</v>
      </c>
      <c r="D53" s="46">
        <f t="shared" ref="D53:E84" ca="1" si="55">RAND()</f>
        <v>0.97145356490528145</v>
      </c>
      <c r="E53" s="46">
        <f t="shared" ca="1" si="55"/>
        <v>0.14350704523735858</v>
      </c>
      <c r="F53" s="46">
        <f t="shared" ref="F53:G53" ca="1" si="56">AVERAGE(D49:D57)</f>
        <v>0.56903600017385692</v>
      </c>
      <c r="G53" s="46">
        <f t="shared" ca="1" si="56"/>
        <v>0.43451776029938516</v>
      </c>
      <c r="H53" s="46">
        <f t="shared" ca="1" si="4"/>
        <v>0.73001527829887591</v>
      </c>
      <c r="I53" s="46">
        <f t="shared" ca="1" si="5"/>
        <v>0.42134203948324001</v>
      </c>
      <c r="J53" s="46">
        <f t="shared" ca="1" si="6"/>
        <v>0.97022681533636113</v>
      </c>
      <c r="K53" s="46">
        <f t="shared" ca="1" si="7"/>
        <v>-0.7652007599780295</v>
      </c>
      <c r="L53" s="12">
        <f t="shared" ca="1" si="8"/>
        <v>2.0910680446009082</v>
      </c>
      <c r="M53" s="12">
        <f t="shared" ca="1" si="9"/>
        <v>9.3217973400768965</v>
      </c>
      <c r="N53" s="46">
        <f t="shared" ca="1" si="10"/>
        <v>2.0910680446009082</v>
      </c>
      <c r="O53" s="12">
        <f t="shared" ca="1" si="11"/>
        <v>9.3217973400768965</v>
      </c>
      <c r="P53" s="67">
        <f t="shared" ref="P53:P84" ca="1" si="57">N53-$O$11</f>
        <v>0.31706247074909655</v>
      </c>
      <c r="Q53" s="46">
        <f t="shared" ca="1" si="13"/>
        <v>7.5477917662250853</v>
      </c>
      <c r="R53" s="46">
        <f t="shared" ca="1" si="14"/>
        <v>2.3931215060990128</v>
      </c>
      <c r="S53" s="46">
        <f t="shared" ca="1" si="15"/>
        <v>0.1005286103575217</v>
      </c>
      <c r="T53" s="46">
        <f t="shared" ca="1" si="16"/>
        <v>3.6515403493124689E-2</v>
      </c>
      <c r="U53" s="46">
        <f t="shared" ca="1" si="17"/>
        <v>8.9891472081426649</v>
      </c>
      <c r="V53" s="46">
        <f t="shared" ca="1" si="54"/>
        <v>9.1307072997997416</v>
      </c>
      <c r="W53" s="68">
        <f t="shared" ca="1" si="18"/>
        <v>-0.19109004027715493</v>
      </c>
      <c r="X53" s="46"/>
      <c r="Y53" s="46"/>
      <c r="Z53" s="12"/>
      <c r="AA53" s="12"/>
      <c r="AB53" s="12"/>
      <c r="AC53" s="12"/>
      <c r="AD53" s="1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9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</row>
    <row r="54" spans="1:137" s="9" customFormat="1" x14ac:dyDescent="0.25">
      <c r="A54" s="1"/>
      <c r="B54" s="37"/>
      <c r="C54" s="46">
        <f t="shared" si="20"/>
        <v>8.75</v>
      </c>
      <c r="D54" s="46">
        <f t="shared" ca="1" si="55"/>
        <v>0.16600329341077769</v>
      </c>
      <c r="E54" s="46">
        <f t="shared" ca="1" si="55"/>
        <v>0.90228379939270476</v>
      </c>
      <c r="F54" s="46">
        <f t="shared" ref="F54:G54" ca="1" si="58">AVERAGE(D50:D58)</f>
        <v>0.53964731937541832</v>
      </c>
      <c r="G54" s="46">
        <f t="shared" ca="1" si="58"/>
        <v>0.45830745137982976</v>
      </c>
      <c r="H54" s="46">
        <f t="shared" ca="1" si="4"/>
        <v>0.66358819015225345</v>
      </c>
      <c r="I54" s="46">
        <f t="shared" ca="1" si="5"/>
        <v>0.46400427488779833</v>
      </c>
      <c r="J54" s="46">
        <f t="shared" ca="1" si="6"/>
        <v>-1.558741213441333E-2</v>
      </c>
      <c r="K54" s="46">
        <f t="shared" ca="1" si="7"/>
        <v>0.76066900164722207</v>
      </c>
      <c r="L54" s="12">
        <f t="shared" ca="1" si="8"/>
        <v>1.7953237763596761</v>
      </c>
      <c r="M54" s="12">
        <f t="shared" ca="1" si="9"/>
        <v>14.662341505765276</v>
      </c>
      <c r="N54" s="46">
        <f t="shared" ca="1" si="10"/>
        <v>1.7953237763596761</v>
      </c>
      <c r="O54" s="12">
        <f t="shared" ca="1" si="11"/>
        <v>14.662341505765276</v>
      </c>
      <c r="P54" s="67">
        <f t="shared" ca="1" si="57"/>
        <v>2.1318202507864425E-2</v>
      </c>
      <c r="Q54" s="46">
        <f t="shared" ca="1" si="13"/>
        <v>12.888335931913465</v>
      </c>
      <c r="R54" s="46">
        <f t="shared" ca="1" si="14"/>
        <v>0.2747561553859168</v>
      </c>
      <c r="S54" s="46">
        <f t="shared" ca="1" si="15"/>
        <v>4.5446575816631709E-4</v>
      </c>
      <c r="T54" s="46">
        <f t="shared" ca="1" si="16"/>
        <v>6.5371745941131438</v>
      </c>
      <c r="U54" s="46">
        <f t="shared" ca="1" si="17"/>
        <v>5.4866199655862342</v>
      </c>
      <c r="V54" s="46">
        <f t="shared" ca="1" si="54"/>
        <v>12.105551605497141</v>
      </c>
      <c r="W54" s="68">
        <f t="shared" ca="1" si="18"/>
        <v>-2.5567899002681358</v>
      </c>
      <c r="X54" s="46"/>
      <c r="Y54" s="46"/>
      <c r="Z54" s="12"/>
      <c r="AA54" s="12"/>
      <c r="AB54" s="12"/>
      <c r="AC54" s="12"/>
      <c r="AD54" s="12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9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</row>
    <row r="55" spans="1:137" s="9" customFormat="1" x14ac:dyDescent="0.25">
      <c r="A55" s="1"/>
      <c r="B55" s="37"/>
      <c r="C55" s="46">
        <f t="shared" si="20"/>
        <v>9</v>
      </c>
      <c r="D55" s="46">
        <f t="shared" ca="1" si="55"/>
        <v>0.84168693654689419</v>
      </c>
      <c r="E55" s="46">
        <f t="shared" ca="1" si="55"/>
        <v>0.4023523582780989</v>
      </c>
      <c r="F55" s="46">
        <f t="shared" ref="F55:G55" ca="1" si="59">AVERAGE(D51:D59)</f>
        <v>0.58152754707278353</v>
      </c>
      <c r="G55" s="46">
        <f t="shared" ca="1" si="59"/>
        <v>0.48289605463038338</v>
      </c>
      <c r="H55" s="46">
        <f t="shared" ca="1" si="4"/>
        <v>0.75824985924633892</v>
      </c>
      <c r="I55" s="46">
        <f t="shared" ca="1" si="5"/>
        <v>0.50809920561208566</v>
      </c>
      <c r="J55" s="46">
        <f t="shared" ca="1" si="6"/>
        <v>-1.5061362048820188</v>
      </c>
      <c r="K55" s="46">
        <f t="shared" ca="1" si="7"/>
        <v>1.1392267991707739</v>
      </c>
      <c r="L55" s="12">
        <f t="shared" ca="1" si="8"/>
        <v>1.3481591385353944</v>
      </c>
      <c r="M55" s="12">
        <f t="shared" ca="1" si="9"/>
        <v>15.987293797097708</v>
      </c>
      <c r="N55" s="46">
        <f t="shared" ca="1" si="10"/>
        <v>1.3481591385353944</v>
      </c>
      <c r="O55" s="12">
        <f t="shared" ca="1" si="11"/>
        <v>15.987293797097708</v>
      </c>
      <c r="P55" s="67">
        <f t="shared" ca="1" si="57"/>
        <v>-0.4258464353164173</v>
      </c>
      <c r="Q55" s="46">
        <f t="shared" ca="1" si="13"/>
        <v>14.213288223245897</v>
      </c>
      <c r="R55" s="46">
        <f t="shared" ca="1" si="14"/>
        <v>-6.0526781239940792</v>
      </c>
      <c r="S55" s="46">
        <f t="shared" ca="1" si="15"/>
        <v>0.18134518647169959</v>
      </c>
      <c r="T55" s="46">
        <f t="shared" ca="1" si="16"/>
        <v>0.37972141933384251</v>
      </c>
      <c r="U55" s="46">
        <f t="shared" ca="1" si="17"/>
        <v>13.449131840137234</v>
      </c>
      <c r="V55" s="46">
        <f t="shared" ca="1" si="54"/>
        <v>16.603509197208613</v>
      </c>
      <c r="W55" s="68">
        <f t="shared" ca="1" si="18"/>
        <v>0.61621540011090481</v>
      </c>
      <c r="X55" s="46"/>
      <c r="Y55" s="46"/>
      <c r="Z55" s="12"/>
      <c r="AA55" s="12"/>
      <c r="AB55" s="12"/>
      <c r="AC55" s="12"/>
      <c r="AD55" s="12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9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</row>
    <row r="56" spans="1:137" s="9" customFormat="1" x14ac:dyDescent="0.25">
      <c r="A56" s="1"/>
      <c r="B56" s="37"/>
      <c r="C56" s="46">
        <f t="shared" si="20"/>
        <v>9.25</v>
      </c>
      <c r="D56" s="46">
        <f t="shared" ca="1" si="55"/>
        <v>0.79367995170677108</v>
      </c>
      <c r="E56" s="46">
        <f t="shared" ca="1" si="55"/>
        <v>0.25299560309114555</v>
      </c>
      <c r="F56" s="46">
        <f t="shared" ref="F56:G56" ca="1" si="60">AVERAGE(D52:D60)</f>
        <v>0.5824860681762638</v>
      </c>
      <c r="G56" s="46">
        <f t="shared" ca="1" si="60"/>
        <v>0.4634931532542037</v>
      </c>
      <c r="H56" s="46">
        <f t="shared" ca="1" si="4"/>
        <v>0.76041639970005892</v>
      </c>
      <c r="I56" s="46">
        <f t="shared" ca="1" si="5"/>
        <v>0.4733038338166764</v>
      </c>
      <c r="J56" s="46">
        <f t="shared" ca="1" si="6"/>
        <v>-1.5651283787647292</v>
      </c>
      <c r="K56" s="46">
        <f t="shared" ca="1" si="7"/>
        <v>2.3754096649577745</v>
      </c>
      <c r="L56" s="12">
        <f t="shared" ca="1" si="8"/>
        <v>1.3304614863705813</v>
      </c>
      <c r="M56" s="12">
        <f t="shared" ca="1" si="9"/>
        <v>20.313933827352209</v>
      </c>
      <c r="N56" s="46">
        <f t="shared" ca="1" si="10"/>
        <v>1.3304614863705813</v>
      </c>
      <c r="O56" s="12">
        <f t="shared" ca="1" si="11"/>
        <v>20.313933827352209</v>
      </c>
      <c r="P56" s="67">
        <f t="shared" ca="1" si="57"/>
        <v>-0.44354408748123042</v>
      </c>
      <c r="Q56" s="46">
        <f t="shared" ca="1" si="13"/>
        <v>18.539928253500396</v>
      </c>
      <c r="R56" s="46">
        <f t="shared" ca="1" si="14"/>
        <v>-8.2232755591663143</v>
      </c>
      <c r="S56" s="46">
        <f t="shared" ca="1" si="15"/>
        <v>0.19673135753955739</v>
      </c>
      <c r="T56" s="46">
        <f t="shared" ca="1" si="16"/>
        <v>12.477897636884533</v>
      </c>
      <c r="U56" s="46">
        <f t="shared" ca="1" si="17"/>
        <v>63.903169957584744</v>
      </c>
      <c r="V56" s="46">
        <f t="shared" ca="1" si="54"/>
        <v>16.781527050537775</v>
      </c>
      <c r="W56" s="68">
        <f t="shared" ca="1" si="18"/>
        <v>-3.5324067768144332</v>
      </c>
      <c r="X56" s="46"/>
      <c r="Y56" s="46"/>
      <c r="Z56" s="12"/>
      <c r="AA56" s="12"/>
      <c r="AB56" s="12"/>
      <c r="AC56" s="12"/>
      <c r="AD56" s="12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9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</row>
    <row r="57" spans="1:137" s="9" customFormat="1" x14ac:dyDescent="0.25">
      <c r="A57" s="1"/>
      <c r="B57" s="37"/>
      <c r="C57" s="46">
        <f t="shared" si="20"/>
        <v>9.5</v>
      </c>
      <c r="D57" s="46">
        <f t="shared" ca="1" si="55"/>
        <v>0.10081489024730184</v>
      </c>
      <c r="E57" s="46">
        <f t="shared" ca="1" si="55"/>
        <v>0.58838019978477762</v>
      </c>
      <c r="F57" s="46">
        <f t="shared" ref="F57:G57" ca="1" si="61">AVERAGE(D53:D61)</f>
        <v>0.56277292131765111</v>
      </c>
      <c r="G57" s="46">
        <f t="shared" ca="1" si="61"/>
        <v>0.44292918545388965</v>
      </c>
      <c r="H57" s="46">
        <f t="shared" ca="1" si="4"/>
        <v>0.7158588725008812</v>
      </c>
      <c r="I57" s="46">
        <f t="shared" ca="1" si="5"/>
        <v>0.4364263127012421</v>
      </c>
      <c r="J57" s="46">
        <f t="shared" ca="1" si="6"/>
        <v>0.23127814445557623</v>
      </c>
      <c r="K57" s="46">
        <f t="shared" ca="1" si="7"/>
        <v>-0.96717926146330502</v>
      </c>
      <c r="L57" s="12">
        <f t="shared" ca="1" si="8"/>
        <v>1.8693834433366729</v>
      </c>
      <c r="M57" s="12">
        <f t="shared" ca="1" si="9"/>
        <v>8.614872584878432</v>
      </c>
      <c r="N57" s="46">
        <f t="shared" ca="1" si="10"/>
        <v>1.8693834433366729</v>
      </c>
      <c r="O57" s="12">
        <f t="shared" ca="1" si="11"/>
        <v>8.614872584878432</v>
      </c>
      <c r="P57" s="67">
        <f t="shared" ca="1" si="57"/>
        <v>9.5377869484861266E-2</v>
      </c>
      <c r="Q57" s="46">
        <f t="shared" ca="1" si="13"/>
        <v>6.8408670110266208</v>
      </c>
      <c r="R57" s="46">
        <f t="shared" ca="1" si="14"/>
        <v>0.65246732094099003</v>
      </c>
      <c r="S57" s="46">
        <f t="shared" ca="1" si="15"/>
        <v>9.0969379874712292E-3</v>
      </c>
      <c r="T57" s="46">
        <f t="shared" ca="1" si="16"/>
        <v>7.5390039766019719</v>
      </c>
      <c r="U57" s="46">
        <f t="shared" ca="1" si="17"/>
        <v>13.727880208344065</v>
      </c>
      <c r="V57" s="46">
        <f t="shared" ca="1" si="54"/>
        <v>11.360597257274041</v>
      </c>
      <c r="W57" s="68">
        <f t="shared" ca="1" si="18"/>
        <v>2.7457246723956086</v>
      </c>
      <c r="X57" s="46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9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</row>
    <row r="58" spans="1:137" s="9" customFormat="1" x14ac:dyDescent="0.25">
      <c r="A58" s="1"/>
      <c r="B58" s="37"/>
      <c r="C58" s="46">
        <f t="shared" si="20"/>
        <v>9.75</v>
      </c>
      <c r="D58" s="46">
        <f t="shared" ca="1" si="55"/>
        <v>9.3915473916985293E-2</v>
      </c>
      <c r="E58" s="46">
        <f t="shared" ca="1" si="55"/>
        <v>0.32540451364636136</v>
      </c>
      <c r="F58" s="46">
        <f t="shared" ref="F58:G58" ca="1" si="62">AVERAGE(D54:D62)</f>
        <v>0.4631290596176576</v>
      </c>
      <c r="G58" s="46">
        <f t="shared" ca="1" si="62"/>
        <v>0.43958673721181762</v>
      </c>
      <c r="H58" s="46">
        <f t="shared" ca="1" si="4"/>
        <v>0.49063435052209992</v>
      </c>
      <c r="I58" s="46">
        <f t="shared" ca="1" si="5"/>
        <v>0.43043227464296546</v>
      </c>
      <c r="J58" s="46">
        <f t="shared" ca="1" si="6"/>
        <v>-0.27432050419242049</v>
      </c>
      <c r="K58" s="46">
        <f t="shared" ca="1" si="7"/>
        <v>0.48154907607631348</v>
      </c>
      <c r="L58" s="12">
        <f t="shared" ca="1" si="8"/>
        <v>1.717703848742274</v>
      </c>
      <c r="M58" s="12">
        <f t="shared" ca="1" si="9"/>
        <v>13.685421766267098</v>
      </c>
      <c r="N58" s="46">
        <f t="shared" ca="1" si="10"/>
        <v>1.717703848742274</v>
      </c>
      <c r="O58" s="12">
        <f t="shared" ca="1" si="11"/>
        <v>13.685421766267098</v>
      </c>
      <c r="P58" s="67">
        <f t="shared" ca="1" si="57"/>
        <v>-5.6301725109537681E-2</v>
      </c>
      <c r="Q58" s="46">
        <f t="shared" ca="1" si="13"/>
        <v>11.911416192415286</v>
      </c>
      <c r="R58" s="46">
        <f t="shared" ca="1" si="14"/>
        <v>-0.67063328013066148</v>
      </c>
      <c r="S58" s="46">
        <f t="shared" ca="1" si="15"/>
        <v>3.1698842503099459E-3</v>
      </c>
      <c r="T58" s="46">
        <f t="shared" ca="1" si="16"/>
        <v>0.63856675538025309</v>
      </c>
      <c r="U58" s="46">
        <f t="shared" ca="1" si="17"/>
        <v>1.8644093814967764</v>
      </c>
      <c r="V58" s="46">
        <f t="shared" ca="1" si="54"/>
        <v>12.886318046228045</v>
      </c>
      <c r="W58" s="68">
        <f t="shared" ca="1" si="18"/>
        <v>-0.79910372003905294</v>
      </c>
      <c r="X58" s="46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9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</row>
    <row r="59" spans="1:137" s="9" customFormat="1" x14ac:dyDescent="0.25">
      <c r="A59" s="1"/>
      <c r="B59" s="37"/>
      <c r="C59" s="46">
        <f t="shared" si="20"/>
        <v>10</v>
      </c>
      <c r="D59" s="46">
        <f t="shared" ca="1" si="55"/>
        <v>0.90409702671476866</v>
      </c>
      <c r="E59" s="46">
        <f t="shared" ca="1" si="55"/>
        <v>0.32147196146999002</v>
      </c>
      <c r="F59" s="46">
        <f t="shared" ref="F59:G59" ca="1" si="63">AVERAGE(D55:D63)</f>
        <v>0.4822774825130931</v>
      </c>
      <c r="G59" s="46">
        <f t="shared" ca="1" si="63"/>
        <v>0.41203288094142909</v>
      </c>
      <c r="H59" s="46">
        <f t="shared" ca="1" si="4"/>
        <v>0.53391543497320859</v>
      </c>
      <c r="I59" s="46">
        <f t="shared" ca="1" si="5"/>
        <v>0.38101973294430669</v>
      </c>
      <c r="J59" s="46">
        <f t="shared" ca="1" si="6"/>
        <v>0.26709091658324075</v>
      </c>
      <c r="K59" s="46">
        <f t="shared" ca="1" si="7"/>
        <v>0.26071605679723198</v>
      </c>
      <c r="L59" s="12">
        <f t="shared" ca="1" si="8"/>
        <v>1.8801272749749722</v>
      </c>
      <c r="M59" s="12">
        <f t="shared" ca="1" si="9"/>
        <v>12.912506198790313</v>
      </c>
      <c r="N59" s="46">
        <f t="shared" ca="1" si="10"/>
        <v>1.8801272749749722</v>
      </c>
      <c r="O59" s="12">
        <f t="shared" ca="1" si="11"/>
        <v>12.912506198790313</v>
      </c>
      <c r="P59" s="67">
        <f t="shared" ca="1" si="57"/>
        <v>0.10612170112316055</v>
      </c>
      <c r="Q59" s="46">
        <f t="shared" ca="1" si="13"/>
        <v>11.138500624938501</v>
      </c>
      <c r="R59" s="46">
        <f t="shared" ca="1" si="14"/>
        <v>1.1820366342798607</v>
      </c>
      <c r="S59" s="46">
        <f t="shared" ca="1" si="15"/>
        <v>1.1261815449273415E-2</v>
      </c>
      <c r="T59" s="46">
        <f t="shared" ca="1" si="16"/>
        <v>2.7555316949504118</v>
      </c>
      <c r="U59" s="46">
        <f t="shared" ca="1" si="17"/>
        <v>0.35107782085958672</v>
      </c>
      <c r="V59" s="46">
        <f t="shared" ca="1" si="54"/>
        <v>11.252526772727926</v>
      </c>
      <c r="W59" s="68">
        <f t="shared" ca="1" si="18"/>
        <v>-1.659979426062387</v>
      </c>
      <c r="X59" s="46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9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</row>
    <row r="60" spans="1:137" s="9" customFormat="1" x14ac:dyDescent="0.25">
      <c r="A60" s="1"/>
      <c r="B60" s="37"/>
      <c r="C60" s="46">
        <f t="shared" si="20"/>
        <v>10.25</v>
      </c>
      <c r="D60" s="46">
        <f t="shared" ca="1" si="55"/>
        <v>0.76247042315765945</v>
      </c>
      <c r="E60" s="46">
        <f t="shared" ca="1" si="55"/>
        <v>0.3357544889813765</v>
      </c>
      <c r="F60" s="46">
        <f t="shared" ref="F60:G60" ca="1" si="64">AVERAGE(D56:D64)</f>
        <v>0.44514591535085934</v>
      </c>
      <c r="G60" s="46">
        <f t="shared" ca="1" si="64"/>
        <v>0.41464986651631958</v>
      </c>
      <c r="H60" s="46">
        <f t="shared" ca="1" si="4"/>
        <v>0.44998713952420094</v>
      </c>
      <c r="I60" s="46">
        <f t="shared" ca="1" si="5"/>
        <v>0.38571279323957408</v>
      </c>
      <c r="J60" s="46">
        <f t="shared" ca="1" si="6"/>
        <v>-0.40072759788385764</v>
      </c>
      <c r="K60" s="46">
        <f t="shared" ca="1" si="7"/>
        <v>1.1291332684165205</v>
      </c>
      <c r="L60" s="12">
        <f t="shared" ca="1" si="8"/>
        <v>1.6797817206348427</v>
      </c>
      <c r="M60" s="12">
        <f t="shared" ca="1" si="9"/>
        <v>15.951966439457822</v>
      </c>
      <c r="N60" s="46">
        <f t="shared" ca="1" si="10"/>
        <v>1.6797817206348427</v>
      </c>
      <c r="O60" s="12">
        <f t="shared" ca="1" si="11"/>
        <v>15.951966439457822</v>
      </c>
      <c r="P60" s="67">
        <f t="shared" ca="1" si="57"/>
        <v>-9.4223853216969022E-2</v>
      </c>
      <c r="Q60" s="46">
        <f t="shared" ca="1" si="13"/>
        <v>14.177960865606011</v>
      </c>
      <c r="R60" s="46">
        <f t="shared" ca="1" si="14"/>
        <v>-1.3359021035167917</v>
      </c>
      <c r="S60" s="46">
        <f t="shared" ca="1" si="15"/>
        <v>8.8781345150529233E-3</v>
      </c>
      <c r="T60" s="46">
        <f t="shared" ca="1" si="16"/>
        <v>7.2049069328742945</v>
      </c>
      <c r="U60" s="46">
        <f t="shared" ca="1" si="17"/>
        <v>13.191267415101414</v>
      </c>
      <c r="V60" s="46">
        <f t="shared" ca="1" si="54"/>
        <v>13.267770669236452</v>
      </c>
      <c r="W60" s="68">
        <f t="shared" ca="1" si="18"/>
        <v>-2.6841957702213701</v>
      </c>
      <c r="X60" s="46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9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</row>
    <row r="61" spans="1:137" s="9" customFormat="1" x14ac:dyDescent="0.25">
      <c r="A61" s="1"/>
      <c r="B61" s="37"/>
      <c r="C61" s="46">
        <f t="shared" si="20"/>
        <v>10.5</v>
      </c>
      <c r="D61" s="46">
        <f t="shared" ca="1" si="55"/>
        <v>0.43083473125242011</v>
      </c>
      <c r="E61" s="46">
        <f t="shared" ca="1" si="55"/>
        <v>0.7142126992031933</v>
      </c>
      <c r="F61" s="46">
        <f t="shared" ref="F61:G61" ca="1" si="65">AVERAGE(D57:D65)</f>
        <v>0.38474298490269848</v>
      </c>
      <c r="G61" s="46">
        <f t="shared" ca="1" si="65"/>
        <v>0.44001073839081112</v>
      </c>
      <c r="H61" s="46">
        <f t="shared" ca="1" si="4"/>
        <v>0.31345869809080867</v>
      </c>
      <c r="I61" s="46">
        <f t="shared" ca="1" si="5"/>
        <v>0.43119263920797235</v>
      </c>
      <c r="J61" s="46">
        <f t="shared" ca="1" si="6"/>
        <v>-0.26833707322125161</v>
      </c>
      <c r="K61" s="46">
        <f t="shared" ca="1" si="7"/>
        <v>0.53258221604714318</v>
      </c>
      <c r="L61" s="12">
        <f t="shared" ca="1" si="8"/>
        <v>1.7194988780336247</v>
      </c>
      <c r="M61" s="12">
        <f t="shared" ca="1" si="9"/>
        <v>13.864037756165001</v>
      </c>
      <c r="N61" s="46">
        <f t="shared" ca="1" si="10"/>
        <v>1.7194988780336247</v>
      </c>
      <c r="O61" s="12">
        <f t="shared" ca="1" si="11"/>
        <v>13.864037756165001</v>
      </c>
      <c r="P61" s="67">
        <f t="shared" ca="1" si="57"/>
        <v>-5.4506695818187012E-2</v>
      </c>
      <c r="Q61" s="46">
        <f t="shared" ca="1" si="13"/>
        <v>12.090032182313189</v>
      </c>
      <c r="R61" s="46">
        <f t="shared" ca="1" si="14"/>
        <v>-0.65898770659343675</v>
      </c>
      <c r="S61" s="46">
        <f t="shared" ca="1" si="15"/>
        <v>2.9709798890163656E-3</v>
      </c>
      <c r="T61" s="46">
        <f t="shared" ca="1" si="16"/>
        <v>0.99156909048343966</v>
      </c>
      <c r="U61" s="46">
        <f t="shared" ca="1" si="17"/>
        <v>2.3840896624433903</v>
      </c>
      <c r="V61" s="46">
        <f t="shared" ca="1" si="54"/>
        <v>12.868262133605661</v>
      </c>
      <c r="W61" s="68">
        <f t="shared" ca="1" si="18"/>
        <v>-0.99577562255933927</v>
      </c>
      <c r="X61" s="46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9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</row>
    <row r="62" spans="1:137" s="9" customFormat="1" x14ac:dyDescent="0.25">
      <c r="A62" s="1"/>
      <c r="B62" s="37"/>
      <c r="C62" s="46">
        <f t="shared" si="20"/>
        <v>10.75</v>
      </c>
      <c r="D62" s="46">
        <f t="shared" ca="1" si="55"/>
        <v>7.4658809605340659E-2</v>
      </c>
      <c r="E62" s="46">
        <f t="shared" ca="1" si="55"/>
        <v>0.11342501105871083</v>
      </c>
      <c r="F62" s="46">
        <f t="shared" ref="F62:G62" ca="1" si="66">AVERAGE(D58:D66)</f>
        <v>0.41758657428063484</v>
      </c>
      <c r="G62" s="46">
        <f t="shared" ca="1" si="66"/>
        <v>0.44633729938401562</v>
      </c>
      <c r="H62" s="46">
        <f t="shared" ca="1" si="4"/>
        <v>0.38769489881117453</v>
      </c>
      <c r="I62" s="46">
        <f t="shared" ca="1" si="5"/>
        <v>0.44253810954134931</v>
      </c>
      <c r="J62" s="46">
        <f t="shared" ca="1" si="6"/>
        <v>-0.49444341161516209</v>
      </c>
      <c r="K62" s="46">
        <f t="shared" ca="1" si="7"/>
        <v>0.28654705017956233</v>
      </c>
      <c r="L62" s="12">
        <f t="shared" ca="1" si="8"/>
        <v>1.6516669765154515</v>
      </c>
      <c r="M62" s="12">
        <f t="shared" ca="1" si="9"/>
        <v>13.002914675628467</v>
      </c>
      <c r="N62" s="46">
        <f t="shared" ca="1" si="10"/>
        <v>1.6516669765154515</v>
      </c>
      <c r="O62" s="12">
        <f t="shared" ca="1" si="11"/>
        <v>13.002914675628467</v>
      </c>
      <c r="P62" s="67">
        <f t="shared" ca="1" si="57"/>
        <v>-0.12233859733636021</v>
      </c>
      <c r="Q62" s="46">
        <f t="shared" ca="1" si="13"/>
        <v>11.228909101776656</v>
      </c>
      <c r="R62" s="46">
        <f t="shared" ca="1" si="14"/>
        <v>-1.3737289891288447</v>
      </c>
      <c r="S62" s="46">
        <f t="shared" ca="1" si="15"/>
        <v>1.4966732398228082E-2</v>
      </c>
      <c r="T62" s="46">
        <f t="shared" ca="1" si="16"/>
        <v>0.29992896650020662</v>
      </c>
      <c r="U62" s="46">
        <f t="shared" ca="1" si="17"/>
        <v>0.46638885000391955</v>
      </c>
      <c r="V62" s="46">
        <f t="shared" ca="1" si="54"/>
        <v>13.550572384877782</v>
      </c>
      <c r="W62" s="68">
        <f t="shared" ca="1" si="18"/>
        <v>0.54765770924931445</v>
      </c>
      <c r="X62" s="46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9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</row>
    <row r="63" spans="1:137" s="9" customFormat="1" x14ac:dyDescent="0.25">
      <c r="A63" s="1"/>
      <c r="B63" s="37"/>
      <c r="C63" s="46">
        <f t="shared" si="20"/>
        <v>11</v>
      </c>
      <c r="D63" s="46">
        <f t="shared" ca="1" si="55"/>
        <v>0.33833909946969676</v>
      </c>
      <c r="E63" s="46">
        <f t="shared" ca="1" si="55"/>
        <v>0.65429909295920796</v>
      </c>
      <c r="F63" s="46">
        <f t="shared" ref="F63:G63" ca="1" si="67">AVERAGE(D59:D67)</f>
        <v>0.51542718099337548</v>
      </c>
      <c r="G63" s="46">
        <f t="shared" ca="1" si="67"/>
        <v>0.48382966467898009</v>
      </c>
      <c r="H63" s="46">
        <f t="shared" ca="1" si="4"/>
        <v>0.60884353256582546</v>
      </c>
      <c r="I63" s="46">
        <f t="shared" ca="1" si="5"/>
        <v>0.50977345567000409</v>
      </c>
      <c r="J63" s="46">
        <f t="shared" ca="1" si="6"/>
        <v>-0.39526772027998791</v>
      </c>
      <c r="K63" s="46">
        <f t="shared" ca="1" si="7"/>
        <v>0.29301120555512028</v>
      </c>
      <c r="L63" s="12">
        <f t="shared" ca="1" si="8"/>
        <v>1.6814196839160036</v>
      </c>
      <c r="M63" s="12">
        <f t="shared" ca="1" si="9"/>
        <v>13.025539219442921</v>
      </c>
      <c r="N63" s="46">
        <f t="shared" ca="1" si="10"/>
        <v>1.6814196839160036</v>
      </c>
      <c r="O63" s="12">
        <f t="shared" ca="1" si="11"/>
        <v>13.025539219442921</v>
      </c>
      <c r="P63" s="67">
        <f t="shared" ca="1" si="57"/>
        <v>-9.2585889935808074E-2</v>
      </c>
      <c r="Q63" s="46">
        <f t="shared" ca="1" si="13"/>
        <v>11.25153364559111</v>
      </c>
      <c r="R63" s="46">
        <f t="shared" ca="1" si="14"/>
        <v>-1.0417332557197398</v>
      </c>
      <c r="S63" s="46">
        <f t="shared" ca="1" si="15"/>
        <v>8.5721470152055664E-3</v>
      </c>
      <c r="T63" s="46">
        <f t="shared" ca="1" si="16"/>
        <v>5.0965518262149796E-2</v>
      </c>
      <c r="U63" s="46">
        <f t="shared" ca="1" si="17"/>
        <v>0.4978025291658249</v>
      </c>
      <c r="V63" s="46">
        <f t="shared" ca="1" si="54"/>
        <v>13.251294658496224</v>
      </c>
      <c r="W63" s="68">
        <f t="shared" ca="1" si="18"/>
        <v>0.22575543905330342</v>
      </c>
      <c r="X63" s="46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9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</row>
    <row r="64" spans="1:137" s="9" customFormat="1" ht="15.75" thickBot="1" x14ac:dyDescent="0.3">
      <c r="A64" s="1"/>
      <c r="B64" s="37"/>
      <c r="C64" s="46">
        <f t="shared" si="20"/>
        <v>11.25</v>
      </c>
      <c r="D64" s="46">
        <f t="shared" ca="1" si="55"/>
        <v>0.50750283208679003</v>
      </c>
      <c r="E64" s="46">
        <f t="shared" ca="1" si="55"/>
        <v>0.4259052284521132</v>
      </c>
      <c r="F64" s="46">
        <f t="shared" ref="F64:G64" ca="1" si="68">AVERAGE(D60:D68)</f>
        <v>0.46445901347369556</v>
      </c>
      <c r="G64" s="46">
        <f t="shared" ca="1" si="68"/>
        <v>0.46294247215650258</v>
      </c>
      <c r="H64" s="46">
        <f t="shared" ca="1" si="4"/>
        <v>0.4936404385677623</v>
      </c>
      <c r="I64" s="46">
        <f t="shared" ca="1" si="5"/>
        <v>0.47231629318222573</v>
      </c>
      <c r="J64" s="46">
        <f t="shared" ca="1" si="6"/>
        <v>-1.4216158781395895E-2</v>
      </c>
      <c r="K64" s="46">
        <f t="shared" ca="1" si="7"/>
        <v>1.2866115497332702E-2</v>
      </c>
      <c r="L64" s="12">
        <f t="shared" ca="1" si="8"/>
        <v>1.7957351523655813</v>
      </c>
      <c r="M64" s="12">
        <f t="shared" ca="1" si="9"/>
        <v>12.045031404240664</v>
      </c>
      <c r="N64" s="46">
        <f t="shared" ca="1" si="10"/>
        <v>1.7957351523655813</v>
      </c>
      <c r="O64" s="12">
        <f t="shared" ca="1" si="11"/>
        <v>12.045031404240664</v>
      </c>
      <c r="P64" s="67">
        <f t="shared" ca="1" si="57"/>
        <v>2.1729578513769665E-2</v>
      </c>
      <c r="Q64" s="46">
        <f t="shared" ca="1" si="13"/>
        <v>10.271025830388853</v>
      </c>
      <c r="R64" s="46">
        <f t="shared" ca="1" si="14"/>
        <v>0.22318506219839085</v>
      </c>
      <c r="S64" s="46">
        <f t="shared" ca="1" si="15"/>
        <v>4.7217458238608029E-4</v>
      </c>
      <c r="T64" s="46">
        <f t="shared" ca="1" si="16"/>
        <v>3.1789565127641022E-3</v>
      </c>
      <c r="U64" s="46">
        <f t="shared" ca="1" si="17"/>
        <v>7.5601127249019476E-2</v>
      </c>
      <c r="V64" s="46">
        <f t="shared" ca="1" si="54"/>
        <v>12.101413640031417</v>
      </c>
      <c r="W64" s="68">
        <f t="shared" ca="1" si="18"/>
        <v>5.6382235790753299E-2</v>
      </c>
      <c r="X64" s="46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9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</row>
    <row r="65" spans="1:137" s="9" customFormat="1" ht="19.5" thickBot="1" x14ac:dyDescent="0.35">
      <c r="A65" s="1"/>
      <c r="B65" s="37"/>
      <c r="C65" s="46">
        <f t="shared" si="20"/>
        <v>11.5</v>
      </c>
      <c r="D65" s="46">
        <f t="shared" ca="1" si="55"/>
        <v>0.25005357767332392</v>
      </c>
      <c r="E65" s="46">
        <f t="shared" ca="1" si="55"/>
        <v>0.48124344996156954</v>
      </c>
      <c r="F65" s="46">
        <f t="shared" ref="F65:G65" ca="1" si="69">AVERAGE(D61:D69)</f>
        <v>0.46179053137687959</v>
      </c>
      <c r="G65" s="46">
        <f t="shared" ca="1" si="69"/>
        <v>0.5291193299782786</v>
      </c>
      <c r="H65" s="46">
        <f t="shared" ca="1" si="4"/>
        <v>0.48760888183751611</v>
      </c>
      <c r="I65" s="46">
        <f t="shared" ca="1" si="5"/>
        <v>0.59099175967650652</v>
      </c>
      <c r="J65" s="46">
        <f t="shared" ca="1" si="6"/>
        <v>0.32190258920960102</v>
      </c>
      <c r="K65" s="46">
        <f t="shared" ca="1" si="7"/>
        <v>0.64015491295528404</v>
      </c>
      <c r="L65" s="12">
        <f t="shared" ca="1" si="8"/>
        <v>1.8965707767628803</v>
      </c>
      <c r="M65" s="12">
        <f t="shared" ca="1" si="9"/>
        <v>14.240542195343494</v>
      </c>
      <c r="N65" s="46">
        <f t="shared" ca="1" si="10"/>
        <v>1.8965707767628803</v>
      </c>
      <c r="O65" s="12">
        <f t="shared" ca="1" si="11"/>
        <v>14.240542195343494</v>
      </c>
      <c r="P65" s="67">
        <f t="shared" ca="1" si="57"/>
        <v>0.12256520291106865</v>
      </c>
      <c r="Q65" s="46">
        <f t="shared" ca="1" si="13"/>
        <v>12.466536621491683</v>
      </c>
      <c r="R65" s="46">
        <f t="shared" ca="1" si="14"/>
        <v>1.5279635906113962</v>
      </c>
      <c r="S65" s="46">
        <f t="shared" ca="1" si="15"/>
        <v>1.5022228964631431E-2</v>
      </c>
      <c r="T65" s="46">
        <f t="shared" ca="1" si="16"/>
        <v>9.9440449429518125</v>
      </c>
      <c r="U65" s="46">
        <f t="shared" ca="1" si="17"/>
        <v>3.6885284333346142</v>
      </c>
      <c r="V65" s="46">
        <f t="shared" ca="1" si="54"/>
        <v>11.087124217505508</v>
      </c>
      <c r="W65" s="68">
        <f t="shared" ca="1" si="18"/>
        <v>-3.1534179778379858</v>
      </c>
      <c r="X65" s="46"/>
      <c r="Y65" s="38"/>
      <c r="Z65" s="133" t="s">
        <v>45</v>
      </c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7"/>
      <c r="BA65" s="38"/>
      <c r="BB65" s="39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</row>
    <row r="66" spans="1:137" s="9" customFormat="1" x14ac:dyDescent="0.25">
      <c r="A66" s="1"/>
      <c r="B66" s="37"/>
      <c r="C66" s="46">
        <f t="shared" si="20"/>
        <v>11.75</v>
      </c>
      <c r="D66" s="46">
        <f t="shared" ca="1" si="55"/>
        <v>0.39640719464872864</v>
      </c>
      <c r="E66" s="46">
        <f t="shared" ca="1" si="55"/>
        <v>0.64531924872361834</v>
      </c>
      <c r="F66" s="46">
        <f t="shared" ref="F66:G66" ca="1" si="70">AVERAGE(D62:D70)</f>
        <v>0.51917812154852772</v>
      </c>
      <c r="G66" s="46">
        <f t="shared" ca="1" si="70"/>
        <v>0.50271270806884572</v>
      </c>
      <c r="H66" s="46">
        <f t="shared" ca="1" si="4"/>
        <v>0.61732176473278533</v>
      </c>
      <c r="I66" s="46">
        <f t="shared" ca="1" si="5"/>
        <v>0.54363656215292699</v>
      </c>
      <c r="J66" s="46">
        <f t="shared" ca="1" si="6"/>
        <v>-0.52652430824674112</v>
      </c>
      <c r="K66" s="46">
        <f t="shared" ca="1" si="7"/>
        <v>1.0868846682058158</v>
      </c>
      <c r="L66" s="12">
        <f t="shared" ca="1" si="8"/>
        <v>1.6420427075259778</v>
      </c>
      <c r="M66" s="12">
        <f t="shared" ca="1" si="9"/>
        <v>15.804096338720356</v>
      </c>
      <c r="N66" s="46">
        <f t="shared" ca="1" si="10"/>
        <v>1.6420427075259778</v>
      </c>
      <c r="O66" s="12">
        <f t="shared" ca="1" si="11"/>
        <v>15.804096338720356</v>
      </c>
      <c r="P66" s="67">
        <f t="shared" ca="1" si="57"/>
        <v>-0.13196286632583387</v>
      </c>
      <c r="Q66" s="46">
        <f t="shared" ca="1" si="13"/>
        <v>14.030090764868545</v>
      </c>
      <c r="R66" s="46">
        <f t="shared" ca="1" si="14"/>
        <v>-1.8514509921436642</v>
      </c>
      <c r="S66" s="46">
        <f t="shared" ca="1" si="15"/>
        <v>1.74141980889299E-2</v>
      </c>
      <c r="T66" s="46">
        <f t="shared" ca="1" si="16"/>
        <v>4.6514194659914185</v>
      </c>
      <c r="U66" s="46">
        <f t="shared" ca="1" si="17"/>
        <v>12.139010945117365</v>
      </c>
      <c r="V66" s="46">
        <f t="shared" ca="1" si="54"/>
        <v>13.647381367753766</v>
      </c>
      <c r="W66" s="68">
        <f t="shared" ca="1" si="18"/>
        <v>-2.1567149709665898</v>
      </c>
      <c r="X66" s="46"/>
      <c r="Y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38"/>
      <c r="BB66" s="39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</row>
    <row r="67" spans="1:137" s="9" customFormat="1" x14ac:dyDescent="0.25">
      <c r="A67" s="1"/>
      <c r="B67" s="37"/>
      <c r="C67" s="46">
        <f t="shared" si="20"/>
        <v>12</v>
      </c>
      <c r="D67" s="46">
        <f t="shared" ca="1" si="55"/>
        <v>0.97448093433165173</v>
      </c>
      <c r="E67" s="46">
        <f t="shared" ca="1" si="55"/>
        <v>0.66283580130104092</v>
      </c>
      <c r="F67" s="46">
        <f t="shared" ref="F67:G67" ca="1" si="71">AVERAGE(D63:D71)</f>
        <v>0.58556412504943922</v>
      </c>
      <c r="G67" s="46">
        <f t="shared" ca="1" si="71"/>
        <v>0.52300497768485665</v>
      </c>
      <c r="H67" s="46">
        <f t="shared" ca="1" si="4"/>
        <v>0.76737371624778239</v>
      </c>
      <c r="I67" s="46">
        <f t="shared" ca="1" si="5"/>
        <v>0.5800268448314041</v>
      </c>
      <c r="J67" s="46">
        <f t="shared" ca="1" si="6"/>
        <v>-1.2152864251138453</v>
      </c>
      <c r="K67" s="46">
        <f t="shared" ca="1" si="7"/>
        <v>0.26501221190777291</v>
      </c>
      <c r="L67" s="12">
        <f t="shared" ca="1" si="8"/>
        <v>1.4354140724658464</v>
      </c>
      <c r="M67" s="12">
        <f t="shared" ca="1" si="9"/>
        <v>12.927542741677206</v>
      </c>
      <c r="N67" s="46">
        <f t="shared" ca="1" si="10"/>
        <v>1.4354140724658464</v>
      </c>
      <c r="O67" s="12">
        <f t="shared" ca="1" si="11"/>
        <v>12.927542741677206</v>
      </c>
      <c r="P67" s="67">
        <f t="shared" ca="1" si="57"/>
        <v>-0.33859150138596528</v>
      </c>
      <c r="Q67" s="46">
        <f t="shared" ca="1" si="13"/>
        <v>11.153537167825395</v>
      </c>
      <c r="R67" s="46">
        <f t="shared" ca="1" si="14"/>
        <v>-3.7764928954181674</v>
      </c>
      <c r="S67" s="46">
        <f t="shared" ca="1" si="15"/>
        <v>0.11464420481080212</v>
      </c>
      <c r="T67" s="46">
        <f t="shared" ca="1" si="16"/>
        <v>7.8303878986563706</v>
      </c>
      <c r="U67" s="46">
        <f t="shared" ca="1" si="17"/>
        <v>0.36912276922224552</v>
      </c>
      <c r="V67" s="46">
        <f t="shared" ca="1" si="54"/>
        <v>15.725825768580734</v>
      </c>
      <c r="W67" s="68">
        <f t="shared" ca="1" si="18"/>
        <v>2.7982830269035279</v>
      </c>
      <c r="X67" s="46"/>
      <c r="Y67" s="46"/>
      <c r="Z67" s="107" t="s">
        <v>83</v>
      </c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107" t="s">
        <v>91</v>
      </c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38"/>
      <c r="BB67" s="39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</row>
    <row r="68" spans="1:137" s="9" customFormat="1" x14ac:dyDescent="0.25">
      <c r="A68" s="1"/>
      <c r="B68" s="37"/>
      <c r="C68" s="46">
        <f t="shared" si="20"/>
        <v>12.25</v>
      </c>
      <c r="D68" s="46">
        <f t="shared" ca="1" si="55"/>
        <v>0.44538351903764983</v>
      </c>
      <c r="E68" s="46">
        <f t="shared" ca="1" si="55"/>
        <v>0.13348722876769359</v>
      </c>
      <c r="F68" s="46">
        <f t="shared" ref="F68:G68" ca="1" si="72">AVERAGE(D64:D72)</f>
        <v>0.62246952204680928</v>
      </c>
      <c r="G68" s="46">
        <f t="shared" ca="1" si="72"/>
        <v>0.54270716842931488</v>
      </c>
      <c r="H68" s="46">
        <f t="shared" ca="1" si="4"/>
        <v>0.85079080040491284</v>
      </c>
      <c r="I68" s="46">
        <f t="shared" ca="1" si="5"/>
        <v>0.61535893454552892</v>
      </c>
      <c r="J68" s="46">
        <f t="shared" ca="1" si="6"/>
        <v>-3.8177206326599246E-2</v>
      </c>
      <c r="K68" s="46">
        <f t="shared" ca="1" si="7"/>
        <v>-0.15544981144683695</v>
      </c>
      <c r="L68" s="12">
        <f t="shared" ca="1" si="8"/>
        <v>1.7885468381020202</v>
      </c>
      <c r="M68" s="12">
        <f t="shared" ca="1" si="9"/>
        <v>11.455925659936071</v>
      </c>
      <c r="N68" s="46">
        <f t="shared" ca="1" si="10"/>
        <v>1.7885468381020202</v>
      </c>
      <c r="O68" s="12">
        <f t="shared" ca="1" si="11"/>
        <v>11.455925659936071</v>
      </c>
      <c r="P68" s="67">
        <f t="shared" ca="1" si="57"/>
        <v>1.4541264250208519E-2</v>
      </c>
      <c r="Q68" s="46">
        <f t="shared" ca="1" si="13"/>
        <v>9.6819200860842596</v>
      </c>
      <c r="R68" s="46">
        <f t="shared" ca="1" si="14"/>
        <v>0.14078735842115284</v>
      </c>
      <c r="S68" s="46">
        <f t="shared" ca="1" si="15"/>
        <v>2.114483659943923E-4</v>
      </c>
      <c r="T68" s="46">
        <f t="shared" ca="1" si="16"/>
        <v>0.5152283468596891</v>
      </c>
      <c r="U68" s="46">
        <f t="shared" ca="1" si="17"/>
        <v>0.74660372028091615</v>
      </c>
      <c r="V68" s="46">
        <f t="shared" ca="1" si="54"/>
        <v>12.173719743820641</v>
      </c>
      <c r="W68" s="68">
        <f t="shared" ca="1" si="18"/>
        <v>0.71779408388457</v>
      </c>
      <c r="X68" s="46"/>
      <c r="Y68" s="46"/>
      <c r="Z68" s="107" t="s">
        <v>84</v>
      </c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107" t="s">
        <v>98</v>
      </c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38"/>
      <c r="BB68" s="39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</row>
    <row r="69" spans="1:137" s="9" customFormat="1" x14ac:dyDescent="0.25">
      <c r="A69" s="1"/>
      <c r="B69" s="37"/>
      <c r="C69" s="46">
        <f t="shared" si="20"/>
        <v>12.5</v>
      </c>
      <c r="D69" s="46">
        <f t="shared" ca="1" si="55"/>
        <v>0.73845408428631509</v>
      </c>
      <c r="E69" s="46">
        <f t="shared" ca="1" si="55"/>
        <v>0.93134620937736035</v>
      </c>
      <c r="F69" s="46">
        <f t="shared" ref="F69:G69" ca="1" si="73">AVERAGE(D65:D73)</f>
        <v>0.60109969900259386</v>
      </c>
      <c r="G69" s="46">
        <f t="shared" ca="1" si="73"/>
        <v>0.52995743926623762</v>
      </c>
      <c r="H69" s="46">
        <f t="shared" ca="1" si="4"/>
        <v>0.80248869631348863</v>
      </c>
      <c r="I69" s="46">
        <f t="shared" ca="1" si="5"/>
        <v>0.59249474748819131</v>
      </c>
      <c r="J69" s="46">
        <f t="shared" ca="1" si="6"/>
        <v>-1.0339957377125633</v>
      </c>
      <c r="K69" s="46">
        <f t="shared" ca="1" si="7"/>
        <v>0.37358467357582548</v>
      </c>
      <c r="L69" s="12">
        <f t="shared" ca="1" si="8"/>
        <v>1.4898012786862311</v>
      </c>
      <c r="M69" s="12">
        <f t="shared" ca="1" si="9"/>
        <v>13.307546357515388</v>
      </c>
      <c r="N69" s="46">
        <f t="shared" ca="1" si="10"/>
        <v>1.4898012786862311</v>
      </c>
      <c r="O69" s="12">
        <f t="shared" ca="1" si="11"/>
        <v>13.307546357515388</v>
      </c>
      <c r="P69" s="67">
        <f t="shared" ca="1" si="57"/>
        <v>-0.28420429516558054</v>
      </c>
      <c r="Q69" s="46">
        <f t="shared" ca="1" si="13"/>
        <v>11.533540783663577</v>
      </c>
      <c r="R69" s="46">
        <f t="shared" ca="1" si="14"/>
        <v>-3.2778818291845844</v>
      </c>
      <c r="S69" s="46">
        <f t="shared" ca="1" si="15"/>
        <v>8.0772081390564424E-2</v>
      </c>
      <c r="T69" s="46">
        <f t="shared" ca="1" si="16"/>
        <v>3.5014163854473956</v>
      </c>
      <c r="U69" s="46">
        <f t="shared" ca="1" si="17"/>
        <v>0.97527151776850984</v>
      </c>
      <c r="V69" s="46">
        <f t="shared" ca="1" si="54"/>
        <v>15.178753557546266</v>
      </c>
      <c r="W69" s="68">
        <f t="shared" ca="1" si="18"/>
        <v>1.8712072000308773</v>
      </c>
      <c r="X69" s="46"/>
      <c r="Y69" s="46"/>
      <c r="Z69" s="38" t="s">
        <v>85</v>
      </c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 t="s">
        <v>99</v>
      </c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9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</row>
    <row r="70" spans="1:137" s="9" customFormat="1" ht="15.75" thickBot="1" x14ac:dyDescent="0.3">
      <c r="A70" s="1"/>
      <c r="B70" s="37"/>
      <c r="C70" s="46">
        <f t="shared" si="20"/>
        <v>12.75</v>
      </c>
      <c r="D70" s="46">
        <f t="shared" ca="1" si="55"/>
        <v>0.94732304279725255</v>
      </c>
      <c r="E70" s="46">
        <f t="shared" ca="1" si="55"/>
        <v>0.47655310201829715</v>
      </c>
      <c r="F70" s="46">
        <f t="shared" ref="F70:G70" ca="1" si="74">AVERAGE(D66:D74)</f>
        <v>0.64470214883641408</v>
      </c>
      <c r="G70" s="46">
        <f t="shared" ca="1" si="74"/>
        <v>0.57790251863786191</v>
      </c>
      <c r="H70" s="46">
        <f t="shared" ca="1" si="4"/>
        <v>0.90104309548453754</v>
      </c>
      <c r="I70" s="46">
        <f t="shared" ca="1" si="5"/>
        <v>0.67847502590903397</v>
      </c>
      <c r="J70" s="46">
        <f t="shared" ca="1" si="6"/>
        <v>0.39347028996655709</v>
      </c>
      <c r="K70" s="46">
        <f t="shared" ca="1" si="7"/>
        <v>-1.5597353805390968</v>
      </c>
      <c r="L70" s="12">
        <f t="shared" ca="1" si="8"/>
        <v>1.9180410869899671</v>
      </c>
      <c r="M70" s="12">
        <f t="shared" ca="1" si="9"/>
        <v>6.5409261681131614</v>
      </c>
      <c r="N70" s="46">
        <f t="shared" ca="1" si="10"/>
        <v>1.9180410869899671</v>
      </c>
      <c r="O70" s="12">
        <f t="shared" ca="1" si="11"/>
        <v>6.5409261681131614</v>
      </c>
      <c r="P70" s="67">
        <f t="shared" ca="1" si="57"/>
        <v>0.14403551313815544</v>
      </c>
      <c r="Q70" s="46">
        <f t="shared" ca="1" si="13"/>
        <v>4.7669205942613502</v>
      </c>
      <c r="R70" s="46">
        <f t="shared" ca="1" si="14"/>
        <v>0.68660585388327444</v>
      </c>
      <c r="S70" s="46">
        <f t="shared" ca="1" si="15"/>
        <v>2.0746229044971747E-2</v>
      </c>
      <c r="T70" s="46">
        <f t="shared" ca="1" si="16"/>
        <v>18.750905985478308</v>
      </c>
      <c r="U70" s="46">
        <f t="shared" ca="1" si="17"/>
        <v>33.397555608376202</v>
      </c>
      <c r="V70" s="46">
        <f t="shared" ca="1" si="54"/>
        <v>10.871157799963623</v>
      </c>
      <c r="W70" s="68">
        <f t="shared" ca="1" si="18"/>
        <v>4.3302316318504612</v>
      </c>
      <c r="X70" s="46"/>
      <c r="Y70" s="46"/>
      <c r="Z70" s="12"/>
      <c r="AA70" s="12"/>
      <c r="AB70" s="12"/>
      <c r="AC70" s="12"/>
      <c r="AD70" s="12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9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</row>
    <row r="71" spans="1:137" s="9" customFormat="1" x14ac:dyDescent="0.25">
      <c r="A71" s="1"/>
      <c r="B71" s="37"/>
      <c r="C71" s="46">
        <f t="shared" si="20"/>
        <v>13</v>
      </c>
      <c r="D71" s="46">
        <f t="shared" ca="1" si="55"/>
        <v>0.67213284111354321</v>
      </c>
      <c r="E71" s="46">
        <f t="shared" ca="1" si="55"/>
        <v>0.29605543760280872</v>
      </c>
      <c r="F71" s="46">
        <f t="shared" ref="F71:G71" ca="1" si="75">AVERAGE(D67:D75)</f>
        <v>0.65198857408469002</v>
      </c>
      <c r="G71" s="46">
        <f t="shared" ca="1" si="75"/>
        <v>0.56843513903760368</v>
      </c>
      <c r="H71" s="46">
        <f t="shared" ca="1" si="4"/>
        <v>0.91751256601166364</v>
      </c>
      <c r="I71" s="46">
        <f t="shared" ca="1" si="5"/>
        <v>0.66149710148770602</v>
      </c>
      <c r="J71" s="46">
        <f t="shared" ca="1" si="6"/>
        <v>-9.3719224827920014E-2</v>
      </c>
      <c r="K71" s="46">
        <f t="shared" ca="1" si="7"/>
        <v>-0.81064514259921228</v>
      </c>
      <c r="L71" s="12">
        <f t="shared" ca="1" si="8"/>
        <v>1.771884232551624</v>
      </c>
      <c r="M71" s="12">
        <f t="shared" ca="1" si="9"/>
        <v>9.1627420009027567</v>
      </c>
      <c r="N71" s="46">
        <f t="shared" ca="1" si="10"/>
        <v>1.771884232551624</v>
      </c>
      <c r="O71" s="12">
        <f t="shared" ca="1" si="11"/>
        <v>9.1627420009027567</v>
      </c>
      <c r="P71" s="67">
        <f t="shared" ca="1" si="57"/>
        <v>-2.1213413001877068E-3</v>
      </c>
      <c r="Q71" s="46">
        <f t="shared" ca="1" si="13"/>
        <v>7.3887364270509455</v>
      </c>
      <c r="R71" s="46">
        <f t="shared" ca="1" si="14"/>
        <v>-1.5674031738904526E-2</v>
      </c>
      <c r="S71" s="46">
        <f t="shared" ca="1" si="15"/>
        <v>4.5000889118820709E-6</v>
      </c>
      <c r="T71" s="46">
        <f t="shared" ca="1" si="16"/>
        <v>10.10339769355708</v>
      </c>
      <c r="U71" s="46">
        <f t="shared" ca="1" si="17"/>
        <v>9.9682022723761179</v>
      </c>
      <c r="V71" s="46">
        <f t="shared" ca="1" si="54"/>
        <v>12.34132622875595</v>
      </c>
      <c r="W71" s="68">
        <f t="shared" ca="1" si="18"/>
        <v>3.1785842278531931</v>
      </c>
      <c r="X71" s="46"/>
      <c r="Y71" s="46"/>
      <c r="Z71" s="12"/>
      <c r="AA71" s="12"/>
      <c r="AB71" s="12"/>
      <c r="AC71" s="12"/>
      <c r="AD71" s="12"/>
      <c r="AE71" s="38" t="s">
        <v>86</v>
      </c>
      <c r="AF71" s="38"/>
      <c r="AG71" s="38"/>
      <c r="AH71" s="38"/>
      <c r="AI71" s="38"/>
      <c r="AJ71" s="38"/>
      <c r="AK71" s="38"/>
      <c r="AL71" s="45" t="s">
        <v>60</v>
      </c>
      <c r="AM71" s="38"/>
      <c r="AN71" s="38"/>
      <c r="AO71" s="162" t="s">
        <v>23</v>
      </c>
      <c r="AP71" s="13">
        <f ca="1">AM73</f>
        <v>-4.9176119983006963</v>
      </c>
      <c r="AQ71" s="14">
        <f ca="1">AP71+($AM$74-$AM$73)/10</f>
        <v>-3.9069581706260341</v>
      </c>
      <c r="AR71" s="14">
        <f ca="1">AQ71+($AM$74-$AM$73)/10</f>
        <v>-2.896304342951372</v>
      </c>
      <c r="AS71" s="14">
        <f ca="1">AR71+($AM$74-$AM$73)/10</f>
        <v>-1.8856505152767098</v>
      </c>
      <c r="AT71" s="14">
        <f t="shared" ref="AT71:AY71" ca="1" si="76">AS71+($AM$74-$AM$73)/10</f>
        <v>-0.87499668760204763</v>
      </c>
      <c r="AU71" s="14">
        <f t="shared" ca="1" si="76"/>
        <v>0.13565714007261453</v>
      </c>
      <c r="AV71" s="14">
        <f t="shared" ca="1" si="76"/>
        <v>1.1463109677472767</v>
      </c>
      <c r="AW71" s="14">
        <f t="shared" ca="1" si="76"/>
        <v>2.1569647954219389</v>
      </c>
      <c r="AX71" s="14">
        <f t="shared" ca="1" si="76"/>
        <v>3.167618623096601</v>
      </c>
      <c r="AY71" s="15">
        <f t="shared" ca="1" si="76"/>
        <v>4.1782724507712636</v>
      </c>
      <c r="AZ71" s="38"/>
      <c r="BA71" s="38"/>
      <c r="BB71" s="39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</row>
    <row r="72" spans="1:137" s="9" customFormat="1" ht="15.75" thickBot="1" x14ac:dyDescent="0.3">
      <c r="A72" s="1"/>
      <c r="B72" s="37"/>
      <c r="C72" s="46">
        <f t="shared" si="20"/>
        <v>13.25</v>
      </c>
      <c r="D72" s="46">
        <f t="shared" ca="1" si="55"/>
        <v>0.67048767244602858</v>
      </c>
      <c r="E72" s="46">
        <f t="shared" ca="1" si="55"/>
        <v>0.8316188096593321</v>
      </c>
      <c r="F72" s="46">
        <f t="shared" ref="F72:G72" ca="1" si="77">AVERAGE(D68:D76)</f>
        <v>0.65214326409173229</v>
      </c>
      <c r="G72" s="46">
        <f t="shared" ca="1" si="77"/>
        <v>0.58017729531960049</v>
      </c>
      <c r="H72" s="46">
        <f t="shared" ca="1" si="4"/>
        <v>0.91786221106050647</v>
      </c>
      <c r="I72" s="46">
        <f t="shared" ca="1" si="5"/>
        <v>0.68255440037257653</v>
      </c>
      <c r="J72" s="46">
        <f t="shared" ca="1" si="6"/>
        <v>-2.2447915847062943</v>
      </c>
      <c r="K72" s="46">
        <f t="shared" ca="1" si="7"/>
        <v>2.2782488153880389</v>
      </c>
      <c r="L72" s="12">
        <f t="shared" ca="1" si="8"/>
        <v>1.1265625245881119</v>
      </c>
      <c r="M72" s="12">
        <f t="shared" ca="1" si="9"/>
        <v>19.973870853858138</v>
      </c>
      <c r="N72" s="46">
        <f t="shared" ca="1" si="10"/>
        <v>1.1265625245881119</v>
      </c>
      <c r="O72" s="12">
        <f t="shared" ca="1" si="11"/>
        <v>19.973870853858138</v>
      </c>
      <c r="P72" s="67">
        <f t="shared" ca="1" si="57"/>
        <v>-0.64744304926369978</v>
      </c>
      <c r="Q72" s="46">
        <f t="shared" ca="1" si="13"/>
        <v>18.199865280006325</v>
      </c>
      <c r="R72" s="46">
        <f t="shared" ca="1" si="14"/>
        <v>-11.783376273075834</v>
      </c>
      <c r="S72" s="46">
        <f t="shared" ca="1" si="15"/>
        <v>0.41918250203987756</v>
      </c>
      <c r="T72" s="46">
        <f t="shared" ca="1" si="16"/>
        <v>1.3026952296921417</v>
      </c>
      <c r="U72" s="46">
        <f t="shared" ca="1" si="17"/>
        <v>58.58192280467879</v>
      </c>
      <c r="V72" s="46">
        <f t="shared" ca="1" si="54"/>
        <v>18.832514104330567</v>
      </c>
      <c r="W72" s="68">
        <f t="shared" ca="1" si="18"/>
        <v>-1.1413567495275707</v>
      </c>
      <c r="X72" s="46"/>
      <c r="Y72" s="46"/>
      <c r="Z72" s="12"/>
      <c r="AA72" s="12"/>
      <c r="AB72" s="12"/>
      <c r="AC72" s="12"/>
      <c r="AD72" s="12"/>
      <c r="AE72" s="38" t="s">
        <v>88</v>
      </c>
      <c r="AF72" s="38"/>
      <c r="AG72" s="38"/>
      <c r="AH72" s="38"/>
      <c r="AI72" s="38"/>
      <c r="AJ72" s="38"/>
      <c r="AK72" s="38"/>
      <c r="AL72" s="38"/>
      <c r="AM72" s="38"/>
      <c r="AN72" s="38"/>
      <c r="AO72" s="163"/>
      <c r="AP72" s="16">
        <f ca="1">AP71+($AM$74-$AM$73)/10</f>
        <v>-3.9069581706260341</v>
      </c>
      <c r="AQ72" s="17">
        <f ca="1">AQ71+($AM$74-$AM$73)/10</f>
        <v>-2.896304342951372</v>
      </c>
      <c r="AR72" s="17">
        <f ca="1">AR71+($AM$74-$AM$73)/10</f>
        <v>-1.8856505152767098</v>
      </c>
      <c r="AS72" s="17">
        <f t="shared" ref="AS72:AY72" ca="1" si="78">AS71+($AM$74-$AM$73)/10</f>
        <v>-0.87499668760204763</v>
      </c>
      <c r="AT72" s="17">
        <f t="shared" ca="1" si="78"/>
        <v>0.13565714007261453</v>
      </c>
      <c r="AU72" s="17">
        <f t="shared" ca="1" si="78"/>
        <v>1.1463109677472767</v>
      </c>
      <c r="AV72" s="17">
        <f t="shared" ca="1" si="78"/>
        <v>2.1569647954219389</v>
      </c>
      <c r="AW72" s="17">
        <f t="shared" ca="1" si="78"/>
        <v>3.167618623096601</v>
      </c>
      <c r="AX72" s="17">
        <f t="shared" ca="1" si="78"/>
        <v>4.1782724507712636</v>
      </c>
      <c r="AY72" s="18">
        <f t="shared" ca="1" si="78"/>
        <v>5.1889262784459262</v>
      </c>
      <c r="AZ72" s="92" t="s">
        <v>62</v>
      </c>
      <c r="BA72" s="38"/>
      <c r="BB72" s="39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</row>
    <row r="73" spans="1:137" s="9" customFormat="1" ht="17.25" x14ac:dyDescent="0.25">
      <c r="A73" s="1"/>
      <c r="B73" s="37"/>
      <c r="C73" s="46">
        <f t="shared" si="20"/>
        <v>13.5</v>
      </c>
      <c r="D73" s="46">
        <f t="shared" ca="1" si="55"/>
        <v>0.31517442468885126</v>
      </c>
      <c r="E73" s="46">
        <f t="shared" ca="1" si="55"/>
        <v>0.31115766598441919</v>
      </c>
      <c r="F73" s="46">
        <f t="shared" ref="F73:G73" ca="1" si="79">AVERAGE(D69:D77)</f>
        <v>0.64030076131130997</v>
      </c>
      <c r="G73" s="46">
        <f t="shared" ca="1" si="79"/>
        <v>0.65942879471891824</v>
      </c>
      <c r="H73" s="46">
        <f t="shared" ca="1" si="4"/>
        <v>0.89109466128625703</v>
      </c>
      <c r="I73" s="46">
        <f t="shared" ca="1" si="5"/>
        <v>0.8246767218480815</v>
      </c>
      <c r="J73" s="46">
        <f t="shared" ca="1" si="6"/>
        <v>1.1295768266063628</v>
      </c>
      <c r="K73" s="46">
        <f t="shared" ca="1" si="7"/>
        <v>-1.0491987647967995</v>
      </c>
      <c r="L73" s="12">
        <f t="shared" ca="1" si="8"/>
        <v>2.1388730479819089</v>
      </c>
      <c r="M73" s="12">
        <f t="shared" ca="1" si="9"/>
        <v>8.3278043232112022</v>
      </c>
      <c r="N73" s="46">
        <f t="shared" ca="1" si="10"/>
        <v>2.1388730479819089</v>
      </c>
      <c r="O73" s="12">
        <f t="shared" ca="1" si="11"/>
        <v>8.3278043232112022</v>
      </c>
      <c r="P73" s="67">
        <f t="shared" ca="1" si="57"/>
        <v>0.36486747413009724</v>
      </c>
      <c r="Q73" s="46">
        <f t="shared" ca="1" si="13"/>
        <v>6.553798749359391</v>
      </c>
      <c r="R73" s="46">
        <f t="shared" ca="1" si="14"/>
        <v>2.3912679956357512</v>
      </c>
      <c r="S73" s="46">
        <f t="shared" ca="1" si="15"/>
        <v>0.13312827367807717</v>
      </c>
      <c r="T73" s="46">
        <f t="shared" ca="1" si="16"/>
        <v>0.10370982049644314</v>
      </c>
      <c r="U73" s="46">
        <f t="shared" ca="1" si="17"/>
        <v>15.93753047578755</v>
      </c>
      <c r="V73" s="46">
        <f t="shared" ca="1" si="54"/>
        <v>8.6498444146539342</v>
      </c>
      <c r="W73" s="68">
        <f t="shared" ca="1" si="18"/>
        <v>0.32204009144273193</v>
      </c>
      <c r="X73" s="46"/>
      <c r="Y73" s="46"/>
      <c r="Z73" s="12"/>
      <c r="AA73" s="12"/>
      <c r="AB73" s="12"/>
      <c r="AC73" s="12"/>
      <c r="AD73" s="12"/>
      <c r="AE73" s="38" t="s">
        <v>87</v>
      </c>
      <c r="AF73" s="38"/>
      <c r="AG73" s="38"/>
      <c r="AH73" s="38"/>
      <c r="AI73" s="38"/>
      <c r="AJ73" s="38"/>
      <c r="AK73" s="38"/>
      <c r="AL73" s="23" t="s">
        <v>10</v>
      </c>
      <c r="AM73" s="19">
        <f ca="1">MIN(W20:W124)</f>
        <v>-4.9176119983006963</v>
      </c>
      <c r="AN73" s="38"/>
      <c r="AO73" s="38"/>
      <c r="AP73" s="47">
        <f ca="1">AVERAGE(AP71:AP72)</f>
        <v>-4.412285084463365</v>
      </c>
      <c r="AQ73" s="47">
        <f t="shared" ref="AQ73:AY73" ca="1" si="80">AVERAGE(AQ71:AQ72)</f>
        <v>-3.4016312567887033</v>
      </c>
      <c r="AR73" s="47">
        <f t="shared" ca="1" si="80"/>
        <v>-2.3909774291140407</v>
      </c>
      <c r="AS73" s="47">
        <f t="shared" ca="1" si="80"/>
        <v>-1.3803236014393787</v>
      </c>
      <c r="AT73" s="47">
        <f t="shared" ca="1" si="80"/>
        <v>-0.36966977376471655</v>
      </c>
      <c r="AU73" s="47">
        <f t="shared" ca="1" si="80"/>
        <v>0.64098405390994562</v>
      </c>
      <c r="AV73" s="47">
        <f t="shared" ca="1" si="80"/>
        <v>1.6516378815846078</v>
      </c>
      <c r="AW73" s="47">
        <f t="shared" ca="1" si="80"/>
        <v>2.6622917092592697</v>
      </c>
      <c r="AX73" s="47">
        <f t="shared" ca="1" si="80"/>
        <v>3.6729455369339323</v>
      </c>
      <c r="AY73" s="47">
        <f t="shared" ca="1" si="80"/>
        <v>4.6835993646085949</v>
      </c>
      <c r="AZ73" s="38"/>
      <c r="BA73" s="38"/>
      <c r="BB73" s="39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</row>
    <row r="74" spans="1:137" s="9" customFormat="1" ht="15.75" thickBot="1" x14ac:dyDescent="0.3">
      <c r="A74" s="1"/>
      <c r="B74" s="37"/>
      <c r="C74" s="46">
        <f t="shared" si="20"/>
        <v>13.75</v>
      </c>
      <c r="D74" s="46">
        <f t="shared" ca="1" si="55"/>
        <v>0.64247562617770504</v>
      </c>
      <c r="E74" s="46">
        <f t="shared" ca="1" si="55"/>
        <v>0.91274916430618758</v>
      </c>
      <c r="F74" s="46">
        <f t="shared" ref="F74:G74" ca="1" si="81">AVERAGE(D70:D78)</f>
        <v>0.65400266876979873</v>
      </c>
      <c r="G74" s="46">
        <f t="shared" ca="1" si="81"/>
        <v>0.63859362187859758</v>
      </c>
      <c r="H74" s="46">
        <f t="shared" ca="1" si="4"/>
        <v>0.92206501414980757</v>
      </c>
      <c r="I74" s="46">
        <f t="shared" ca="1" si="5"/>
        <v>0.78731284665513779</v>
      </c>
      <c r="J74" s="46">
        <f t="shared" ca="1" si="6"/>
        <v>1.1962619181731868</v>
      </c>
      <c r="K74" s="46">
        <f t="shared" ca="1" si="7"/>
        <v>-0.86512940784864656</v>
      </c>
      <c r="L74" s="12">
        <f t="shared" ca="1" si="8"/>
        <v>2.1588785754519559</v>
      </c>
      <c r="M74" s="12">
        <f t="shared" ca="1" si="9"/>
        <v>8.9720470725297368</v>
      </c>
      <c r="N74" s="46">
        <f t="shared" ca="1" si="10"/>
        <v>2.1588785754519559</v>
      </c>
      <c r="O74" s="12">
        <f t="shared" ca="1" si="11"/>
        <v>8.9720470725297368</v>
      </c>
      <c r="P74" s="67">
        <f t="shared" ca="1" si="57"/>
        <v>0.38487300160014426</v>
      </c>
      <c r="Q74" s="46">
        <f t="shared" ca="1" si="13"/>
        <v>7.1980414986779255</v>
      </c>
      <c r="R74" s="46">
        <f t="shared" ca="1" si="14"/>
        <v>2.7703318372385741</v>
      </c>
      <c r="S74" s="46">
        <f t="shared" ca="1" si="15"/>
        <v>0.14812722736070463</v>
      </c>
      <c r="T74" s="46">
        <f t="shared" ca="1" si="16"/>
        <v>0.27398426191011443</v>
      </c>
      <c r="U74" s="46">
        <f t="shared" ca="1" si="17"/>
        <v>11.208708425794095</v>
      </c>
      <c r="V74" s="46">
        <f t="shared" ca="1" si="54"/>
        <v>8.4486120126511359</v>
      </c>
      <c r="W74" s="68">
        <f t="shared" ca="1" si="18"/>
        <v>-0.52343505987860084</v>
      </c>
      <c r="X74" s="46"/>
      <c r="Y74" s="46"/>
      <c r="Z74" s="12"/>
      <c r="AA74" s="12"/>
      <c r="AB74" s="12"/>
      <c r="AC74" s="12"/>
      <c r="AD74" s="12"/>
      <c r="AE74" s="38"/>
      <c r="AF74" s="38"/>
      <c r="AG74" s="38"/>
      <c r="AH74" s="38"/>
      <c r="AI74" s="38"/>
      <c r="AJ74" s="38"/>
      <c r="AK74" s="38"/>
      <c r="AL74" s="24" t="s">
        <v>11</v>
      </c>
      <c r="AM74" s="20">
        <f ca="1">MAX(W20:W124)</f>
        <v>5.1889262784459245</v>
      </c>
      <c r="AN74" s="38"/>
      <c r="AO74" s="42" t="s">
        <v>61</v>
      </c>
      <c r="AP74" s="86">
        <f ca="1">COUNTIF($W$20:$W$124,"&lt;"&amp;AP72)</f>
        <v>1</v>
      </c>
      <c r="AQ74" s="87">
        <f ca="1">(COUNTIF($W$20:$W$124,"&lt;"&amp;AQ72))-AP74</f>
        <v>5</v>
      </c>
      <c r="AR74" s="87">
        <f ca="1">COUNTIF($W$20:$W$124,"&lt;"&amp;AR72)-SUM($AP$74:AQ74)</f>
        <v>12</v>
      </c>
      <c r="AS74" s="87">
        <f ca="1">COUNTIF($W$20:$W$124,"&lt;"&amp;AS72)-SUM($AP$74:AR74)</f>
        <v>19</v>
      </c>
      <c r="AT74" s="87">
        <f ca="1">COUNTIF($W$20:$W$124,"&lt;"&amp;AT72)-SUM($AP$74:AS74)</f>
        <v>22</v>
      </c>
      <c r="AU74" s="87">
        <f ca="1">COUNTIF($W$20:$W$124,"&lt;"&amp;AU72)-SUM($AP$74:AT74)</f>
        <v>14</v>
      </c>
      <c r="AV74" s="87">
        <f ca="1">COUNTIF($W$20:$W$124,"&lt;"&amp;AV72)-SUM($AP$74:AU74)</f>
        <v>14</v>
      </c>
      <c r="AW74" s="87">
        <f ca="1">COUNTIF($W$20:$W$124,"&lt;"&amp;AW72)-SUM($AP$74:AV74)</f>
        <v>12</v>
      </c>
      <c r="AX74" s="87">
        <f ca="1">COUNTIF($W$20:$W$124,"&lt;"&amp;AX72)-SUM($AP$74:AW74)</f>
        <v>3</v>
      </c>
      <c r="AY74" s="89">
        <f ca="1">COUNTIF($W$20:$W$124,"&lt;="&amp;AY72)-SUM($AP$74:AX74)</f>
        <v>3</v>
      </c>
      <c r="AZ74" s="88">
        <f ca="1">SUM(AP74:AY74)</f>
        <v>105</v>
      </c>
      <c r="BA74" s="38"/>
      <c r="BB74" s="39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</row>
    <row r="75" spans="1:137" s="9" customFormat="1" ht="15.75" thickBot="1" x14ac:dyDescent="0.3">
      <c r="A75" s="1"/>
      <c r="B75" s="37"/>
      <c r="C75" s="46">
        <f t="shared" si="20"/>
        <v>14</v>
      </c>
      <c r="D75" s="46">
        <f t="shared" ca="1" si="55"/>
        <v>0.46198502188321267</v>
      </c>
      <c r="E75" s="46">
        <f t="shared" ca="1" si="55"/>
        <v>0.56011283232129272</v>
      </c>
      <c r="F75" s="46">
        <f t="shared" ref="F75:G75" ca="1" si="82">AVERAGE(D71:D79)</f>
        <v>0.6541692008079778</v>
      </c>
      <c r="G75" s="46">
        <f t="shared" ca="1" si="82"/>
        <v>0.62916898204736105</v>
      </c>
      <c r="H75" s="46">
        <f t="shared" ca="1" si="4"/>
        <v>0.92244142568237097</v>
      </c>
      <c r="I75" s="46">
        <f t="shared" ca="1" si="5"/>
        <v>0.77041156778927222</v>
      </c>
      <c r="J75" s="46">
        <f t="shared" ca="1" si="6"/>
        <v>-0.71392966181115991</v>
      </c>
      <c r="K75" s="46">
        <f t="shared" ca="1" si="7"/>
        <v>0.78706275928496405</v>
      </c>
      <c r="L75" s="12">
        <f t="shared" ca="1" si="8"/>
        <v>1.5858211014566521</v>
      </c>
      <c r="M75" s="12">
        <f t="shared" ca="1" si="9"/>
        <v>14.754719657497374</v>
      </c>
      <c r="N75" s="46">
        <f t="shared" ca="1" si="10"/>
        <v>1.5858211014566521</v>
      </c>
      <c r="O75" s="12">
        <f t="shared" ca="1" si="11"/>
        <v>14.754719657497374</v>
      </c>
      <c r="P75" s="67">
        <f t="shared" ca="1" si="57"/>
        <v>-0.18818447239515956</v>
      </c>
      <c r="Q75" s="46">
        <f t="shared" ca="1" si="13"/>
        <v>12.980714083645562</v>
      </c>
      <c r="R75" s="46">
        <f t="shared" ca="1" si="14"/>
        <v>-2.4427688311432574</v>
      </c>
      <c r="S75" s="46">
        <f t="shared" ca="1" si="15"/>
        <v>3.5413395650644573E-2</v>
      </c>
      <c r="T75" s="46">
        <f t="shared" ca="1" si="16"/>
        <v>0.29356256657688057</v>
      </c>
      <c r="U75" s="46">
        <f t="shared" ca="1" si="17"/>
        <v>5.9279182644088557</v>
      </c>
      <c r="V75" s="46">
        <f t="shared" ca="1" si="54"/>
        <v>14.212905513554194</v>
      </c>
      <c r="W75" s="68">
        <f t="shared" ca="1" si="18"/>
        <v>-0.54181414394317962</v>
      </c>
      <c r="X75" s="46"/>
      <c r="Y75" s="46"/>
      <c r="Z75" s="12"/>
      <c r="AA75" s="12"/>
      <c r="AB75" s="12"/>
      <c r="AC75" s="12"/>
      <c r="AD75" s="12"/>
      <c r="AE75" s="76"/>
      <c r="AF75" s="108">
        <f ca="1">CORREL(O20:O124,N20:N124)</f>
        <v>-0.80138292324983362</v>
      </c>
      <c r="AG75" s="38"/>
      <c r="AH75" s="108">
        <f ca="1">AF75^2</f>
        <v>0.64221458967644873</v>
      </c>
      <c r="AI75" s="38"/>
      <c r="AJ75" s="38"/>
      <c r="AK75" s="38"/>
      <c r="AL75" s="38"/>
      <c r="AM75" s="38"/>
      <c r="AN75" s="42"/>
      <c r="AO75" s="79" t="s">
        <v>67</v>
      </c>
      <c r="AP75" s="46">
        <f ca="1">AP74/$AZ$74</f>
        <v>9.5238095238095247E-3</v>
      </c>
      <c r="AQ75" s="46">
        <f t="shared" ref="AQ75:AY75" ca="1" si="83">AQ74/$AZ$74</f>
        <v>4.7619047619047616E-2</v>
      </c>
      <c r="AR75" s="46">
        <f t="shared" ca="1" si="83"/>
        <v>0.11428571428571428</v>
      </c>
      <c r="AS75" s="46">
        <f t="shared" ca="1" si="83"/>
        <v>0.18095238095238095</v>
      </c>
      <c r="AT75" s="46">
        <f t="shared" ca="1" si="83"/>
        <v>0.20952380952380953</v>
      </c>
      <c r="AU75" s="46">
        <f t="shared" ca="1" si="83"/>
        <v>0.13333333333333333</v>
      </c>
      <c r="AV75" s="46">
        <f t="shared" ca="1" si="83"/>
        <v>0.13333333333333333</v>
      </c>
      <c r="AW75" s="46">
        <f t="shared" ca="1" si="83"/>
        <v>0.11428571428571428</v>
      </c>
      <c r="AX75" s="46">
        <f t="shared" ca="1" si="83"/>
        <v>2.8571428571428571E-2</v>
      </c>
      <c r="AY75" s="46">
        <f t="shared" ca="1" si="83"/>
        <v>2.8571428571428571E-2</v>
      </c>
      <c r="AZ75" s="129">
        <f ca="1">SUM(AP75:AY75)</f>
        <v>1</v>
      </c>
      <c r="BA75" s="38"/>
      <c r="BB75" s="39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</row>
    <row r="76" spans="1:137" s="9" customFormat="1" x14ac:dyDescent="0.25">
      <c r="A76" s="1"/>
      <c r="B76" s="37"/>
      <c r="C76" s="46">
        <f t="shared" si="20"/>
        <v>14.25</v>
      </c>
      <c r="D76" s="46">
        <f t="shared" ca="1" si="55"/>
        <v>0.97587314439503181</v>
      </c>
      <c r="E76" s="46">
        <f t="shared" ca="1" si="55"/>
        <v>0.7685152078390135</v>
      </c>
      <c r="F76" s="46">
        <f t="shared" ref="F76:G76" ca="1" si="84">AVERAGE(D72:D80)</f>
        <v>0.59747250688990894</v>
      </c>
      <c r="G76" s="46">
        <f t="shared" ca="1" si="84"/>
        <v>0.65384781831095173</v>
      </c>
      <c r="H76" s="46">
        <f t="shared" ca="1" si="4"/>
        <v>0.79429017213179565</v>
      </c>
      <c r="I76" s="46">
        <f t="shared" ca="1" si="5"/>
        <v>0.81466831406763451</v>
      </c>
      <c r="J76" s="46">
        <f t="shared" ca="1" si="6"/>
        <v>-0.16484805136423233</v>
      </c>
      <c r="K76" s="46">
        <f t="shared" ca="1" si="7"/>
        <v>0.38491406056625321</v>
      </c>
      <c r="L76" s="12">
        <f t="shared" ca="1" si="8"/>
        <v>1.7505455845907303</v>
      </c>
      <c r="M76" s="12">
        <f t="shared" ca="1" si="9"/>
        <v>13.347199211981886</v>
      </c>
      <c r="N76" s="46">
        <f t="shared" ca="1" si="10"/>
        <v>1.7505455845907303</v>
      </c>
      <c r="O76" s="12">
        <f t="shared" ca="1" si="11"/>
        <v>13.347199211981886</v>
      </c>
      <c r="P76" s="67">
        <f t="shared" ca="1" si="57"/>
        <v>-2.3459989261081393E-2</v>
      </c>
      <c r="Q76" s="46">
        <f t="shared" ca="1" si="13"/>
        <v>11.573193638130075</v>
      </c>
      <c r="R76" s="46">
        <f t="shared" ca="1" si="14"/>
        <v>-0.27150699846694704</v>
      </c>
      <c r="S76" s="46">
        <f t="shared" ca="1" si="15"/>
        <v>5.5037109613005424E-4</v>
      </c>
      <c r="T76" s="46">
        <f t="shared" ca="1" si="16"/>
        <v>0.62604639308224719</v>
      </c>
      <c r="U76" s="46">
        <f t="shared" ca="1" si="17"/>
        <v>1.0551628826233748</v>
      </c>
      <c r="V76" s="46">
        <f t="shared" ca="1" si="54"/>
        <v>12.555968276614564</v>
      </c>
      <c r="W76" s="68">
        <f t="shared" ca="1" si="18"/>
        <v>-0.79123093536732192</v>
      </c>
      <c r="X76" s="46"/>
      <c r="Y76" s="46"/>
      <c r="Z76" s="12"/>
      <c r="AA76" s="12"/>
      <c r="AB76" s="12"/>
      <c r="AC76" s="12"/>
      <c r="AD76" s="12"/>
      <c r="AE76" s="38"/>
      <c r="AF76" s="38"/>
      <c r="AG76" s="38"/>
      <c r="AH76" s="38"/>
      <c r="AI76" s="38"/>
      <c r="AJ76" s="38"/>
      <c r="AK76" s="38"/>
      <c r="AL76" s="84" t="s">
        <v>1</v>
      </c>
      <c r="AM76" s="82">
        <f ca="1">AVERAGE(W20:W124)</f>
        <v>7.5706636726820198E-15</v>
      </c>
      <c r="AN76" s="38"/>
      <c r="AO76" s="79" t="s">
        <v>65</v>
      </c>
      <c r="AP76" s="58">
        <f ca="1">_xlfn.NORM.DIST(AP72,$AM$76,$AM$77,TRUE)</f>
        <v>2.7569437494185271E-2</v>
      </c>
      <c r="AQ76" s="58">
        <f ca="1">_xlfn.NORM.DIST(AQ72,$AM$76,$AM$77,TRUE)-AP76</f>
        <v>4.9988990420990108E-2</v>
      </c>
      <c r="AR76" s="58">
        <f ca="1">_xlfn.NORM.DIST(AR72,$AM$76,$AM$77,TRUE)-SUM($AP$76:AQ76)</f>
        <v>9.976965487281568E-2</v>
      </c>
      <c r="AS76" s="58">
        <f ca="1">_xlfn.NORM.DIST(AS72,$AM$76,$AM$77,TRUE)-SUM($AP$76:AR76)</f>
        <v>0.15645041540996152</v>
      </c>
      <c r="AT76" s="58">
        <f ca="1">_xlfn.NORM.DIST(AT72,$AM$76,$AM$77,TRUE)-SUM($AP$76:AS76)</f>
        <v>0.19276706585939163</v>
      </c>
      <c r="AU76" s="58">
        <f ca="1">_xlfn.NORM.DIST(AU72,$AM$76,$AM$77,TRUE)-SUM($AP$76:AT76)</f>
        <v>0.18662850087501093</v>
      </c>
      <c r="AV76" s="58">
        <f ca="1">_xlfn.NORM.DIST(AV72,$AM$76,$AM$77,TRUE)-SUM($AP$76:AU76)</f>
        <v>0.14197450983043425</v>
      </c>
      <c r="AW76" s="58">
        <f ca="1">_xlfn.NORM.DIST(AW72,$AM$76,$AM$77,TRUE)-SUM($AP$76:AV76)</f>
        <v>8.4862437044686101E-2</v>
      </c>
      <c r="AX76" s="58">
        <f ca="1">_xlfn.NORM.DIST(AX72,$AM$76,$AM$77,TRUE)-SUM($AP$76:AW76)</f>
        <v>3.9853487982986047E-2</v>
      </c>
      <c r="AY76" s="58">
        <f ca="1">_xlfn.NORM.DIST(AY72,$AM$76,$AM$77,TRUE)-SUM($AP$76:AX76)</f>
        <v>1.4703617954805237E-2</v>
      </c>
      <c r="AZ76" s="88"/>
      <c r="BA76" s="38"/>
      <c r="BB76" s="39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</row>
    <row r="77" spans="1:137" s="9" customFormat="1" ht="18" thickBot="1" x14ac:dyDescent="0.3">
      <c r="A77" s="1"/>
      <c r="B77" s="37"/>
      <c r="C77" s="46">
        <f t="shared" si="20"/>
        <v>14.5</v>
      </c>
      <c r="D77" s="46">
        <f t="shared" ca="1" si="55"/>
        <v>0.33880099401384944</v>
      </c>
      <c r="E77" s="46">
        <f t="shared" ca="1" si="55"/>
        <v>0.84675072336155333</v>
      </c>
      <c r="F77" s="46">
        <f t="shared" ref="F77:G77" ca="1" si="85">AVERAGE(D73:D81)</f>
        <v>0.56667902941988579</v>
      </c>
      <c r="G77" s="46">
        <f t="shared" ca="1" si="85"/>
        <v>0.65466394177067366</v>
      </c>
      <c r="H77" s="46">
        <f t="shared" ca="1" si="4"/>
        <v>0.72468782909804719</v>
      </c>
      <c r="I77" s="46">
        <f t="shared" ca="1" si="5"/>
        <v>0.81613187452498148</v>
      </c>
      <c r="J77" s="46">
        <f t="shared" ca="1" si="6"/>
        <v>-1.3051747871685648</v>
      </c>
      <c r="K77" s="46">
        <f t="shared" ca="1" si="7"/>
        <v>0.41208428517219386</v>
      </c>
      <c r="L77" s="12">
        <f t="shared" ca="1" si="8"/>
        <v>1.4084475638494305</v>
      </c>
      <c r="M77" s="12">
        <f t="shared" ca="1" si="9"/>
        <v>13.442294998102678</v>
      </c>
      <c r="N77" s="46">
        <f t="shared" ca="1" si="10"/>
        <v>1.4084475638494305</v>
      </c>
      <c r="O77" s="12">
        <f t="shared" ca="1" si="11"/>
        <v>13.442294998102678</v>
      </c>
      <c r="P77" s="67">
        <f t="shared" ca="1" si="57"/>
        <v>-0.3655580100023812</v>
      </c>
      <c r="Q77" s="46">
        <f t="shared" ca="1" si="13"/>
        <v>11.668289424250867</v>
      </c>
      <c r="R77" s="46">
        <f t="shared" ca="1" si="14"/>
        <v>-4.2654366620609769</v>
      </c>
      <c r="S77" s="46">
        <f t="shared" ca="1" si="15"/>
        <v>0.13363265867690102</v>
      </c>
      <c r="T77" s="46">
        <f t="shared" ca="1" si="16"/>
        <v>6.5269139738139677</v>
      </c>
      <c r="U77" s="46">
        <f t="shared" ca="1" si="17"/>
        <v>1.2595730073886764</v>
      </c>
      <c r="V77" s="46">
        <f t="shared" ca="1" si="54"/>
        <v>15.997077566896737</v>
      </c>
      <c r="W77" s="68">
        <f t="shared" ca="1" si="18"/>
        <v>2.5547825687940584</v>
      </c>
      <c r="X77" s="46"/>
      <c r="Y77" s="46"/>
      <c r="Z77" s="12"/>
      <c r="AA77" s="12"/>
      <c r="AB77" s="12"/>
      <c r="AC77" s="12"/>
      <c r="AD77" s="12"/>
      <c r="AE77" s="38" t="s">
        <v>90</v>
      </c>
      <c r="AF77" s="38"/>
      <c r="AG77" s="38"/>
      <c r="AH77" s="38"/>
      <c r="AI77" s="38"/>
      <c r="AJ77" s="38"/>
      <c r="AK77" s="38"/>
      <c r="AL77" s="85" t="s">
        <v>2</v>
      </c>
      <c r="AM77" s="83">
        <f ca="1">_xlfn.STDEV.S(W20:W124)</f>
        <v>2.0372292774438865</v>
      </c>
      <c r="AN77" s="38"/>
      <c r="AO77" s="79" t="s">
        <v>66</v>
      </c>
      <c r="AP77" s="12">
        <f t="shared" ref="AP77:AY77" ca="1" si="86">AP76/SUM($AP$76:$AY$76)*105</f>
        <v>2.9106009786962428</v>
      </c>
      <c r="AQ77" s="12">
        <f t="shared" ca="1" si="86"/>
        <v>5.2775108115302753</v>
      </c>
      <c r="AR77" s="12">
        <f t="shared" ca="1" si="86"/>
        <v>10.533027929142564</v>
      </c>
      <c r="AS77" s="12">
        <f t="shared" ca="1" si="86"/>
        <v>16.517012082880171</v>
      </c>
      <c r="AT77" s="12">
        <f t="shared" ca="1" si="86"/>
        <v>20.351086621520093</v>
      </c>
      <c r="AU77" s="12">
        <f t="shared" ca="1" si="86"/>
        <v>19.703017060612392</v>
      </c>
      <c r="AV77" s="12">
        <f t="shared" ca="1" si="86"/>
        <v>14.988740606315844</v>
      </c>
      <c r="AW77" s="12">
        <f t="shared" ca="1" si="86"/>
        <v>8.9592213250236643</v>
      </c>
      <c r="AX77" s="12">
        <f t="shared" ca="1" si="86"/>
        <v>4.2074707237753195</v>
      </c>
      <c r="AY77" s="12">
        <f t="shared" ca="1" si="86"/>
        <v>1.5523118605034305</v>
      </c>
      <c r="AZ77" s="88">
        <f ca="1">SUM(AP77:AY77)</f>
        <v>105</v>
      </c>
      <c r="BA77" s="38"/>
      <c r="BB77" s="39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</row>
    <row r="78" spans="1:137" s="9" customFormat="1" x14ac:dyDescent="0.25">
      <c r="A78" s="1"/>
      <c r="B78" s="37"/>
      <c r="C78" s="46">
        <f t="shared" si="20"/>
        <v>14.75</v>
      </c>
      <c r="D78" s="46">
        <f t="shared" ca="1" si="55"/>
        <v>0.86177125141271449</v>
      </c>
      <c r="E78" s="46">
        <f t="shared" ca="1" si="55"/>
        <v>0.7438296538144743</v>
      </c>
      <c r="F78" s="46">
        <f t="shared" ref="F78:G78" ca="1" si="87">AVERAGE(D74:D82)</f>
        <v>0.62594007028273346</v>
      </c>
      <c r="G78" s="46">
        <f t="shared" ca="1" si="87"/>
        <v>0.65961669973803694</v>
      </c>
      <c r="H78" s="46">
        <f t="shared" ca="1" si="4"/>
        <v>0.8586352632158154</v>
      </c>
      <c r="I78" s="46">
        <f t="shared" ca="1" si="5"/>
        <v>0.82501369335949093</v>
      </c>
      <c r="J78" s="46">
        <f t="shared" ca="1" si="6"/>
        <v>0.97417145542699179</v>
      </c>
      <c r="K78" s="46">
        <f t="shared" ca="1" si="7"/>
        <v>-1.6858118963586421</v>
      </c>
      <c r="L78" s="12">
        <f t="shared" ca="1" si="8"/>
        <v>2.0922514366280978</v>
      </c>
      <c r="M78" s="12">
        <f t="shared" ca="1" si="9"/>
        <v>6.0996583627447523</v>
      </c>
      <c r="N78" s="46">
        <f t="shared" ca="1" si="10"/>
        <v>2.0922514366280978</v>
      </c>
      <c r="O78" s="12">
        <f t="shared" ca="1" si="11"/>
        <v>6.0996583627447523</v>
      </c>
      <c r="P78" s="67">
        <f t="shared" ca="1" si="57"/>
        <v>0.31824586277628608</v>
      </c>
      <c r="Q78" s="46">
        <f t="shared" ca="1" si="13"/>
        <v>4.3256527888929401</v>
      </c>
      <c r="R78" s="46">
        <f t="shared" ca="1" si="14"/>
        <v>1.3766211038718819</v>
      </c>
      <c r="S78" s="46">
        <f t="shared" ca="1" si="15"/>
        <v>0.10128042917422271</v>
      </c>
      <c r="T78" s="46">
        <f t="shared" ca="1" si="16"/>
        <v>9.115238861044288</v>
      </c>
      <c r="U78" s="46">
        <f t="shared" ca="1" si="17"/>
        <v>38.692500744025672</v>
      </c>
      <c r="V78" s="46">
        <f t="shared" ca="1" si="54"/>
        <v>9.1188037486187561</v>
      </c>
      <c r="W78" s="68">
        <f t="shared" ca="1" si="18"/>
        <v>3.0191453858740038</v>
      </c>
      <c r="X78" s="46"/>
      <c r="Y78" s="46"/>
      <c r="Z78" s="12"/>
      <c r="AA78" s="12"/>
      <c r="AB78" s="12"/>
      <c r="AC78" s="12"/>
      <c r="AD78" s="12"/>
      <c r="AE78" s="38" t="s">
        <v>89</v>
      </c>
      <c r="AF78" s="38"/>
      <c r="AG78" s="38"/>
      <c r="AH78" s="38"/>
      <c r="AI78" s="38"/>
      <c r="AJ78" s="38"/>
      <c r="AK78" s="38"/>
      <c r="AL78" s="38"/>
      <c r="AM78" s="38"/>
      <c r="AN78" s="38"/>
      <c r="AO78" s="38" t="s">
        <v>64</v>
      </c>
      <c r="AP78" s="38">
        <f t="shared" ref="AP78:AY78" ca="1" si="88">(AP74-AP77)^2/AP77</f>
        <v>1.2541726353126486</v>
      </c>
      <c r="AQ78" s="38">
        <f t="shared" ca="1" si="88"/>
        <v>1.4592532969887259E-2</v>
      </c>
      <c r="AR78" s="38">
        <f t="shared" ca="1" si="88"/>
        <v>0.20431039119545336</v>
      </c>
      <c r="AS78" s="38">
        <f t="shared" ca="1" si="88"/>
        <v>0.37326539241036849</v>
      </c>
      <c r="AT78" s="38">
        <f t="shared" ca="1" si="88"/>
        <v>0.13360049909349445</v>
      </c>
      <c r="AU78" s="38">
        <f t="shared" ca="1" si="88"/>
        <v>1.6507321438935563</v>
      </c>
      <c r="AV78" s="38">
        <f t="shared" ca="1" si="88"/>
        <v>6.5222823735163249E-2</v>
      </c>
      <c r="AW78" s="38">
        <f t="shared" ca="1" si="88"/>
        <v>1.0320467164222462</v>
      </c>
      <c r="AX78" s="38">
        <f t="shared" ca="1" si="88"/>
        <v>0.34652304067995005</v>
      </c>
      <c r="AY78" s="38">
        <f t="shared" ca="1" si="88"/>
        <v>1.3501159158568494</v>
      </c>
      <c r="AZ78" s="38"/>
      <c r="BA78" s="38"/>
      <c r="BB78" s="39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</row>
    <row r="79" spans="1:137" s="9" customFormat="1" ht="15.75" thickBot="1" x14ac:dyDescent="0.3">
      <c r="A79" s="1"/>
      <c r="B79" s="37"/>
      <c r="C79" s="46">
        <f t="shared" si="20"/>
        <v>15</v>
      </c>
      <c r="D79" s="46">
        <f t="shared" ca="1" si="55"/>
        <v>0.94882183114086216</v>
      </c>
      <c r="E79" s="46">
        <f t="shared" ca="1" si="55"/>
        <v>0.39173134353716732</v>
      </c>
      <c r="F79" s="46">
        <f t="shared" ref="F79:G79" ca="1" si="89">AVERAGE(D75:D83)</f>
        <v>0.56116006438887533</v>
      </c>
      <c r="G79" s="46">
        <f t="shared" ca="1" si="89"/>
        <v>0.5759377412889034</v>
      </c>
      <c r="H79" s="46">
        <f t="shared" ca="1" si="4"/>
        <v>0.71221334005556736</v>
      </c>
      <c r="I79" s="46">
        <f t="shared" ca="1" si="5"/>
        <v>0.67495157562565833</v>
      </c>
      <c r="J79" s="46">
        <f t="shared" ca="1" si="6"/>
        <v>7.6373420404044157E-2</v>
      </c>
      <c r="K79" s="46">
        <f t="shared" ca="1" si="7"/>
        <v>0.11644164379377371</v>
      </c>
      <c r="L79" s="12">
        <f t="shared" ca="1" si="8"/>
        <v>1.8229120261212133</v>
      </c>
      <c r="M79" s="12">
        <f t="shared" ca="1" si="9"/>
        <v>12.407545753278209</v>
      </c>
      <c r="N79" s="46">
        <f t="shared" ca="1" si="10"/>
        <v>1.8229120261212133</v>
      </c>
      <c r="O79" s="12">
        <f t="shared" ca="1" si="11"/>
        <v>12.407545753278209</v>
      </c>
      <c r="P79" s="67">
        <f t="shared" ca="1" si="57"/>
        <v>4.8906452269401601E-2</v>
      </c>
      <c r="Q79" s="46">
        <f t="shared" ca="1" si="13"/>
        <v>10.633540179426397</v>
      </c>
      <c r="R79" s="46">
        <f t="shared" ca="1" si="14"/>
        <v>0.52004872523988122</v>
      </c>
      <c r="S79" s="46">
        <f t="shared" ca="1" si="15"/>
        <v>2.3918410735792569E-3</v>
      </c>
      <c r="T79" s="46">
        <f t="shared" ca="1" si="16"/>
        <v>0.33582018145845011</v>
      </c>
      <c r="U79" s="46">
        <f t="shared" ca="1" si="17"/>
        <v>7.6663608923544227E-3</v>
      </c>
      <c r="V79" s="46">
        <f t="shared" ca="1" si="54"/>
        <v>11.828045812416736</v>
      </c>
      <c r="W79" s="68">
        <f t="shared" ca="1" si="18"/>
        <v>-0.5794999408614725</v>
      </c>
      <c r="X79" s="46"/>
      <c r="Y79" s="46"/>
      <c r="Z79" s="12"/>
      <c r="AA79" s="12"/>
      <c r="AB79" s="12"/>
      <c r="AC79" s="12"/>
      <c r="AD79" s="12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9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</row>
    <row r="80" spans="1:137" s="9" customFormat="1" ht="15.75" thickBot="1" x14ac:dyDescent="0.3">
      <c r="A80" s="1"/>
      <c r="B80" s="37"/>
      <c r="C80" s="46">
        <f t="shared" si="20"/>
        <v>15.25</v>
      </c>
      <c r="D80" s="46">
        <f t="shared" ca="1" si="55"/>
        <v>0.16186259585092444</v>
      </c>
      <c r="E80" s="46">
        <f t="shared" ca="1" si="55"/>
        <v>0.51816496397512601</v>
      </c>
      <c r="F80" s="46">
        <f t="shared" ref="F80:G80" ca="1" si="90">AVERAGE(D76:D84)</f>
        <v>0.52072033545646668</v>
      </c>
      <c r="G80" s="46">
        <f t="shared" ca="1" si="90"/>
        <v>0.53543337694084736</v>
      </c>
      <c r="H80" s="46">
        <f t="shared" ca="1" si="4"/>
        <v>0.62080762311160209</v>
      </c>
      <c r="I80" s="46">
        <f t="shared" ca="1" si="5"/>
        <v>0.60231478850280218</v>
      </c>
      <c r="J80" s="46">
        <f t="shared" ca="1" si="6"/>
        <v>0.80206702546902819</v>
      </c>
      <c r="K80" s="46">
        <f t="shared" ca="1" si="7"/>
        <v>-1.1379587037001546</v>
      </c>
      <c r="L80" s="12">
        <f t="shared" ca="1" si="8"/>
        <v>2.0406201076407084</v>
      </c>
      <c r="M80" s="12">
        <f t="shared" ca="1" si="9"/>
        <v>8.0171445370494592</v>
      </c>
      <c r="N80" s="46">
        <f t="shared" ca="1" si="10"/>
        <v>2.0406201076407084</v>
      </c>
      <c r="O80" s="12">
        <f t="shared" ca="1" si="11"/>
        <v>8.0171445370494592</v>
      </c>
      <c r="P80" s="67">
        <f t="shared" ca="1" si="57"/>
        <v>0.26661453378889677</v>
      </c>
      <c r="Q80" s="46">
        <f t="shared" ca="1" si="13"/>
        <v>6.2431389631976479</v>
      </c>
      <c r="R80" s="46">
        <f t="shared" ca="1" si="14"/>
        <v>1.6645115840522373</v>
      </c>
      <c r="S80" s="46">
        <f t="shared" ca="1" si="15"/>
        <v>7.1083309627470781E-2</v>
      </c>
      <c r="T80" s="46">
        <f t="shared" ca="1" si="16"/>
        <v>2.6276750222184102</v>
      </c>
      <c r="U80" s="46">
        <f t="shared" ca="1" si="17"/>
        <v>18.514461830623301</v>
      </c>
      <c r="V80" s="46">
        <f t="shared" ca="1" si="54"/>
        <v>9.6381550312222792</v>
      </c>
      <c r="W80" s="68">
        <f t="shared" ca="1" si="18"/>
        <v>1.6210104941728201</v>
      </c>
      <c r="X80" s="46"/>
      <c r="Y80" s="46"/>
      <c r="Z80" s="12"/>
      <c r="AA80" s="12"/>
      <c r="AB80" s="12"/>
      <c r="AC80" s="12"/>
      <c r="AD80" s="12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 t="s">
        <v>63</v>
      </c>
      <c r="AP80" s="38">
        <f ca="1">SUM(AP78:AY78)</f>
        <v>6.4245820915696177</v>
      </c>
      <c r="AQ80" s="93" t="s">
        <v>68</v>
      </c>
      <c r="AR80" s="38"/>
      <c r="AS80" s="47">
        <f>_xlfn.CHISQ.DIST.RT(0.05,10-3)</f>
        <v>0.99999979169224729</v>
      </c>
      <c r="AT80" s="38"/>
      <c r="AU80" s="94"/>
      <c r="AV80" s="95" t="str">
        <f ca="1">IF(AP80&gt;AS80,"Reject H0, Not Gaussian","Fail to Reject")</f>
        <v>Reject H0, Not Gaussian</v>
      </c>
      <c r="AW80" s="96"/>
      <c r="AX80" s="96"/>
      <c r="AY80" s="97"/>
      <c r="AZ80" s="38"/>
      <c r="BA80" s="38"/>
      <c r="BB80" s="39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</row>
    <row r="81" spans="1:137" s="9" customFormat="1" x14ac:dyDescent="0.25">
      <c r="A81" s="1"/>
      <c r="B81" s="37"/>
      <c r="C81" s="46">
        <f t="shared" si="20"/>
        <v>15.5</v>
      </c>
      <c r="D81" s="46">
        <f t="shared" ca="1" si="55"/>
        <v>0.39334637521581994</v>
      </c>
      <c r="E81" s="46">
        <f t="shared" ca="1" si="55"/>
        <v>0.83896392079682902</v>
      </c>
      <c r="F81" s="46">
        <f t="shared" ref="F81:G81" ca="1" si="91">AVERAGE(D77:D85)</f>
        <v>0.48733061053600618</v>
      </c>
      <c r="G81" s="46">
        <f t="shared" ca="1" si="91"/>
        <v>0.46059861143947867</v>
      </c>
      <c r="H81" s="46">
        <f t="shared" ca="1" si="4"/>
        <v>0.54533699495735222</v>
      </c>
      <c r="I81" s="46">
        <f t="shared" ca="1" si="5"/>
        <v>0.46811302978855496</v>
      </c>
      <c r="J81" s="46">
        <f t="shared" ca="1" si="6"/>
        <v>0.35581711454063131</v>
      </c>
      <c r="K81" s="46">
        <f t="shared" ca="1" si="7"/>
        <v>-4.3779273912784245E-2</v>
      </c>
      <c r="L81" s="12">
        <f t="shared" ca="1" si="8"/>
        <v>1.9067451343621895</v>
      </c>
      <c r="M81" s="12">
        <f t="shared" ca="1" si="9"/>
        <v>11.846772541305254</v>
      </c>
      <c r="N81" s="46">
        <f t="shared" ca="1" si="10"/>
        <v>1.9067451343621895</v>
      </c>
      <c r="O81" s="12">
        <f t="shared" ca="1" si="11"/>
        <v>11.846772541305254</v>
      </c>
      <c r="P81" s="67">
        <f t="shared" ca="1" si="57"/>
        <v>0.13273956051037783</v>
      </c>
      <c r="Q81" s="46">
        <f t="shared" ca="1" si="13"/>
        <v>10.072766967453443</v>
      </c>
      <c r="R81" s="46">
        <f t="shared" ca="1" si="14"/>
        <v>1.3370546603832214</v>
      </c>
      <c r="S81" s="46">
        <f t="shared" ca="1" si="15"/>
        <v>1.7619790924488257E-2</v>
      </c>
      <c r="T81" s="46">
        <f t="shared" ca="1" si="16"/>
        <v>0.74302772560616481</v>
      </c>
      <c r="U81" s="46">
        <f t="shared" ca="1" si="17"/>
        <v>0.22393286638487411</v>
      </c>
      <c r="V81" s="46">
        <f t="shared" ca="1" si="54"/>
        <v>10.984781981260561</v>
      </c>
      <c r="W81" s="68">
        <f t="shared" ca="1" si="18"/>
        <v>-0.86199056004469377</v>
      </c>
      <c r="X81" s="46"/>
      <c r="Y81" s="46"/>
      <c r="Z81" s="12"/>
      <c r="AA81" s="12"/>
      <c r="AB81" s="12"/>
      <c r="AC81" s="12"/>
      <c r="AD81" s="1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9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</row>
    <row r="82" spans="1:137" s="9" customFormat="1" x14ac:dyDescent="0.25">
      <c r="A82" s="1"/>
      <c r="B82" s="37"/>
      <c r="C82" s="46">
        <f t="shared" si="20"/>
        <v>15.75</v>
      </c>
      <c r="D82" s="46">
        <f t="shared" ca="1" si="55"/>
        <v>0.84852379245448084</v>
      </c>
      <c r="E82" s="46">
        <f t="shared" ca="1" si="55"/>
        <v>0.35573248769068844</v>
      </c>
      <c r="F82" s="46">
        <f t="shared" ref="F82:G82" ca="1" si="92">AVERAGE(D78:D86)</f>
        <v>0.51099393883384969</v>
      </c>
      <c r="G82" s="46">
        <f t="shared" ca="1" si="92"/>
        <v>0.37116581477398813</v>
      </c>
      <c r="H82" s="46">
        <f t="shared" ca="1" si="4"/>
        <v>0.59882309749676343</v>
      </c>
      <c r="I82" s="46">
        <f t="shared" ca="1" si="5"/>
        <v>0.30773250986799761</v>
      </c>
      <c r="J82" s="46">
        <f t="shared" ca="1" si="6"/>
        <v>-1.8859949691840454</v>
      </c>
      <c r="K82" s="46">
        <f t="shared" ca="1" si="7"/>
        <v>1.057256911902611</v>
      </c>
      <c r="L82" s="12">
        <f t="shared" ca="1" si="8"/>
        <v>1.2342015092447864</v>
      </c>
      <c r="M82" s="12">
        <f t="shared" ca="1" si="9"/>
        <v>15.700399191659137</v>
      </c>
      <c r="N82" s="46">
        <f t="shared" ca="1" si="10"/>
        <v>1.2342015092447864</v>
      </c>
      <c r="O82" s="12">
        <f t="shared" ca="1" si="11"/>
        <v>15.700399191659137</v>
      </c>
      <c r="P82" s="67">
        <f t="shared" ca="1" si="57"/>
        <v>-0.53980406460702524</v>
      </c>
      <c r="Q82" s="46">
        <f t="shared" ca="1" si="13"/>
        <v>13.926393617807326</v>
      </c>
      <c r="R82" s="46">
        <f t="shared" ca="1" si="14"/>
        <v>-7.5175238802097297</v>
      </c>
      <c r="S82" s="46">
        <f t="shared" ca="1" si="15"/>
        <v>0.29138842816626548</v>
      </c>
      <c r="T82" s="46">
        <f t="shared" ca="1" si="16"/>
        <v>4.2000058364176018</v>
      </c>
      <c r="U82" s="46">
        <f t="shared" ca="1" si="17"/>
        <v>11.427179853002613</v>
      </c>
      <c r="V82" s="46">
        <f t="shared" ca="1" si="54"/>
        <v>17.749790768790653</v>
      </c>
      <c r="W82" s="68">
        <f t="shared" ca="1" si="18"/>
        <v>2.0493915771315159</v>
      </c>
      <c r="X82" s="46"/>
      <c r="Y82" s="46"/>
      <c r="Z82" s="12"/>
      <c r="AA82" s="12"/>
      <c r="AB82" s="12"/>
      <c r="AC82" s="12"/>
      <c r="AD82" s="1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9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</row>
    <row r="83" spans="1:137" s="9" customFormat="1" x14ac:dyDescent="0.25">
      <c r="A83" s="1"/>
      <c r="B83" s="37"/>
      <c r="C83" s="46">
        <f t="shared" si="20"/>
        <v>16</v>
      </c>
      <c r="D83" s="46">
        <f t="shared" ca="1" si="55"/>
        <v>5.9455573132982331E-2</v>
      </c>
      <c r="E83" s="46">
        <f t="shared" ca="1" si="55"/>
        <v>0.15963853826398622</v>
      </c>
      <c r="F83" s="46">
        <f t="shared" ref="F83:G83" ca="1" si="93">AVERAGE(D79:D87)</f>
        <v>0.45202043012481063</v>
      </c>
      <c r="G83" s="46">
        <f t="shared" ca="1" si="93"/>
        <v>0.38196782725417538</v>
      </c>
      <c r="H83" s="46">
        <f t="shared" ca="1" si="4"/>
        <v>0.46552557086742691</v>
      </c>
      <c r="I83" s="46">
        <f t="shared" ca="1" si="5"/>
        <v>0.32710384166522044</v>
      </c>
      <c r="J83" s="46">
        <f t="shared" ca="1" si="6"/>
        <v>0.85927543164903408</v>
      </c>
      <c r="K83" s="46">
        <f t="shared" ca="1" si="7"/>
        <v>-1.4067605367938438</v>
      </c>
      <c r="L83" s="12">
        <f t="shared" ca="1" si="8"/>
        <v>2.0577826294947101</v>
      </c>
      <c r="M83" s="12">
        <f t="shared" ca="1" si="9"/>
        <v>7.0763381212215464</v>
      </c>
      <c r="N83" s="46">
        <f t="shared" ca="1" si="10"/>
        <v>2.0577826294947101</v>
      </c>
      <c r="O83" s="12">
        <f t="shared" ca="1" si="11"/>
        <v>7.0763381212215464</v>
      </c>
      <c r="P83" s="67">
        <f t="shared" ca="1" si="57"/>
        <v>0.28377705564289846</v>
      </c>
      <c r="Q83" s="46">
        <f t="shared" ca="1" si="13"/>
        <v>5.3023325473697351</v>
      </c>
      <c r="R83" s="46">
        <f t="shared" ca="1" si="14"/>
        <v>1.5046803183320929</v>
      </c>
      <c r="S83" s="46">
        <f t="shared" ca="1" si="15"/>
        <v>8.0529417309352688E-2</v>
      </c>
      <c r="T83" s="46">
        <f t="shared" ca="1" si="16"/>
        <v>5.7081898975681478</v>
      </c>
      <c r="U83" s="46">
        <f t="shared" ca="1" si="17"/>
        <v>27.495864007301879</v>
      </c>
      <c r="V83" s="46">
        <f t="shared" ca="1" si="54"/>
        <v>9.465519968123985</v>
      </c>
      <c r="W83" s="68">
        <f t="shared" ca="1" si="18"/>
        <v>2.3891818469024386</v>
      </c>
      <c r="X83" s="46"/>
      <c r="Y83" s="46"/>
      <c r="Z83" s="12"/>
      <c r="AA83" s="12"/>
      <c r="AB83" s="12"/>
      <c r="AC83" s="12"/>
      <c r="AD83" s="1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9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</row>
    <row r="84" spans="1:137" s="9" customFormat="1" x14ac:dyDescent="0.25">
      <c r="A84" s="1"/>
      <c r="B84" s="37"/>
      <c r="C84" s="46">
        <f t="shared" si="20"/>
        <v>16.25</v>
      </c>
      <c r="D84" s="46">
        <f t="shared" ca="1" si="55"/>
        <v>9.8027461491535073E-2</v>
      </c>
      <c r="E84" s="46">
        <f t="shared" ca="1" si="55"/>
        <v>0.19557355318878888</v>
      </c>
      <c r="F84" s="46">
        <f t="shared" ref="F84:G84" ca="1" si="94">AVERAGE(D80:D88)</f>
        <v>0.35375381113852111</v>
      </c>
      <c r="G84" s="46">
        <f t="shared" ca="1" si="94"/>
        <v>0.3841731373330563</v>
      </c>
      <c r="H84" s="46">
        <f t="shared" ca="1" si="4"/>
        <v>0.24341402370265522</v>
      </c>
      <c r="I84" s="46">
        <f t="shared" ca="1" si="5"/>
        <v>0.33105864113727412</v>
      </c>
      <c r="J84" s="46">
        <f t="shared" ca="1" si="6"/>
        <v>0.81927308664480047</v>
      </c>
      <c r="K84" s="46">
        <f t="shared" ca="1" si="7"/>
        <v>-0.4155189079335716</v>
      </c>
      <c r="L84" s="12">
        <f t="shared" ca="1" si="8"/>
        <v>2.04578192599344</v>
      </c>
      <c r="M84" s="12">
        <f t="shared" ca="1" si="9"/>
        <v>10.545683822232499</v>
      </c>
      <c r="N84" s="46">
        <f t="shared" ca="1" si="10"/>
        <v>2.04578192599344</v>
      </c>
      <c r="O84" s="12">
        <f t="shared" ca="1" si="11"/>
        <v>10.545683822232499</v>
      </c>
      <c r="P84" s="67">
        <f t="shared" ca="1" si="57"/>
        <v>0.27177635214162832</v>
      </c>
      <c r="Q84" s="46">
        <f t="shared" ca="1" si="13"/>
        <v>8.7716782483806881</v>
      </c>
      <c r="R84" s="46">
        <f t="shared" ca="1" si="14"/>
        <v>2.3839347165049714</v>
      </c>
      <c r="S84" s="46">
        <f t="shared" ca="1" si="15"/>
        <v>7.3862385583410364E-2</v>
      </c>
      <c r="T84" s="46">
        <f t="shared" ca="1" si="16"/>
        <v>0.92054563894233288</v>
      </c>
      <c r="U84" s="46">
        <f t="shared" ca="1" si="17"/>
        <v>3.1481553003848157</v>
      </c>
      <c r="V84" s="46">
        <f t="shared" ref="V84:V115" ca="1" si="95">$AC$95+$AA$95*N84</f>
        <v>9.586233125770022</v>
      </c>
      <c r="W84" s="68">
        <f t="shared" ca="1" si="18"/>
        <v>-0.95945069646247738</v>
      </c>
      <c r="X84" s="46"/>
      <c r="Y84" s="46"/>
      <c r="Z84" s="12"/>
      <c r="AA84" s="12"/>
      <c r="AB84" s="12"/>
      <c r="AC84" s="12"/>
      <c r="AD84" s="12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9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</row>
    <row r="85" spans="1:137" s="9" customFormat="1" x14ac:dyDescent="0.25">
      <c r="A85" s="1"/>
      <c r="B85" s="37"/>
      <c r="C85" s="46">
        <f t="shared" si="20"/>
        <v>16.5</v>
      </c>
      <c r="D85" s="46">
        <f t="shared" ref="D85:E124" ca="1" si="96">RAND()</f>
        <v>0.67536562011088686</v>
      </c>
      <c r="E85" s="46">
        <f t="shared" ca="1" si="96"/>
        <v>9.5002318326694812E-2</v>
      </c>
      <c r="F85" s="46">
        <f t="shared" ref="F85:G85" ca="1" si="97">AVERAGE(D81:D89)</f>
        <v>0.35061852748844213</v>
      </c>
      <c r="G85" s="46">
        <f t="shared" ca="1" si="97"/>
        <v>0.39288711936703202</v>
      </c>
      <c r="H85" s="46">
        <f t="shared" ref="H85:H124" ca="1" si="98">(F85-$G$11)/($G$12-$G$11)</f>
        <v>0.23632735775746161</v>
      </c>
      <c r="I85" s="46">
        <f t="shared" ref="I85:I124" ca="1" si="99">(G85-$G$14)/($G$15-$G$14)</f>
        <v>0.34668549192686476</v>
      </c>
      <c r="J85" s="46">
        <f t="shared" ref="J85:J124" ca="1" si="100">_xlfn.NORM.INV(RAND(),$K$11,$K$12)</f>
        <v>0.18452520293630015</v>
      </c>
      <c r="K85" s="46">
        <f t="shared" ref="K85:K124" ca="1" si="101">_xlfn.NORM.INV(RAND(),$K$14+$K$16*($K$15/$K$12)*(J85-$K$11),SQRT((1-$K$16^2)*$K$12))</f>
        <v>0.40317699736123136</v>
      </c>
      <c r="L85" s="12">
        <f t="shared" ref="L85:L124" ca="1" si="102">J85*$M$12+$M$11</f>
        <v>1.8553575608808901</v>
      </c>
      <c r="M85" s="12">
        <f t="shared" ref="M85:M124" ca="1" si="103">K85*$M$15+$M$14</f>
        <v>13.41111949076431</v>
      </c>
      <c r="N85" s="46">
        <f t="shared" ref="N85:N124" ca="1" si="104">IF(L85&lt;0,0,L85)</f>
        <v>1.8553575608808901</v>
      </c>
      <c r="O85" s="12">
        <f t="shared" ref="O85:O124" ca="1" si="105">IF(M85&lt;0,0,M85)</f>
        <v>13.41111949076431</v>
      </c>
      <c r="P85" s="67">
        <f t="shared" ref="P85:P116" ca="1" si="106">N85-$O$11</f>
        <v>8.1351987029078421E-2</v>
      </c>
      <c r="Q85" s="46">
        <f t="shared" ref="Q85:Q124" ca="1" si="107">O85-$O$11</f>
        <v>11.637113916912499</v>
      </c>
      <c r="R85" s="46">
        <f t="shared" ref="R85:R124" ca="1" si="108">P85*Q85</f>
        <v>0.94670234042457357</v>
      </c>
      <c r="S85" s="46">
        <f t="shared" ref="S85:S124" ca="1" si="109">P85^2</f>
        <v>6.6181457935793435E-3</v>
      </c>
      <c r="T85" s="46">
        <f t="shared" ref="T85:T124" ca="1" si="110">(O85-V85)^2</f>
        <v>3.6459539515242727</v>
      </c>
      <c r="U85" s="46">
        <f t="shared" ref="U85:U124" ca="1" si="111">(O85-$O$14)^2</f>
        <v>1.1905679392749073</v>
      </c>
      <c r="V85" s="46">
        <f t="shared" ca="1" si="95"/>
        <v>11.501681366204032</v>
      </c>
      <c r="W85" s="68">
        <f t="shared" ref="W85:W124" ca="1" si="112">V85-O85</f>
        <v>-1.9094381245602783</v>
      </c>
      <c r="X85" s="46"/>
      <c r="Y85" s="46"/>
      <c r="Z85" s="12"/>
      <c r="AA85" s="12"/>
      <c r="AB85" s="12"/>
      <c r="AC85" s="12"/>
      <c r="AD85" s="12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9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</row>
    <row r="86" spans="1:137" s="9" customFormat="1" x14ac:dyDescent="0.25">
      <c r="A86" s="1"/>
      <c r="B86" s="37"/>
      <c r="C86" s="46">
        <f t="shared" ref="C86:C124" si="113">C85+0.25</f>
        <v>16.75</v>
      </c>
      <c r="D86" s="46">
        <f t="shared" ca="1" si="96"/>
        <v>0.55177094869444121</v>
      </c>
      <c r="E86" s="46">
        <f t="shared" ca="1" si="96"/>
        <v>4.1855553372137644E-2</v>
      </c>
      <c r="F86" s="46">
        <f t="shared" ref="F86:G86" ca="1" si="114">AVERAGE(D82:D90)</f>
        <v>0.41094856827728399</v>
      </c>
      <c r="G86" s="46">
        <f t="shared" ca="1" si="114"/>
        <v>0.30999382371333228</v>
      </c>
      <c r="H86" s="46">
        <f t="shared" ca="1" si="98"/>
        <v>0.37269104705863781</v>
      </c>
      <c r="I86" s="46">
        <f t="shared" ca="1" si="99"/>
        <v>0.19803230930757651</v>
      </c>
      <c r="J86" s="46">
        <f t="shared" ca="1" si="100"/>
        <v>2.0388691066614544</v>
      </c>
      <c r="K86" s="46">
        <f t="shared" ca="1" si="101"/>
        <v>-1.8997425281319891</v>
      </c>
      <c r="L86" s="12">
        <f t="shared" ca="1" si="102"/>
        <v>2.4116607319984364</v>
      </c>
      <c r="M86" s="12">
        <f t="shared" ca="1" si="103"/>
        <v>5.3509011515380385</v>
      </c>
      <c r="N86" s="46">
        <f t="shared" ca="1" si="104"/>
        <v>2.4116607319984364</v>
      </c>
      <c r="O86" s="12">
        <f t="shared" ca="1" si="105"/>
        <v>5.3509011515380385</v>
      </c>
      <c r="P86" s="67">
        <f t="shared" ca="1" si="106"/>
        <v>0.63765515814662477</v>
      </c>
      <c r="Q86" s="46">
        <f t="shared" ca="1" si="107"/>
        <v>3.5768955776862268</v>
      </c>
      <c r="R86" s="46">
        <f t="shared" ca="1" si="108"/>
        <v>2.2808259152634736</v>
      </c>
      <c r="S86" s="46">
        <f t="shared" ca="1" si="109"/>
        <v>0.40660410071099706</v>
      </c>
      <c r="T86" s="46">
        <f t="shared" ca="1" si="110"/>
        <v>0.30804228011414453</v>
      </c>
      <c r="U86" s="46">
        <f t="shared" ca="1" si="111"/>
        <v>48.568171443044896</v>
      </c>
      <c r="V86" s="46">
        <f t="shared" ca="1" si="95"/>
        <v>5.9059167189901096</v>
      </c>
      <c r="W86" s="68">
        <f t="shared" ca="1" si="112"/>
        <v>0.55501556745207115</v>
      </c>
      <c r="X86" s="46"/>
      <c r="Y86" s="46"/>
      <c r="Z86" s="12"/>
      <c r="AA86" s="12"/>
      <c r="AB86" s="12"/>
      <c r="AC86" s="12"/>
      <c r="AD86" s="12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9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</row>
    <row r="87" spans="1:137" s="9" customFormat="1" x14ac:dyDescent="0.25">
      <c r="A87" s="1"/>
      <c r="B87" s="37"/>
      <c r="C87" s="46">
        <f t="shared" si="113"/>
        <v>17</v>
      </c>
      <c r="D87" s="46">
        <f t="shared" ca="1" si="96"/>
        <v>0.33100967303136319</v>
      </c>
      <c r="E87" s="46">
        <f t="shared" ca="1" si="96"/>
        <v>0.84104776613615972</v>
      </c>
      <c r="F87" s="46">
        <f t="shared" ref="F87:G87" ca="1" si="115">AVERAGE(D83:D91)</f>
        <v>0.40470539202871458</v>
      </c>
      <c r="G87" s="46">
        <f t="shared" ca="1" si="115"/>
        <v>0.2802569073324499</v>
      </c>
      <c r="H87" s="46">
        <f t="shared" ca="1" si="98"/>
        <v>0.35857962702509028</v>
      </c>
      <c r="I87" s="46">
        <f t="shared" ca="1" si="99"/>
        <v>0.14470486917575789</v>
      </c>
      <c r="J87" s="46">
        <f t="shared" ca="1" si="100"/>
        <v>-1.5628719355385301</v>
      </c>
      <c r="K87" s="46">
        <f t="shared" ca="1" si="101"/>
        <v>1.5589009553297768</v>
      </c>
      <c r="L87" s="12">
        <f t="shared" ca="1" si="102"/>
        <v>1.331138419338441</v>
      </c>
      <c r="M87" s="12">
        <f t="shared" ca="1" si="103"/>
        <v>17.456153343654218</v>
      </c>
      <c r="N87" s="46">
        <f t="shared" ca="1" si="104"/>
        <v>1.331138419338441</v>
      </c>
      <c r="O87" s="12">
        <f t="shared" ca="1" si="105"/>
        <v>17.456153343654218</v>
      </c>
      <c r="P87" s="67">
        <f t="shared" ca="1" si="106"/>
        <v>-0.44286715451337066</v>
      </c>
      <c r="Q87" s="46">
        <f t="shared" ca="1" si="107"/>
        <v>15.682147769802407</v>
      </c>
      <c r="R87" s="46">
        <f t="shared" ca="1" si="108"/>
        <v>-6.9451081594705935</v>
      </c>
      <c r="S87" s="46">
        <f t="shared" ca="1" si="109"/>
        <v>0.19613131654676971</v>
      </c>
      <c r="T87" s="46">
        <f t="shared" ca="1" si="110"/>
        <v>0.46435427742410146</v>
      </c>
      <c r="U87" s="46">
        <f t="shared" ca="1" si="111"/>
        <v>26.380194480365969</v>
      </c>
      <c r="V87" s="46">
        <f t="shared" ca="1" si="95"/>
        <v>16.774717890053438</v>
      </c>
      <c r="W87" s="68">
        <f t="shared" ca="1" si="112"/>
        <v>-0.68143545360078051</v>
      </c>
      <c r="X87" s="46"/>
      <c r="Y87" s="46"/>
      <c r="Z87" s="12"/>
      <c r="AA87" s="12"/>
      <c r="AB87" s="12"/>
      <c r="AC87" s="12"/>
      <c r="AD87" s="12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9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</row>
    <row r="88" spans="1:137" s="9" customFormat="1" x14ac:dyDescent="0.25">
      <c r="A88" s="1"/>
      <c r="B88" s="37"/>
      <c r="C88" s="46">
        <f t="shared" si="113"/>
        <v>17.25</v>
      </c>
      <c r="D88" s="46">
        <f t="shared" ca="1" si="96"/>
        <v>6.4422260264256015E-2</v>
      </c>
      <c r="E88" s="46">
        <f t="shared" ca="1" si="96"/>
        <v>0.4115791342470958</v>
      </c>
      <c r="F88" s="46">
        <f t="shared" ref="F88:G88" ca="1" si="116">AVERAGE(D84:D92)</f>
        <v>0.48556435156730615</v>
      </c>
      <c r="G88" s="46">
        <f t="shared" ca="1" si="116"/>
        <v>0.34396744546969832</v>
      </c>
      <c r="H88" s="46">
        <f t="shared" ca="1" si="98"/>
        <v>0.54134472864882721</v>
      </c>
      <c r="I88" s="46">
        <f t="shared" ca="1" si="99"/>
        <v>0.25895746567107908</v>
      </c>
      <c r="J88" s="46">
        <f t="shared" ca="1" si="100"/>
        <v>-0.11045289353541149</v>
      </c>
      <c r="K88" s="46">
        <f t="shared" ca="1" si="101"/>
        <v>-0.25545711081026368</v>
      </c>
      <c r="L88" s="12">
        <f t="shared" ca="1" si="102"/>
        <v>1.7668641319393765</v>
      </c>
      <c r="M88" s="12">
        <f t="shared" ca="1" si="103"/>
        <v>11.105900112164077</v>
      </c>
      <c r="N88" s="46">
        <f t="shared" ca="1" si="104"/>
        <v>1.7668641319393765</v>
      </c>
      <c r="O88" s="12">
        <f t="shared" ca="1" si="105"/>
        <v>11.105900112164077</v>
      </c>
      <c r="P88" s="67">
        <f t="shared" ca="1" si="106"/>
        <v>-7.1414419124351536E-3</v>
      </c>
      <c r="Q88" s="46">
        <f t="shared" ca="1" si="107"/>
        <v>9.331894538312266</v>
      </c>
      <c r="R88" s="46">
        <f t="shared" ca="1" si="108"/>
        <v>-6.6643182778327911E-2</v>
      </c>
      <c r="S88" s="46">
        <f t="shared" ca="1" si="109"/>
        <v>5.1000192588685464E-5</v>
      </c>
      <c r="T88" s="46">
        <f t="shared" ca="1" si="110"/>
        <v>1.6535966913159355</v>
      </c>
      <c r="U88" s="46">
        <f t="shared" ca="1" si="111"/>
        <v>1.4740093892228685</v>
      </c>
      <c r="V88" s="46">
        <f t="shared" ca="1" si="95"/>
        <v>12.39182261811688</v>
      </c>
      <c r="W88" s="68">
        <f t="shared" ca="1" si="112"/>
        <v>1.2859225059528026</v>
      </c>
      <c r="X88" s="46"/>
      <c r="Y88" s="46"/>
      <c r="Z88" s="12"/>
      <c r="AA88" s="12"/>
      <c r="AB88" s="12"/>
      <c r="AC88" s="12"/>
      <c r="AD88" s="12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9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</row>
    <row r="89" spans="1:137" s="9" customFormat="1" ht="15.75" thickBot="1" x14ac:dyDescent="0.3">
      <c r="A89" s="1"/>
      <c r="B89" s="37"/>
      <c r="C89" s="46">
        <f t="shared" si="113"/>
        <v>17.5</v>
      </c>
      <c r="D89" s="46">
        <f t="shared" ca="1" si="96"/>
        <v>0.13364504300021385</v>
      </c>
      <c r="E89" s="46">
        <f t="shared" ca="1" si="96"/>
        <v>0.59659080228090733</v>
      </c>
      <c r="F89" s="46">
        <f t="shared" ref="F89:G89" ca="1" si="117">AVERAGE(D85:D93)</f>
        <v>0.47895066628937794</v>
      </c>
      <c r="G89" s="46">
        <f t="shared" ca="1" si="117"/>
        <v>0.354829378137059</v>
      </c>
      <c r="H89" s="46">
        <f t="shared" ca="1" si="98"/>
        <v>0.52639584891026148</v>
      </c>
      <c r="I89" s="46">
        <f t="shared" ca="1" si="99"/>
        <v>0.27843625279935408</v>
      </c>
      <c r="J89" s="46">
        <f t="shared" ca="1" si="100"/>
        <v>0.11352468163749685</v>
      </c>
      <c r="K89" s="46">
        <f t="shared" ca="1" si="101"/>
        <v>0.27738407970425827</v>
      </c>
      <c r="L89" s="12">
        <f t="shared" ca="1" si="102"/>
        <v>1.834057404491249</v>
      </c>
      <c r="M89" s="12">
        <f t="shared" ca="1" si="103"/>
        <v>12.970844278964904</v>
      </c>
      <c r="N89" s="46">
        <f t="shared" ca="1" si="104"/>
        <v>1.834057404491249</v>
      </c>
      <c r="O89" s="12">
        <f t="shared" ca="1" si="105"/>
        <v>12.970844278964904</v>
      </c>
      <c r="P89" s="67">
        <f t="shared" ca="1" si="106"/>
        <v>6.0051830639437309E-2</v>
      </c>
      <c r="Q89" s="46">
        <f t="shared" ca="1" si="107"/>
        <v>11.196838705113093</v>
      </c>
      <c r="R89" s="46">
        <f t="shared" ca="1" si="108"/>
        <v>0.67239066161654804</v>
      </c>
      <c r="S89" s="46">
        <f t="shared" ca="1" si="109"/>
        <v>3.6062223631476618E-3</v>
      </c>
      <c r="T89" s="46">
        <f t="shared" ca="1" si="110"/>
        <v>1.5747942025672874</v>
      </c>
      <c r="U89" s="46">
        <f t="shared" ca="1" si="111"/>
        <v>0.42361390131844645</v>
      </c>
      <c r="V89" s="46">
        <f t="shared" ca="1" si="95"/>
        <v>11.715936233502095</v>
      </c>
      <c r="W89" s="68">
        <f t="shared" ca="1" si="112"/>
        <v>-1.254908045462809</v>
      </c>
      <c r="X89" s="46"/>
      <c r="Y89" s="46"/>
      <c r="Z89" s="12"/>
      <c r="AA89" s="12"/>
      <c r="AB89" s="12"/>
      <c r="AC89" s="12"/>
      <c r="AD89" s="12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9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</row>
    <row r="90" spans="1:137" s="9" customFormat="1" ht="19.5" thickBot="1" x14ac:dyDescent="0.35">
      <c r="A90" s="1"/>
      <c r="B90" s="37"/>
      <c r="C90" s="46">
        <f t="shared" si="113"/>
        <v>17.75</v>
      </c>
      <c r="D90" s="46">
        <f t="shared" ca="1" si="96"/>
        <v>0.93631674231539674</v>
      </c>
      <c r="E90" s="46">
        <f t="shared" ca="1" si="96"/>
        <v>9.2924259913531704E-2</v>
      </c>
      <c r="F90" s="46">
        <f t="shared" ref="F90:G90" ca="1" si="118">AVERAGE(D86:D94)</f>
        <v>0.46574316134432436</v>
      </c>
      <c r="G90" s="46">
        <f t="shared" ca="1" si="118"/>
        <v>0.39948428322102497</v>
      </c>
      <c r="H90" s="46">
        <f t="shared" ca="1" si="98"/>
        <v>0.49654299157381926</v>
      </c>
      <c r="I90" s="46">
        <f t="shared" ca="1" si="99"/>
        <v>0.35851623644514247</v>
      </c>
      <c r="J90" s="46">
        <f t="shared" ca="1" si="100"/>
        <v>-0.31320876221301946</v>
      </c>
      <c r="K90" s="46">
        <f t="shared" ca="1" si="101"/>
        <v>-0.23341288629981721</v>
      </c>
      <c r="L90" s="12">
        <f t="shared" ca="1" si="102"/>
        <v>1.7060373713360941</v>
      </c>
      <c r="M90" s="12">
        <f t="shared" ca="1" si="103"/>
        <v>11.18305489795064</v>
      </c>
      <c r="N90" s="46">
        <f t="shared" ca="1" si="104"/>
        <v>1.7060373713360941</v>
      </c>
      <c r="O90" s="12">
        <f t="shared" ca="1" si="105"/>
        <v>11.18305489795064</v>
      </c>
      <c r="P90" s="67">
        <f t="shared" ca="1" si="106"/>
        <v>-6.7968202515717557E-2</v>
      </c>
      <c r="Q90" s="46">
        <f t="shared" ca="1" si="107"/>
        <v>9.4090493240988291</v>
      </c>
      <c r="R90" s="46">
        <f t="shared" ca="1" si="108"/>
        <v>-0.63951616994072458</v>
      </c>
      <c r="S90" s="46">
        <f t="shared" ca="1" si="109"/>
        <v>4.6196765532175946E-3</v>
      </c>
      <c r="T90" s="46">
        <f t="shared" ca="1" si="110"/>
        <v>3.3146367172931592</v>
      </c>
      <c r="U90" s="46">
        <f t="shared" ca="1" si="111"/>
        <v>1.2926168690146662</v>
      </c>
      <c r="V90" s="46">
        <f t="shared" ca="1" si="95"/>
        <v>13.003669277025232</v>
      </c>
      <c r="W90" s="68">
        <f t="shared" ca="1" si="112"/>
        <v>1.8206143790745912</v>
      </c>
      <c r="X90" s="46"/>
      <c r="Y90" s="46"/>
      <c r="Z90" s="138" t="s">
        <v>36</v>
      </c>
      <c r="AA90" s="139"/>
      <c r="AB90" s="139"/>
      <c r="AC90" s="139"/>
      <c r="AD90" s="139"/>
      <c r="AE90" s="134"/>
      <c r="AF90" s="134"/>
      <c r="AG90" s="135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9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</row>
    <row r="91" spans="1:137" s="9" customFormat="1" x14ac:dyDescent="0.25">
      <c r="A91" s="1"/>
      <c r="B91" s="37"/>
      <c r="C91" s="46">
        <f t="shared" si="113"/>
        <v>18</v>
      </c>
      <c r="D91" s="46">
        <f t="shared" ca="1" si="96"/>
        <v>0.79233520621735598</v>
      </c>
      <c r="E91" s="46">
        <f t="shared" ca="1" si="96"/>
        <v>8.8100240262746876E-2</v>
      </c>
      <c r="F91" s="46">
        <f t="shared" ref="F91:G91" ca="1" si="119">AVERAGE(D87:D95)</f>
        <v>0.42273433720798653</v>
      </c>
      <c r="G91" s="46">
        <f t="shared" ca="1" si="119"/>
        <v>0.50145903199844555</v>
      </c>
      <c r="H91" s="46">
        <f t="shared" ca="1" si="98"/>
        <v>0.39933036159626401</v>
      </c>
      <c r="I91" s="46">
        <f t="shared" ca="1" si="99"/>
        <v>0.54138833524423713</v>
      </c>
      <c r="J91" s="46">
        <f t="shared" ca="1" si="100"/>
        <v>0.44250462334116958</v>
      </c>
      <c r="K91" s="46">
        <f t="shared" ca="1" si="101"/>
        <v>0.20575320533071895</v>
      </c>
      <c r="L91" s="12">
        <f t="shared" ca="1" si="102"/>
        <v>1.9327513870023509</v>
      </c>
      <c r="M91" s="12">
        <f t="shared" ca="1" si="103"/>
        <v>12.720136218657517</v>
      </c>
      <c r="N91" s="46">
        <f t="shared" ca="1" si="104"/>
        <v>1.9327513870023509</v>
      </c>
      <c r="O91" s="12">
        <f t="shared" ca="1" si="105"/>
        <v>12.720136218657517</v>
      </c>
      <c r="P91" s="67">
        <f t="shared" ca="1" si="106"/>
        <v>0.15874581315053926</v>
      </c>
      <c r="Q91" s="46">
        <f t="shared" ca="1" si="107"/>
        <v>10.946130644805706</v>
      </c>
      <c r="R91" s="46">
        <f t="shared" ca="1" si="108"/>
        <v>1.7376524100617183</v>
      </c>
      <c r="S91" s="46">
        <f t="shared" ca="1" si="109"/>
        <v>2.5200233192825924E-2</v>
      </c>
      <c r="T91" s="46">
        <f t="shared" ca="1" si="110"/>
        <v>3.9877972185238044</v>
      </c>
      <c r="U91" s="46">
        <f t="shared" ca="1" si="111"/>
        <v>0.16011860024570823</v>
      </c>
      <c r="V91" s="46">
        <f t="shared" ca="1" si="95"/>
        <v>10.72318924426791</v>
      </c>
      <c r="W91" s="68">
        <f t="shared" ca="1" si="112"/>
        <v>-1.9969469743896067</v>
      </c>
      <c r="X91" s="46"/>
      <c r="Y91" s="46"/>
      <c r="Z91" s="12"/>
      <c r="AA91" s="12"/>
      <c r="AB91" s="12"/>
      <c r="AC91" s="12"/>
      <c r="AD91" s="1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9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</row>
    <row r="92" spans="1:137" s="9" customFormat="1" ht="18" x14ac:dyDescent="0.35">
      <c r="A92" s="1"/>
      <c r="B92" s="37"/>
      <c r="C92" s="46">
        <f t="shared" si="113"/>
        <v>18.25</v>
      </c>
      <c r="D92" s="46">
        <f t="shared" ca="1" si="96"/>
        <v>0.78718620898030633</v>
      </c>
      <c r="E92" s="46">
        <f t="shared" ca="1" si="96"/>
        <v>0.7330333814992217</v>
      </c>
      <c r="F92" s="46">
        <f t="shared" ref="F92:G92" ca="1" si="120">AVERAGE(D88:D96)</f>
        <v>0.46205107656340932</v>
      </c>
      <c r="G92" s="46">
        <f t="shared" ca="1" si="120"/>
        <v>0.41908834828886959</v>
      </c>
      <c r="H92" s="46">
        <f t="shared" ca="1" si="98"/>
        <v>0.48819779081885117</v>
      </c>
      <c r="I92" s="46">
        <f t="shared" ca="1" si="99"/>
        <v>0.39367235663108957</v>
      </c>
      <c r="J92" s="46">
        <f t="shared" ca="1" si="100"/>
        <v>-0.8055330536533355</v>
      </c>
      <c r="K92" s="46">
        <f t="shared" ca="1" si="101"/>
        <v>0.95443231447951893</v>
      </c>
      <c r="L92" s="12">
        <f t="shared" ca="1" si="102"/>
        <v>1.5583400839039994</v>
      </c>
      <c r="M92" s="12">
        <f t="shared" ca="1" si="103"/>
        <v>15.340513100678317</v>
      </c>
      <c r="N92" s="46">
        <f t="shared" ca="1" si="104"/>
        <v>1.5583400839039994</v>
      </c>
      <c r="O92" s="12">
        <f t="shared" ca="1" si="105"/>
        <v>15.340513100678317</v>
      </c>
      <c r="P92" s="67">
        <f t="shared" ca="1" si="106"/>
        <v>-0.21566548994781232</v>
      </c>
      <c r="Q92" s="46">
        <f t="shared" ca="1" si="107"/>
        <v>13.566507526826506</v>
      </c>
      <c r="R92" s="46">
        <f t="shared" ca="1" si="108"/>
        <v>-2.9258274926537218</v>
      </c>
      <c r="S92" s="46">
        <f t="shared" ca="1" si="109"/>
        <v>4.6511603554429938E-2</v>
      </c>
      <c r="T92" s="46">
        <f t="shared" ca="1" si="110"/>
        <v>0.72450811707237539</v>
      </c>
      <c r="U92" s="46">
        <f t="shared" ca="1" si="111"/>
        <v>9.1235719091222602</v>
      </c>
      <c r="V92" s="46">
        <f t="shared" ca="1" si="95"/>
        <v>14.489332674991509</v>
      </c>
      <c r="W92" s="68">
        <f t="shared" ca="1" si="112"/>
        <v>-0.85118042568680785</v>
      </c>
      <c r="X92" s="46"/>
      <c r="Y92" s="46"/>
      <c r="Z92" s="57" t="s">
        <v>81</v>
      </c>
      <c r="AA92" s="12"/>
      <c r="AB92" s="12"/>
      <c r="AC92" s="12"/>
      <c r="AD92" s="12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9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</row>
    <row r="93" spans="1:137" s="9" customFormat="1" x14ac:dyDescent="0.25">
      <c r="A93" s="1"/>
      <c r="B93" s="37"/>
      <c r="C93" s="46">
        <f t="shared" si="113"/>
        <v>18.5</v>
      </c>
      <c r="D93" s="46">
        <f t="shared" ca="1" si="96"/>
        <v>3.8504293990181293E-2</v>
      </c>
      <c r="E93" s="46">
        <f t="shared" ca="1" si="96"/>
        <v>0.2933309471950355</v>
      </c>
      <c r="F93" s="46">
        <f t="shared" ref="F93:G93" ca="1" si="121">AVERAGE(D89:D97)</f>
        <v>0.48971714765233837</v>
      </c>
      <c r="G93" s="46">
        <f t="shared" ca="1" si="121"/>
        <v>0.45046147250485347</v>
      </c>
      <c r="H93" s="46">
        <f t="shared" ca="1" si="98"/>
        <v>0.55073127285907431</v>
      </c>
      <c r="I93" s="46">
        <f t="shared" ca="1" si="99"/>
        <v>0.44993402081801853</v>
      </c>
      <c r="J93" s="46">
        <f t="shared" ca="1" si="100"/>
        <v>-9.8149159837027836E-2</v>
      </c>
      <c r="K93" s="46">
        <f t="shared" ca="1" si="101"/>
        <v>0.35143506724901841</v>
      </c>
      <c r="L93" s="12">
        <f t="shared" ca="1" si="102"/>
        <v>1.7705552520488916</v>
      </c>
      <c r="M93" s="12">
        <f t="shared" ca="1" si="103"/>
        <v>13.230022735371564</v>
      </c>
      <c r="N93" s="46">
        <f t="shared" ca="1" si="104"/>
        <v>1.7705552520488916</v>
      </c>
      <c r="O93" s="12">
        <f t="shared" ca="1" si="105"/>
        <v>13.230022735371564</v>
      </c>
      <c r="P93" s="67">
        <f t="shared" ca="1" si="106"/>
        <v>-3.4503218029200422E-3</v>
      </c>
      <c r="Q93" s="46">
        <f t="shared" ca="1" si="107"/>
        <v>11.456017161519753</v>
      </c>
      <c r="R93" s="46">
        <f t="shared" ca="1" si="108"/>
        <v>-3.9526945787017778E-2</v>
      </c>
      <c r="S93" s="46">
        <f t="shared" ca="1" si="109"/>
        <v>1.190472054370541E-5</v>
      </c>
      <c r="T93" s="46">
        <f t="shared" ca="1" si="110"/>
        <v>0.76619999033200148</v>
      </c>
      <c r="U93" s="46">
        <f t="shared" ca="1" si="111"/>
        <v>0.82816322720361291</v>
      </c>
      <c r="V93" s="46">
        <f t="shared" ca="1" si="95"/>
        <v>12.354694231133298</v>
      </c>
      <c r="W93" s="68">
        <f t="shared" ca="1" si="112"/>
        <v>-0.8753285042382668</v>
      </c>
      <c r="X93" s="46"/>
      <c r="Y93" s="46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9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</row>
    <row r="94" spans="1:137" s="9" customFormat="1" ht="15.75" thickBot="1" x14ac:dyDescent="0.3">
      <c r="A94" s="1"/>
      <c r="B94" s="37"/>
      <c r="C94" s="46">
        <f t="shared" si="113"/>
        <v>18.75</v>
      </c>
      <c r="D94" s="46">
        <f t="shared" ca="1" si="96"/>
        <v>0.55649807560540543</v>
      </c>
      <c r="E94" s="46">
        <f t="shared" ca="1" si="96"/>
        <v>0.49689646408238841</v>
      </c>
      <c r="F94" s="46">
        <f t="shared" ref="F94:G94" ca="1" si="122">AVERAGE(D90:D98)</f>
        <v>0.49895654076669665</v>
      </c>
      <c r="G94" s="46">
        <f t="shared" ca="1" si="122"/>
        <v>0.38870251541159884</v>
      </c>
      <c r="H94" s="46">
        <f t="shared" ca="1" si="98"/>
        <v>0.57161502688118004</v>
      </c>
      <c r="I94" s="46">
        <f t="shared" ca="1" si="99"/>
        <v>0.33918120957120673</v>
      </c>
      <c r="J94" s="46">
        <f t="shared" ca="1" si="100"/>
        <v>0.27044456334609795</v>
      </c>
      <c r="K94" s="46">
        <f t="shared" ca="1" si="101"/>
        <v>0.16528979899575436</v>
      </c>
      <c r="L94" s="12">
        <f t="shared" ca="1" si="102"/>
        <v>1.8811333690038294</v>
      </c>
      <c r="M94" s="12">
        <f t="shared" ca="1" si="103"/>
        <v>12.578514296485141</v>
      </c>
      <c r="N94" s="46">
        <f t="shared" ca="1" si="104"/>
        <v>1.8811333690038294</v>
      </c>
      <c r="O94" s="12">
        <f t="shared" ca="1" si="105"/>
        <v>12.578514296485141</v>
      </c>
      <c r="P94" s="67">
        <f t="shared" ca="1" si="106"/>
        <v>0.10712779515201776</v>
      </c>
      <c r="Q94" s="46">
        <f t="shared" ca="1" si="107"/>
        <v>10.804508722633329</v>
      </c>
      <c r="R94" s="46">
        <f t="shared" ca="1" si="108"/>
        <v>1.1574631971564524</v>
      </c>
      <c r="S94" s="46">
        <f t="shared" ca="1" si="109"/>
        <v>1.1476364494132679E-2</v>
      </c>
      <c r="T94" s="46">
        <f t="shared" ca="1" si="110"/>
        <v>1.7851836863853716</v>
      </c>
      <c r="U94" s="46">
        <f t="shared" ca="1" si="111"/>
        <v>6.6835848139275636E-2</v>
      </c>
      <c r="V94" s="46">
        <f t="shared" ca="1" si="95"/>
        <v>11.242406633762794</v>
      </c>
      <c r="W94" s="68">
        <f t="shared" ca="1" si="112"/>
        <v>-1.3361076627223465</v>
      </c>
      <c r="X94" s="46"/>
      <c r="Y94" s="46"/>
      <c r="Z94" s="12"/>
      <c r="AA94" s="12"/>
      <c r="AB94" s="12"/>
      <c r="AC94" s="12"/>
      <c r="AD94" s="12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9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</row>
    <row r="95" spans="1:137" s="9" customFormat="1" ht="15.75" thickBot="1" x14ac:dyDescent="0.3">
      <c r="A95" s="1"/>
      <c r="B95" s="37"/>
      <c r="C95" s="46">
        <f t="shared" si="113"/>
        <v>19</v>
      </c>
      <c r="D95" s="46">
        <f t="shared" ca="1" si="96"/>
        <v>0.16469153146739968</v>
      </c>
      <c r="E95" s="46">
        <f t="shared" ca="1" si="96"/>
        <v>0.95962829236892255</v>
      </c>
      <c r="F95" s="46">
        <f t="shared" ref="F95:G95" ca="1" si="123">AVERAGE(D91:D99)</f>
        <v>0.43279339698136138</v>
      </c>
      <c r="G95" s="46">
        <f t="shared" ca="1" si="123"/>
        <v>0.38847292738254535</v>
      </c>
      <c r="H95" s="46">
        <f t="shared" ca="1" si="98"/>
        <v>0.42206680406610142</v>
      </c>
      <c r="I95" s="46">
        <f t="shared" ca="1" si="99"/>
        <v>0.33876948759850739</v>
      </c>
      <c r="J95" s="46">
        <f t="shared" ca="1" si="100"/>
        <v>-0.1274124879937005</v>
      </c>
      <c r="K95" s="46">
        <f t="shared" ca="1" si="101"/>
        <v>0.79547512150832267</v>
      </c>
      <c r="L95" s="12">
        <f t="shared" ca="1" si="102"/>
        <v>1.7617762536018899</v>
      </c>
      <c r="M95" s="12">
        <f t="shared" ca="1" si="103"/>
        <v>14.78416292527913</v>
      </c>
      <c r="N95" s="46">
        <f t="shared" ca="1" si="104"/>
        <v>1.7617762536018899</v>
      </c>
      <c r="O95" s="12">
        <f t="shared" ca="1" si="105"/>
        <v>14.78416292527913</v>
      </c>
      <c r="P95" s="67">
        <f t="shared" ca="1" si="106"/>
        <v>-1.2229320249921738E-2</v>
      </c>
      <c r="Q95" s="46">
        <f t="shared" ca="1" si="107"/>
        <v>13.010157351427319</v>
      </c>
      <c r="R95" s="46">
        <f t="shared" ca="1" si="108"/>
        <v>-0.15910538075247826</v>
      </c>
      <c r="S95" s="46">
        <f t="shared" ca="1" si="109"/>
        <v>1.4955627377514588E-4</v>
      </c>
      <c r="T95" s="46">
        <f t="shared" ca="1" si="110"/>
        <v>5.4810402243011485</v>
      </c>
      <c r="U95" s="46">
        <f t="shared" ca="1" si="111"/>
        <v>6.0721580830099171</v>
      </c>
      <c r="V95" s="46">
        <f t="shared" ca="1" si="95"/>
        <v>12.44300077277855</v>
      </c>
      <c r="W95" s="68">
        <f t="shared" ca="1" si="112"/>
        <v>-2.3411621525005799</v>
      </c>
      <c r="X95" s="46"/>
      <c r="Y95" s="46"/>
      <c r="Z95" s="59" t="s">
        <v>39</v>
      </c>
      <c r="AA95" s="106">
        <f ca="1">SUM(R20:R124)/SUM(S20:S124)</f>
        <v>-10.058840103270855</v>
      </c>
      <c r="AB95" s="59" t="s">
        <v>40</v>
      </c>
      <c r="AC95" s="106">
        <f ca="1">O14-AA95*O11</f>
        <v>30.164426405499526</v>
      </c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9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</row>
    <row r="96" spans="1:137" s="9" customFormat="1" x14ac:dyDescent="0.25">
      <c r="A96" s="1"/>
      <c r="B96" s="37"/>
      <c r="C96" s="46">
        <f t="shared" si="113"/>
        <v>19.25</v>
      </c>
      <c r="D96" s="46">
        <f t="shared" ca="1" si="96"/>
        <v>0.68486032723016887</v>
      </c>
      <c r="E96" s="46">
        <f t="shared" ca="1" si="96"/>
        <v>9.9711612749976419E-2</v>
      </c>
      <c r="F96" s="46">
        <f t="shared" ref="F96:G96" ca="1" si="124">AVERAGE(D92:D100)</f>
        <v>0.38084331922500125</v>
      </c>
      <c r="G96" s="46">
        <f t="shared" ca="1" si="124"/>
        <v>0.39276169653228582</v>
      </c>
      <c r="H96" s="46">
        <f t="shared" ca="1" si="98"/>
        <v>0.30464430327358655</v>
      </c>
      <c r="I96" s="46">
        <f t="shared" ca="1" si="99"/>
        <v>0.34646057019572685</v>
      </c>
      <c r="J96" s="46">
        <f t="shared" ca="1" si="100"/>
        <v>-0.23801595416609153</v>
      </c>
      <c r="K96" s="46">
        <f t="shared" ca="1" si="101"/>
        <v>-0.54685225250036051</v>
      </c>
      <c r="L96" s="12">
        <f t="shared" ca="1" si="102"/>
        <v>1.7285952137501726</v>
      </c>
      <c r="M96" s="12">
        <f t="shared" ca="1" si="103"/>
        <v>10.086017116248739</v>
      </c>
      <c r="N96" s="46">
        <f t="shared" ca="1" si="104"/>
        <v>1.7285952137501726</v>
      </c>
      <c r="O96" s="12">
        <f t="shared" ca="1" si="105"/>
        <v>10.086017116248739</v>
      </c>
      <c r="P96" s="67">
        <f t="shared" ca="1" si="106"/>
        <v>-4.5410360101639125E-2</v>
      </c>
      <c r="Q96" s="46">
        <f t="shared" ca="1" si="107"/>
        <v>8.3120115423969274</v>
      </c>
      <c r="R96" s="46">
        <f t="shared" ca="1" si="108"/>
        <v>-0.37745143730922531</v>
      </c>
      <c r="S96" s="46">
        <f t="shared" ca="1" si="109"/>
        <v>2.0621008045605383E-3</v>
      </c>
      <c r="T96" s="46">
        <f t="shared" ca="1" si="110"/>
        <v>7.2401163551777268</v>
      </c>
      <c r="U96" s="46">
        <f t="shared" ca="1" si="111"/>
        <v>4.9906258907406569</v>
      </c>
      <c r="V96" s="46">
        <f t="shared" ca="1" si="95"/>
        <v>12.776763547107233</v>
      </c>
      <c r="W96" s="68">
        <f t="shared" ca="1" si="112"/>
        <v>2.6907464308584945</v>
      </c>
      <c r="X96" s="46"/>
      <c r="Y96" s="46"/>
      <c r="Z96" s="12"/>
      <c r="AA96" s="12"/>
      <c r="AB96" s="12"/>
      <c r="AC96" s="12"/>
      <c r="AD96" s="12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9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</row>
    <row r="97" spans="1:137" s="9" customFormat="1" x14ac:dyDescent="0.25">
      <c r="A97" s="1"/>
      <c r="B97" s="37"/>
      <c r="C97" s="46">
        <f t="shared" si="113"/>
        <v>19.5</v>
      </c>
      <c r="D97" s="46">
        <f t="shared" ca="1" si="96"/>
        <v>0.3134169000646172</v>
      </c>
      <c r="E97" s="46">
        <f t="shared" ca="1" si="96"/>
        <v>0.6939372521909507</v>
      </c>
      <c r="F97" s="46">
        <f t="shared" ref="F97:G97" ca="1" si="125">AVERAGE(D93:D101)</f>
        <v>0.29995312816635411</v>
      </c>
      <c r="G97" s="46">
        <f t="shared" ca="1" si="125"/>
        <v>0.31367981490948105</v>
      </c>
      <c r="H97" s="46">
        <f t="shared" ca="1" si="98"/>
        <v>0.1218086092013517</v>
      </c>
      <c r="I97" s="46">
        <f t="shared" ca="1" si="99"/>
        <v>0.20464242557926243</v>
      </c>
      <c r="J97" s="46">
        <f t="shared" ca="1" si="100"/>
        <v>-1.1242329912008031</v>
      </c>
      <c r="K97" s="46">
        <f t="shared" ca="1" si="101"/>
        <v>1.5239363638165666</v>
      </c>
      <c r="L97" s="12">
        <f t="shared" ca="1" si="102"/>
        <v>1.462730102639759</v>
      </c>
      <c r="M97" s="12">
        <f t="shared" ca="1" si="103"/>
        <v>17.333777273357981</v>
      </c>
      <c r="N97" s="46">
        <f t="shared" ca="1" si="104"/>
        <v>1.462730102639759</v>
      </c>
      <c r="O97" s="12">
        <f t="shared" ca="1" si="105"/>
        <v>17.333777273357981</v>
      </c>
      <c r="P97" s="67">
        <f t="shared" ca="1" si="106"/>
        <v>-0.31127547121205268</v>
      </c>
      <c r="Q97" s="46">
        <f t="shared" ca="1" si="107"/>
        <v>15.55977169950617</v>
      </c>
      <c r="R97" s="46">
        <f t="shared" ca="1" si="108"/>
        <v>-4.8433752677157447</v>
      </c>
      <c r="S97" s="46">
        <f t="shared" ca="1" si="109"/>
        <v>9.6892418978285433E-2</v>
      </c>
      <c r="T97" s="46">
        <f t="shared" ca="1" si="110"/>
        <v>3.5446311513391731</v>
      </c>
      <c r="U97" s="46">
        <f t="shared" ca="1" si="111"/>
        <v>25.138082919626061</v>
      </c>
      <c r="V97" s="46">
        <f t="shared" ca="1" si="95"/>
        <v>15.451058188805224</v>
      </c>
      <c r="W97" s="68">
        <f t="shared" ca="1" si="112"/>
        <v>-1.8827190845527575</v>
      </c>
      <c r="X97" s="46"/>
      <c r="Y97" s="46"/>
      <c r="Z97" s="59" t="s">
        <v>43</v>
      </c>
      <c r="AA97" s="12" t="s">
        <v>0</v>
      </c>
      <c r="AB97" s="12" t="s">
        <v>42</v>
      </c>
      <c r="AC97" s="12"/>
      <c r="AD97" s="12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9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</row>
    <row r="98" spans="1:137" s="9" customFormat="1" x14ac:dyDescent="0.25">
      <c r="A98" s="1"/>
      <c r="B98" s="37"/>
      <c r="C98" s="46">
        <f t="shared" si="113"/>
        <v>19.75</v>
      </c>
      <c r="D98" s="46">
        <f t="shared" ca="1" si="96"/>
        <v>0.21679958102943886</v>
      </c>
      <c r="E98" s="46">
        <f t="shared" ca="1" si="96"/>
        <v>4.0760188441615219E-2</v>
      </c>
      <c r="F98" s="46">
        <f t="shared" ref="F98:G98" ca="1" si="126">AVERAGE(D94:D102)</f>
        <v>0.34966954778417075</v>
      </c>
      <c r="G98" s="46">
        <f t="shared" ca="1" si="126"/>
        <v>0.35202444470917149</v>
      </c>
      <c r="H98" s="46">
        <f t="shared" ca="1" si="98"/>
        <v>0.23418238368062791</v>
      </c>
      <c r="I98" s="46">
        <f t="shared" ca="1" si="99"/>
        <v>0.2734061441783549</v>
      </c>
      <c r="J98" s="46">
        <f t="shared" ca="1" si="100"/>
        <v>-0.69592378345146977</v>
      </c>
      <c r="K98" s="46">
        <f t="shared" ca="1" si="101"/>
        <v>1.1290788888075167</v>
      </c>
      <c r="L98" s="12">
        <f t="shared" ca="1" si="102"/>
        <v>1.5912228649645592</v>
      </c>
      <c r="M98" s="12">
        <f t="shared" ca="1" si="103"/>
        <v>15.951776110826309</v>
      </c>
      <c r="N98" s="46">
        <f t="shared" ca="1" si="104"/>
        <v>1.5912228649645592</v>
      </c>
      <c r="O98" s="12">
        <f t="shared" ca="1" si="105"/>
        <v>15.951776110826309</v>
      </c>
      <c r="P98" s="67">
        <f t="shared" ca="1" si="106"/>
        <v>-0.18278270888725245</v>
      </c>
      <c r="Q98" s="46">
        <f t="shared" ca="1" si="107"/>
        <v>14.177770536974498</v>
      </c>
      <c r="R98" s="46">
        <f t="shared" ca="1" si="108"/>
        <v>-2.5914513047300747</v>
      </c>
      <c r="S98" s="46">
        <f t="shared" ca="1" si="109"/>
        <v>3.340951866816208E-2</v>
      </c>
      <c r="T98" s="46">
        <f t="shared" ca="1" si="110"/>
        <v>3.2155880190743242</v>
      </c>
      <c r="U98" s="46">
        <f t="shared" ca="1" si="111"/>
        <v>13.189884912352674</v>
      </c>
      <c r="V98" s="46">
        <f t="shared" ca="1" si="95"/>
        <v>14.158570038152472</v>
      </c>
      <c r="W98" s="68">
        <f t="shared" ca="1" si="112"/>
        <v>-1.7932060726738364</v>
      </c>
      <c r="X98" s="46"/>
      <c r="Y98" s="46"/>
      <c r="Z98" s="98" t="s">
        <v>82</v>
      </c>
      <c r="AA98" s="12">
        <v>0</v>
      </c>
      <c r="AB98" s="12">
        <f ca="1">AC95</f>
        <v>30.164426405499526</v>
      </c>
      <c r="AC98" s="12"/>
      <c r="AD98" s="12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9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</row>
    <row r="99" spans="1:137" s="9" customFormat="1" x14ac:dyDescent="0.25">
      <c r="A99" s="1"/>
      <c r="B99" s="37"/>
      <c r="C99" s="46">
        <f t="shared" si="113"/>
        <v>20</v>
      </c>
      <c r="D99" s="46">
        <f t="shared" ca="1" si="96"/>
        <v>0.34084844824737892</v>
      </c>
      <c r="E99" s="46">
        <f t="shared" ca="1" si="96"/>
        <v>9.0857967652050231E-2</v>
      </c>
      <c r="F99" s="46">
        <f t="shared" ref="F99:G99" ca="1" si="127">AVERAGE(D95:D103)</f>
        <v>0.29890167507803889</v>
      </c>
      <c r="G99" s="46">
        <f t="shared" ca="1" si="127"/>
        <v>0.35001102492975911</v>
      </c>
      <c r="H99" s="46">
        <f t="shared" ca="1" si="98"/>
        <v>0.11943201504734446</v>
      </c>
      <c r="I99" s="46">
        <f t="shared" ca="1" si="99"/>
        <v>0.26979546305151619</v>
      </c>
      <c r="J99" s="46">
        <f t="shared" ca="1" si="100"/>
        <v>-0.79546613587830428</v>
      </c>
      <c r="K99" s="46">
        <f t="shared" ca="1" si="101"/>
        <v>0.15872381488061682</v>
      </c>
      <c r="L99" s="12">
        <f t="shared" ca="1" si="102"/>
        <v>1.5613601592365087</v>
      </c>
      <c r="M99" s="12">
        <f t="shared" ca="1" si="103"/>
        <v>12.555533352082159</v>
      </c>
      <c r="N99" s="46">
        <f t="shared" ca="1" si="104"/>
        <v>1.5613601592365087</v>
      </c>
      <c r="O99" s="12">
        <f t="shared" ca="1" si="105"/>
        <v>12.555533352082159</v>
      </c>
      <c r="P99" s="67">
        <f t="shared" ca="1" si="106"/>
        <v>-0.21264541461530295</v>
      </c>
      <c r="Q99" s="46">
        <f t="shared" ca="1" si="107"/>
        <v>10.781527778230348</v>
      </c>
      <c r="R99" s="46">
        <f t="shared" ca="1" si="108"/>
        <v>-2.2926424445881985</v>
      </c>
      <c r="S99" s="46">
        <f t="shared" ca="1" si="109"/>
        <v>4.52180723569141E-2</v>
      </c>
      <c r="T99" s="46">
        <f t="shared" ca="1" si="110"/>
        <v>3.6230110008894014</v>
      </c>
      <c r="U99" s="46">
        <f t="shared" ca="1" si="111"/>
        <v>5.5481614860014079E-2</v>
      </c>
      <c r="V99" s="46">
        <f t="shared" ca="1" si="95"/>
        <v>14.458954220121964</v>
      </c>
      <c r="W99" s="68">
        <f t="shared" ca="1" si="112"/>
        <v>1.9034208680398041</v>
      </c>
      <c r="X99" s="46"/>
      <c r="Y99" s="46"/>
      <c r="Z99" s="12"/>
      <c r="AA99" s="12">
        <v>30</v>
      </c>
      <c r="AB99" s="12">
        <f ca="1">AC95+AA95*AA99</f>
        <v>-271.60077669262614</v>
      </c>
      <c r="AC99" s="12"/>
      <c r="AD99" s="12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9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</row>
    <row r="100" spans="1:137" s="9" customFormat="1" x14ac:dyDescent="0.25">
      <c r="A100" s="1"/>
      <c r="B100" s="37"/>
      <c r="C100" s="46">
        <f t="shared" si="113"/>
        <v>20.25</v>
      </c>
      <c r="D100" s="46">
        <f t="shared" ca="1" si="96"/>
        <v>0.32478450641011458</v>
      </c>
      <c r="E100" s="46">
        <f t="shared" ca="1" si="96"/>
        <v>0.12669916261041148</v>
      </c>
      <c r="F100" s="46">
        <f t="shared" ref="F100:G100" ca="1" si="128">AVERAGE(D96:D104)</f>
        <v>0.2893098019105334</v>
      </c>
      <c r="G100" s="46">
        <f t="shared" ca="1" si="128"/>
        <v>0.31315512368999626</v>
      </c>
      <c r="H100" s="46">
        <f t="shared" ca="1" si="98"/>
        <v>9.7751552124933846E-2</v>
      </c>
      <c r="I100" s="46">
        <f t="shared" ca="1" si="99"/>
        <v>0.20370149279267549</v>
      </c>
      <c r="J100" s="46">
        <f t="shared" ca="1" si="100"/>
        <v>-0.41737862516256563</v>
      </c>
      <c r="K100" s="46">
        <f t="shared" ca="1" si="101"/>
        <v>-0.7438538076311304</v>
      </c>
      <c r="L100" s="12">
        <f t="shared" ca="1" si="102"/>
        <v>1.6747864124512304</v>
      </c>
      <c r="M100" s="12">
        <f t="shared" ca="1" si="103"/>
        <v>9.3965116732910445</v>
      </c>
      <c r="N100" s="46">
        <f t="shared" ca="1" si="104"/>
        <v>1.6747864124512304</v>
      </c>
      <c r="O100" s="12">
        <f t="shared" ca="1" si="105"/>
        <v>9.3965116732910445</v>
      </c>
      <c r="P100" s="67">
        <f t="shared" ca="1" si="106"/>
        <v>-9.9219161400581291E-2</v>
      </c>
      <c r="Q100" s="46">
        <f t="shared" ca="1" si="107"/>
        <v>7.6225060994392333</v>
      </c>
      <c r="R100" s="46">
        <f t="shared" ca="1" si="108"/>
        <v>-0.75629866295717663</v>
      </c>
      <c r="S100" s="46">
        <f t="shared" ca="1" si="109"/>
        <v>9.8444419890345997E-3</v>
      </c>
      <c r="T100" s="46">
        <f t="shared" ca="1" si="110"/>
        <v>15.378209325533163</v>
      </c>
      <c r="U100" s="46">
        <f t="shared" ca="1" si="111"/>
        <v>8.5467138083458902</v>
      </c>
      <c r="V100" s="46">
        <f t="shared" ca="1" si="95"/>
        <v>13.318017675521968</v>
      </c>
      <c r="W100" s="68">
        <f t="shared" ca="1" si="112"/>
        <v>3.9215060022309238</v>
      </c>
      <c r="X100" s="46"/>
      <c r="Y100" s="46"/>
      <c r="Z100" s="12"/>
      <c r="AA100" s="12"/>
      <c r="AB100" s="12"/>
      <c r="AC100" s="12"/>
      <c r="AD100" s="12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45" t="s">
        <v>92</v>
      </c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9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</row>
    <row r="101" spans="1:137" s="9" customFormat="1" ht="15.75" thickBot="1" x14ac:dyDescent="0.3">
      <c r="A101" s="1"/>
      <c r="B101" s="37"/>
      <c r="C101" s="46">
        <f t="shared" si="113"/>
        <v>20.5</v>
      </c>
      <c r="D101" s="46">
        <f t="shared" ca="1" si="96"/>
        <v>5.9174489452482715E-2</v>
      </c>
      <c r="E101" s="46">
        <f t="shared" ca="1" si="96"/>
        <v>2.1296446893978027E-2</v>
      </c>
      <c r="F101" s="46">
        <f t="shared" ref="F101:G101" ca="1" si="129">AVERAGE(D97:D105)</f>
        <v>0.2615195431491395</v>
      </c>
      <c r="G101" s="46">
        <f t="shared" ca="1" si="129"/>
        <v>0.35805138463426062</v>
      </c>
      <c r="H101" s="46">
        <f t="shared" ca="1" si="98"/>
        <v>3.4937369310078237E-2</v>
      </c>
      <c r="I101" s="46">
        <f t="shared" ca="1" si="99"/>
        <v>0.28421430175315593</v>
      </c>
      <c r="J101" s="46">
        <f t="shared" ca="1" si="100"/>
        <v>2.1219243985610619</v>
      </c>
      <c r="K101" s="46">
        <f t="shared" ca="1" si="101"/>
        <v>-1.5723825878251789</v>
      </c>
      <c r="L101" s="12">
        <f t="shared" ca="1" si="102"/>
        <v>2.4365773195683187</v>
      </c>
      <c r="M101" s="12">
        <f t="shared" ca="1" si="103"/>
        <v>6.4966609426118733</v>
      </c>
      <c r="N101" s="46">
        <f t="shared" ca="1" si="104"/>
        <v>2.4365773195683187</v>
      </c>
      <c r="O101" s="12">
        <f t="shared" ca="1" si="105"/>
        <v>6.4966609426118733</v>
      </c>
      <c r="P101" s="67">
        <f t="shared" ca="1" si="106"/>
        <v>0.66257174571650701</v>
      </c>
      <c r="Q101" s="46">
        <f t="shared" ca="1" si="107"/>
        <v>4.7226553687600621</v>
      </c>
      <c r="R101" s="46">
        <f t="shared" ca="1" si="108"/>
        <v>3.1290980120967884</v>
      </c>
      <c r="S101" s="46">
        <f t="shared" ca="1" si="109"/>
        <v>0.43900131822181965</v>
      </c>
      <c r="T101" s="46">
        <f t="shared" ca="1" si="110"/>
        <v>0.7079138996723493</v>
      </c>
      <c r="U101" s="46">
        <f t="shared" ca="1" si="111"/>
        <v>33.91113796854291</v>
      </c>
      <c r="V101" s="46">
        <f t="shared" ca="1" si="95"/>
        <v>5.6552847487055153</v>
      </c>
      <c r="W101" s="68">
        <f t="shared" ca="1" si="112"/>
        <v>-0.84137619390635798</v>
      </c>
      <c r="X101" s="46"/>
      <c r="Y101" s="46"/>
      <c r="Z101" s="12"/>
      <c r="AA101" s="12"/>
      <c r="AB101" s="12"/>
      <c r="AC101" s="12"/>
      <c r="AD101" s="12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9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</row>
    <row r="102" spans="1:137" s="9" customFormat="1" x14ac:dyDescent="0.25">
      <c r="A102" s="1"/>
      <c r="B102" s="37"/>
      <c r="C102" s="46">
        <f t="shared" si="113"/>
        <v>20.75</v>
      </c>
      <c r="D102" s="46">
        <f t="shared" ca="1" si="96"/>
        <v>0.48595207055053091</v>
      </c>
      <c r="E102" s="46">
        <f t="shared" ca="1" si="96"/>
        <v>0.63843261539225038</v>
      </c>
      <c r="F102" s="46">
        <f t="shared" ref="F102:G102" ca="1" si="130">AVERAGE(D98:D106)</f>
        <v>0.28086266608892113</v>
      </c>
      <c r="G102" s="46">
        <f t="shared" ca="1" si="130"/>
        <v>0.34259030041462385</v>
      </c>
      <c r="H102" s="46">
        <f t="shared" ca="1" si="98"/>
        <v>7.8658533297135971E-2</v>
      </c>
      <c r="I102" s="46">
        <f t="shared" ca="1" si="99"/>
        <v>0.25648782088556504</v>
      </c>
      <c r="J102" s="46">
        <f t="shared" ca="1" si="100"/>
        <v>0.23634565326568119</v>
      </c>
      <c r="K102" s="46">
        <f t="shared" ca="1" si="101"/>
        <v>0.24119925652346413</v>
      </c>
      <c r="L102" s="12">
        <f t="shared" ca="1" si="102"/>
        <v>1.8709036959797043</v>
      </c>
      <c r="M102" s="12">
        <f t="shared" ca="1" si="103"/>
        <v>12.844197397832124</v>
      </c>
      <c r="N102" s="46">
        <f t="shared" ca="1" si="104"/>
        <v>1.8709036959797043</v>
      </c>
      <c r="O102" s="12">
        <f t="shared" ca="1" si="105"/>
        <v>12.844197397832124</v>
      </c>
      <c r="P102" s="67">
        <f t="shared" ca="1" si="106"/>
        <v>9.6898122127892616E-2</v>
      </c>
      <c r="Q102" s="46">
        <f t="shared" ca="1" si="107"/>
        <v>11.070191823980313</v>
      </c>
      <c r="R102" s="46">
        <f t="shared" ca="1" si="108"/>
        <v>1.0726807993392427</v>
      </c>
      <c r="S102" s="46">
        <f t="shared" ca="1" si="109"/>
        <v>9.3892460719119924E-3</v>
      </c>
      <c r="T102" s="46">
        <f t="shared" ca="1" si="110"/>
        <v>2.2466775838334567</v>
      </c>
      <c r="U102" s="46">
        <f t="shared" ca="1" si="111"/>
        <v>0.27479549716535617</v>
      </c>
      <c r="V102" s="46">
        <f t="shared" ca="1" si="95"/>
        <v>11.345305279021215</v>
      </c>
      <c r="W102" s="68">
        <f t="shared" ca="1" si="112"/>
        <v>-1.4988921188109092</v>
      </c>
      <c r="X102" s="46"/>
      <c r="Y102" s="46"/>
      <c r="Z102" s="12"/>
      <c r="AA102" s="12"/>
      <c r="AB102" s="12"/>
      <c r="AC102" s="12"/>
      <c r="AD102" s="12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 t="s">
        <v>93</v>
      </c>
      <c r="AR102" s="38"/>
      <c r="AS102" s="110">
        <f ca="1">AVERAGE(W20:W124)</f>
        <v>7.5706636726820198E-15</v>
      </c>
      <c r="AT102" s="38"/>
      <c r="AU102" s="38" t="s">
        <v>97</v>
      </c>
      <c r="AV102" s="38"/>
      <c r="AW102" s="99">
        <f ca="1">MIN(W20:W124)</f>
        <v>-4.9176119983006963</v>
      </c>
      <c r="AX102" s="38"/>
      <c r="AY102" s="38"/>
      <c r="AZ102" s="38"/>
      <c r="BA102" s="38"/>
      <c r="BB102" s="39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</row>
    <row r="103" spans="1:137" s="9" customFormat="1" ht="15.75" thickBot="1" x14ac:dyDescent="0.3">
      <c r="A103" s="1"/>
      <c r="B103" s="37"/>
      <c r="C103" s="46">
        <f t="shared" si="113"/>
        <v>21</v>
      </c>
      <c r="D103" s="46">
        <f t="shared" ca="1" si="96"/>
        <v>9.9587221250218017E-2</v>
      </c>
      <c r="E103" s="46">
        <f t="shared" ca="1" si="96"/>
        <v>0.47877568606767662</v>
      </c>
      <c r="F103" s="46">
        <f t="shared" ref="F103:G103" ca="1" si="131">AVERAGE(D99:D107)</f>
        <v>0.27391998498358294</v>
      </c>
      <c r="G103" s="46">
        <f t="shared" ca="1" si="131"/>
        <v>0.41508406612369164</v>
      </c>
      <c r="H103" s="46">
        <f t="shared" ca="1" si="98"/>
        <v>6.2966025936183168E-2</v>
      </c>
      <c r="I103" s="46">
        <f t="shared" ca="1" si="99"/>
        <v>0.38649144672438124</v>
      </c>
      <c r="J103" s="46">
        <f t="shared" ca="1" si="100"/>
        <v>0.61795077550808097</v>
      </c>
      <c r="K103" s="46">
        <f t="shared" ca="1" si="101"/>
        <v>-0.32216596912478623</v>
      </c>
      <c r="L103" s="12">
        <f t="shared" ca="1" si="102"/>
        <v>1.9853852326524244</v>
      </c>
      <c r="M103" s="12">
        <f t="shared" ca="1" si="103"/>
        <v>10.872419108063248</v>
      </c>
      <c r="N103" s="46">
        <f t="shared" ca="1" si="104"/>
        <v>1.9853852326524244</v>
      </c>
      <c r="O103" s="12">
        <f t="shared" ca="1" si="105"/>
        <v>10.872419108063248</v>
      </c>
      <c r="P103" s="67">
        <f t="shared" ca="1" si="106"/>
        <v>0.21137965880061271</v>
      </c>
      <c r="Q103" s="46">
        <f t="shared" ca="1" si="107"/>
        <v>9.0984135342114367</v>
      </c>
      <c r="R103" s="46">
        <f t="shared" ca="1" si="108"/>
        <v>1.9232195484884904</v>
      </c>
      <c r="S103" s="46">
        <f t="shared" ca="1" si="109"/>
        <v>4.4681360154663445E-2</v>
      </c>
      <c r="T103" s="46">
        <f t="shared" ca="1" si="110"/>
        <v>0.4605865910660063</v>
      </c>
      <c r="U103" s="46">
        <f t="shared" ca="1" si="111"/>
        <v>2.0954556847807542</v>
      </c>
      <c r="V103" s="46">
        <f t="shared" ca="1" si="95"/>
        <v>10.193753806853582</v>
      </c>
      <c r="W103" s="68">
        <f t="shared" ca="1" si="112"/>
        <v>-0.67866530120966573</v>
      </c>
      <c r="X103" s="46"/>
      <c r="Y103" s="46"/>
      <c r="Z103" s="12"/>
      <c r="AA103" s="12"/>
      <c r="AB103" s="12"/>
      <c r="AC103" s="12"/>
      <c r="AD103" s="12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 t="s">
        <v>94</v>
      </c>
      <c r="AR103" s="38"/>
      <c r="AS103" s="111">
        <f ca="1">_xlfn.VAR.S(W20:W124)</f>
        <v>4.1503031288745396</v>
      </c>
      <c r="AT103" s="38"/>
      <c r="AU103" s="38" t="s">
        <v>96</v>
      </c>
      <c r="AV103" s="38"/>
      <c r="AW103" s="109">
        <f ca="1">MAX(W20:W124)</f>
        <v>5.1889262784459245</v>
      </c>
      <c r="AX103" s="38"/>
      <c r="AY103" s="38"/>
      <c r="AZ103" s="38"/>
      <c r="BA103" s="38"/>
      <c r="BB103" s="39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</row>
    <row r="104" spans="1:137" s="9" customFormat="1" ht="15.75" thickBot="1" x14ac:dyDescent="0.3">
      <c r="A104" s="1"/>
      <c r="B104" s="37"/>
      <c r="C104" s="46">
        <f t="shared" si="113"/>
        <v>21.25</v>
      </c>
      <c r="D104" s="46">
        <f t="shared" ca="1" si="96"/>
        <v>7.8364672959850945E-2</v>
      </c>
      <c r="E104" s="46">
        <f t="shared" ca="1" si="96"/>
        <v>0.62792518121105712</v>
      </c>
      <c r="F104" s="46">
        <f t="shared" ref="F104:G104" ca="1" si="132">AVERAGE(D100:D108)</f>
        <v>0.24606254776911152</v>
      </c>
      <c r="G104" s="46">
        <f t="shared" ca="1" si="132"/>
        <v>0.47966894799402038</v>
      </c>
      <c r="H104" s="46">
        <f t="shared" ca="1" si="98"/>
        <v>0</v>
      </c>
      <c r="I104" s="46">
        <f t="shared" ca="1" si="99"/>
        <v>0.50231201053962427</v>
      </c>
      <c r="J104" s="46">
        <f t="shared" ca="1" si="100"/>
        <v>0.24404632125642986</v>
      </c>
      <c r="K104" s="46">
        <f t="shared" ca="1" si="101"/>
        <v>0.66725579509691602</v>
      </c>
      <c r="L104" s="12">
        <f t="shared" ca="1" si="102"/>
        <v>1.8732138963769289</v>
      </c>
      <c r="M104" s="12">
        <f t="shared" ca="1" si="103"/>
        <v>14.335395282839206</v>
      </c>
      <c r="N104" s="46">
        <f t="shared" ca="1" si="104"/>
        <v>1.8732138963769289</v>
      </c>
      <c r="O104" s="12">
        <f t="shared" ca="1" si="105"/>
        <v>14.335395282839206</v>
      </c>
      <c r="P104" s="67">
        <f t="shared" ca="1" si="106"/>
        <v>9.9208322525117243E-2</v>
      </c>
      <c r="Q104" s="46">
        <f t="shared" ca="1" si="107"/>
        <v>12.561389708987395</v>
      </c>
      <c r="R104" s="46">
        <f t="shared" ca="1" si="108"/>
        <v>1.2461944016129101</v>
      </c>
      <c r="S104" s="46">
        <f t="shared" ca="1" si="109"/>
        <v>9.8422912582476849E-3</v>
      </c>
      <c r="T104" s="46">
        <f t="shared" ca="1" si="110"/>
        <v>9.0801452753116418</v>
      </c>
      <c r="U104" s="46">
        <f t="shared" ca="1" si="111"/>
        <v>4.0618665325987511</v>
      </c>
      <c r="V104" s="46">
        <f t="shared" ca="1" si="95"/>
        <v>11.322067342619018</v>
      </c>
      <c r="W104" s="68">
        <f t="shared" ca="1" si="112"/>
        <v>-3.0133279402201882</v>
      </c>
      <c r="X104" s="46"/>
      <c r="Y104" s="46"/>
      <c r="Z104" s="12"/>
      <c r="AA104" s="12"/>
      <c r="AB104" s="12"/>
      <c r="AC104" s="12"/>
      <c r="AD104" s="12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 t="s">
        <v>95</v>
      </c>
      <c r="AR104" s="38"/>
      <c r="AS104" s="112">
        <f ca="1">_xlfn.STDEV.S(W20:W124)</f>
        <v>2.0372292774438865</v>
      </c>
      <c r="AT104" s="38"/>
      <c r="AU104" s="38"/>
      <c r="AV104" s="38"/>
      <c r="AW104" s="38"/>
      <c r="AX104" s="38"/>
      <c r="AY104" s="38"/>
      <c r="AZ104" s="38"/>
      <c r="BA104" s="38"/>
      <c r="BB104" s="39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</row>
    <row r="105" spans="1:137" s="9" customFormat="1" x14ac:dyDescent="0.25">
      <c r="A105" s="1"/>
      <c r="B105" s="37"/>
      <c r="C105" s="46">
        <f t="shared" si="113"/>
        <v>21.5</v>
      </c>
      <c r="D105" s="46">
        <f t="shared" ca="1" si="96"/>
        <v>0.43474799837762335</v>
      </c>
      <c r="E105" s="46">
        <f t="shared" ca="1" si="96"/>
        <v>0.50377796124835583</v>
      </c>
      <c r="F105" s="46">
        <f t="shared" ref="F105:G105" ca="1" si="133">AVERAGE(D101:D109)</f>
        <v>0.24843484253845183</v>
      </c>
      <c r="G105" s="46">
        <f t="shared" ca="1" si="133"/>
        <v>0.50077225067266473</v>
      </c>
      <c r="H105" s="46">
        <f t="shared" ca="1" si="98"/>
        <v>5.362085996085693E-3</v>
      </c>
      <c r="I105" s="46">
        <f t="shared" ca="1" si="99"/>
        <v>0.5401567250273227</v>
      </c>
      <c r="J105" s="46">
        <f t="shared" ca="1" si="100"/>
        <v>1.1795082375077555</v>
      </c>
      <c r="K105" s="46">
        <f t="shared" ca="1" si="101"/>
        <v>-1.3076192756341167</v>
      </c>
      <c r="L105" s="12">
        <f t="shared" ca="1" si="102"/>
        <v>2.1538524712523266</v>
      </c>
      <c r="M105" s="12">
        <f t="shared" ca="1" si="103"/>
        <v>7.4233325352805917</v>
      </c>
      <c r="N105" s="46">
        <f t="shared" ca="1" si="104"/>
        <v>2.1538524712523266</v>
      </c>
      <c r="O105" s="12">
        <f t="shared" ca="1" si="105"/>
        <v>7.4233325352805917</v>
      </c>
      <c r="P105" s="67">
        <f t="shared" ca="1" si="106"/>
        <v>0.37984689740051492</v>
      </c>
      <c r="Q105" s="46">
        <f t="shared" ca="1" si="107"/>
        <v>5.6493269614287804</v>
      </c>
      <c r="R105" s="46">
        <f t="shared" ca="1" si="108"/>
        <v>2.1458793186998006</v>
      </c>
      <c r="S105" s="46">
        <f t="shared" ca="1" si="109"/>
        <v>0.14428366546479732</v>
      </c>
      <c r="T105" s="46">
        <f t="shared" ca="1" si="110"/>
        <v>1.1574236494164012</v>
      </c>
      <c r="U105" s="46">
        <f t="shared" ca="1" si="111"/>
        <v>23.977234699160839</v>
      </c>
      <c r="V105" s="46">
        <f t="shared" ca="1" si="95"/>
        <v>8.4991687911375884</v>
      </c>
      <c r="W105" s="68">
        <f t="shared" ca="1" si="112"/>
        <v>1.0758362558569967</v>
      </c>
      <c r="X105" s="46"/>
      <c r="Y105" s="46"/>
      <c r="Z105" s="12"/>
      <c r="AA105" s="12"/>
      <c r="AB105" s="12"/>
      <c r="AC105" s="12"/>
      <c r="AD105" s="12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9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</row>
    <row r="106" spans="1:137" s="9" customFormat="1" x14ac:dyDescent="0.25">
      <c r="A106" s="1"/>
      <c r="B106" s="37"/>
      <c r="C106" s="46">
        <f t="shared" si="113"/>
        <v>21.75</v>
      </c>
      <c r="D106" s="46">
        <f t="shared" ca="1" si="96"/>
        <v>0.48750500652265161</v>
      </c>
      <c r="E106" s="46">
        <f t="shared" ca="1" si="96"/>
        <v>0.55478749421421947</v>
      </c>
      <c r="F106" s="46">
        <f t="shared" ref="F106:G106" ca="1" si="134">AVERAGE(D102:D110)</f>
        <v>0.30504236901229242</v>
      </c>
      <c r="G106" s="46">
        <f t="shared" ca="1" si="134"/>
        <v>0.56154148780479773</v>
      </c>
      <c r="H106" s="46">
        <f t="shared" ca="1" si="98"/>
        <v>0.13331179481866925</v>
      </c>
      <c r="I106" s="46">
        <f t="shared" ca="1" si="99"/>
        <v>0.6491346638799036</v>
      </c>
      <c r="J106" s="46">
        <f t="shared" ca="1" si="100"/>
        <v>0.32118571894273901</v>
      </c>
      <c r="K106" s="46">
        <f t="shared" ca="1" si="101"/>
        <v>0.1500975039678395</v>
      </c>
      <c r="L106" s="12">
        <f t="shared" ca="1" si="102"/>
        <v>1.8963557156828217</v>
      </c>
      <c r="M106" s="12">
        <f t="shared" ca="1" si="103"/>
        <v>12.525341263887437</v>
      </c>
      <c r="N106" s="46">
        <f t="shared" ca="1" si="104"/>
        <v>1.8963557156828217</v>
      </c>
      <c r="O106" s="12">
        <f t="shared" ca="1" si="105"/>
        <v>12.525341263887437</v>
      </c>
      <c r="P106" s="67">
        <f t="shared" ca="1" si="106"/>
        <v>0.12235014183101001</v>
      </c>
      <c r="Q106" s="46">
        <f t="shared" ca="1" si="107"/>
        <v>10.751335690035626</v>
      </c>
      <c r="R106" s="46">
        <f t="shared" ca="1" si="108"/>
        <v>1.3154274465486586</v>
      </c>
      <c r="S106" s="46">
        <f t="shared" ca="1" si="109"/>
        <v>1.4969557206068265E-2</v>
      </c>
      <c r="T106" s="46">
        <f t="shared" ca="1" si="110"/>
        <v>2.0622504629732372</v>
      </c>
      <c r="U106" s="46">
        <f t="shared" ca="1" si="111"/>
        <v>4.216996470889426E-2</v>
      </c>
      <c r="V106" s="46">
        <f t="shared" ca="1" si="95"/>
        <v>11.089287482522256</v>
      </c>
      <c r="W106" s="68">
        <f t="shared" ca="1" si="112"/>
        <v>-1.4360537813651817</v>
      </c>
      <c r="X106" s="46"/>
      <c r="Y106" s="46"/>
      <c r="Z106" s="12"/>
      <c r="AA106" s="12"/>
      <c r="AB106" s="12"/>
      <c r="AC106" s="12"/>
      <c r="AD106" s="12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9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</row>
    <row r="107" spans="1:137" s="9" customFormat="1" x14ac:dyDescent="0.25">
      <c r="A107" s="1"/>
      <c r="B107" s="37"/>
      <c r="C107" s="46">
        <f t="shared" si="113"/>
        <v>22</v>
      </c>
      <c r="D107" s="46">
        <f t="shared" ca="1" si="96"/>
        <v>0.15431545108139599</v>
      </c>
      <c r="E107" s="46">
        <f t="shared" ca="1" si="96"/>
        <v>0.69320407982322529</v>
      </c>
      <c r="F107" s="46">
        <f t="shared" ref="F107:G107" ca="1" si="135">AVERAGE(D103:D111)</f>
        <v>0.33326873645199029</v>
      </c>
      <c r="G107" s="46">
        <f t="shared" ca="1" si="135"/>
        <v>0.55329214717157982</v>
      </c>
      <c r="H107" s="46">
        <f t="shared" ca="1" si="98"/>
        <v>0.19711171189679072</v>
      </c>
      <c r="I107" s="46">
        <f t="shared" ca="1" si="99"/>
        <v>0.6343410580765888</v>
      </c>
      <c r="J107" s="46">
        <f t="shared" ca="1" si="100"/>
        <v>-0.51347143024855935</v>
      </c>
      <c r="K107" s="46">
        <f t="shared" ca="1" si="101"/>
        <v>1.0952523600895192</v>
      </c>
      <c r="L107" s="12">
        <f t="shared" ca="1" si="102"/>
        <v>1.6459585709254323</v>
      </c>
      <c r="M107" s="12">
        <f t="shared" ca="1" si="103"/>
        <v>15.833383260313317</v>
      </c>
      <c r="N107" s="46">
        <f t="shared" ca="1" si="104"/>
        <v>1.6459585709254323</v>
      </c>
      <c r="O107" s="12">
        <f t="shared" ca="1" si="105"/>
        <v>15.833383260313317</v>
      </c>
      <c r="P107" s="67">
        <f t="shared" ca="1" si="106"/>
        <v>-0.12804700292637938</v>
      </c>
      <c r="Q107" s="46">
        <f t="shared" ca="1" si="107"/>
        <v>14.059377686461506</v>
      </c>
      <c r="R107" s="46">
        <f t="shared" ca="1" si="108"/>
        <v>-1.8002611757614095</v>
      </c>
      <c r="S107" s="46">
        <f t="shared" ca="1" si="109"/>
        <v>1.6396034958428209E-2</v>
      </c>
      <c r="T107" s="46">
        <f t="shared" ca="1" si="110"/>
        <v>4.9523648196373102</v>
      </c>
      <c r="U107" s="46">
        <f t="shared" ca="1" si="111"/>
        <v>12.343946284613981</v>
      </c>
      <c r="V107" s="46">
        <f t="shared" ca="1" si="95"/>
        <v>13.607992323952402</v>
      </c>
      <c r="W107" s="68">
        <f t="shared" ca="1" si="112"/>
        <v>-2.225390936360915</v>
      </c>
      <c r="X107" s="46"/>
      <c r="Y107" s="46"/>
      <c r="Z107" s="12"/>
      <c r="AA107" s="12"/>
      <c r="AB107" s="12"/>
      <c r="AC107" s="12"/>
      <c r="AD107" s="12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9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</row>
    <row r="108" spans="1:137" s="9" customFormat="1" x14ac:dyDescent="0.25">
      <c r="A108" s="1"/>
      <c r="B108" s="37"/>
      <c r="C108" s="46">
        <f t="shared" si="113"/>
        <v>22.25</v>
      </c>
      <c r="D108" s="46">
        <f t="shared" ca="1" si="96"/>
        <v>9.0131513317135314E-2</v>
      </c>
      <c r="E108" s="46">
        <f t="shared" ca="1" si="96"/>
        <v>0.6721219044850093</v>
      </c>
      <c r="F108" s="46">
        <f t="shared" ref="F108:G108" ca="1" si="136">AVERAGE(D104:D112)</f>
        <v>0.38142658543889518</v>
      </c>
      <c r="G108" s="46">
        <f t="shared" ca="1" si="136"/>
        <v>0.55824721950005207</v>
      </c>
      <c r="H108" s="46">
        <f t="shared" ca="1" si="98"/>
        <v>0.30596265697816444</v>
      </c>
      <c r="I108" s="46">
        <f t="shared" ca="1" si="99"/>
        <v>0.6432270272726186</v>
      </c>
      <c r="J108" s="46">
        <f t="shared" ca="1" si="100"/>
        <v>1.2793343350535553</v>
      </c>
      <c r="K108" s="46">
        <f t="shared" ca="1" si="101"/>
        <v>-0.36896980522576206</v>
      </c>
      <c r="L108" s="12">
        <f t="shared" ca="1" si="102"/>
        <v>2.1838003005160664</v>
      </c>
      <c r="M108" s="12">
        <f t="shared" ca="1" si="103"/>
        <v>10.708605681709832</v>
      </c>
      <c r="N108" s="46">
        <f t="shared" ca="1" si="104"/>
        <v>2.1838003005160664</v>
      </c>
      <c r="O108" s="12">
        <f t="shared" ca="1" si="105"/>
        <v>10.708605681709832</v>
      </c>
      <c r="P108" s="67">
        <f t="shared" ca="1" si="106"/>
        <v>0.40979472666425476</v>
      </c>
      <c r="Q108" s="46">
        <f t="shared" ca="1" si="107"/>
        <v>8.9346001078580208</v>
      </c>
      <c r="R108" s="46">
        <f t="shared" ca="1" si="108"/>
        <v>3.6613520090540987</v>
      </c>
      <c r="S108" s="46">
        <f t="shared" ca="1" si="109"/>
        <v>0.16793171800183126</v>
      </c>
      <c r="T108" s="46">
        <f t="shared" ca="1" si="110"/>
        <v>6.3035005879705768</v>
      </c>
      <c r="U108" s="46">
        <f t="shared" ca="1" si="111"/>
        <v>2.5965529622041466</v>
      </c>
      <c r="V108" s="46">
        <f t="shared" ca="1" si="95"/>
        <v>8.1979283651335706</v>
      </c>
      <c r="W108" s="68">
        <f t="shared" ca="1" si="112"/>
        <v>-2.5106773165762615</v>
      </c>
      <c r="X108" s="46"/>
      <c r="Y108" s="46"/>
      <c r="Z108" s="12"/>
      <c r="AA108" s="12"/>
      <c r="AB108" s="12"/>
      <c r="AC108" s="12"/>
      <c r="AD108" s="12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9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</row>
    <row r="109" spans="1:137" s="9" customFormat="1" x14ac:dyDescent="0.25">
      <c r="A109" s="1"/>
      <c r="B109" s="37"/>
      <c r="C109" s="46">
        <f t="shared" si="113"/>
        <v>22.5</v>
      </c>
      <c r="D109" s="46">
        <f t="shared" ca="1" si="96"/>
        <v>0.34613515933417793</v>
      </c>
      <c r="E109" s="46">
        <f t="shared" ca="1" si="96"/>
        <v>0.31662888671821032</v>
      </c>
      <c r="F109" s="46">
        <f t="shared" ref="F109:G109" ca="1" si="137">AVERAGE(D105:D113)</f>
        <v>0.41742688519491039</v>
      </c>
      <c r="G109" s="46">
        <f t="shared" ca="1" si="137"/>
        <v>0.57727890417628536</v>
      </c>
      <c r="H109" s="46">
        <f t="shared" ca="1" si="98"/>
        <v>0.38733395436980189</v>
      </c>
      <c r="I109" s="46">
        <f t="shared" ca="1" si="99"/>
        <v>0.67735669331398252</v>
      </c>
      <c r="J109" s="46">
        <f t="shared" ca="1" si="100"/>
        <v>0.10901803770719788</v>
      </c>
      <c r="K109" s="46">
        <f t="shared" ca="1" si="101"/>
        <v>-0.34906089832577214</v>
      </c>
      <c r="L109" s="12">
        <f t="shared" ca="1" si="102"/>
        <v>1.8327054113121595</v>
      </c>
      <c r="M109" s="12">
        <f t="shared" ca="1" si="103"/>
        <v>10.778286855859797</v>
      </c>
      <c r="N109" s="46">
        <f t="shared" ca="1" si="104"/>
        <v>1.8327054113121595</v>
      </c>
      <c r="O109" s="12">
        <f t="shared" ca="1" si="105"/>
        <v>10.778286855859797</v>
      </c>
      <c r="P109" s="67">
        <f t="shared" ca="1" si="106"/>
        <v>5.8699837460347792E-2</v>
      </c>
      <c r="Q109" s="46">
        <f t="shared" ca="1" si="107"/>
        <v>9.0042812820079856</v>
      </c>
      <c r="R109" s="46">
        <f t="shared" ca="1" si="108"/>
        <v>0.52854984770112079</v>
      </c>
      <c r="S109" s="46">
        <f t="shared" ca="1" si="109"/>
        <v>3.44567091787125E-3</v>
      </c>
      <c r="T109" s="46">
        <f t="shared" ca="1" si="110"/>
        <v>0.90487439527122226</v>
      </c>
      <c r="U109" s="46">
        <f t="shared" ca="1" si="111"/>
        <v>2.3768424049326868</v>
      </c>
      <c r="V109" s="46">
        <f t="shared" ca="1" si="95"/>
        <v>11.729535716711268</v>
      </c>
      <c r="W109" s="68">
        <f t="shared" ca="1" si="112"/>
        <v>0.95124886085147153</v>
      </c>
      <c r="X109" s="46"/>
      <c r="Y109" s="46"/>
      <c r="Z109" s="12"/>
      <c r="AA109" s="12"/>
      <c r="AB109" s="12"/>
      <c r="AC109" s="12"/>
      <c r="AD109" s="12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9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</row>
    <row r="110" spans="1:137" s="9" customFormat="1" x14ac:dyDescent="0.25">
      <c r="A110" s="1"/>
      <c r="B110" s="37"/>
      <c r="C110" s="46">
        <f t="shared" si="113"/>
        <v>22.75</v>
      </c>
      <c r="D110" s="46">
        <f t="shared" ca="1" si="96"/>
        <v>0.56864222771704787</v>
      </c>
      <c r="E110" s="46">
        <f t="shared" ca="1" si="96"/>
        <v>0.56821958108317405</v>
      </c>
      <c r="F110" s="46">
        <f t="shared" ref="F110:G110" ca="1" si="138">AVERAGE(D106:D114)</f>
        <v>0.46991707761933199</v>
      </c>
      <c r="G110" s="46">
        <f t="shared" ca="1" si="138"/>
        <v>0.59958007688894766</v>
      </c>
      <c r="H110" s="46">
        <f t="shared" ca="1" si="98"/>
        <v>0.50597727364378153</v>
      </c>
      <c r="I110" s="46">
        <f t="shared" ca="1" si="99"/>
        <v>0.71734955731747463</v>
      </c>
      <c r="J110" s="46">
        <f t="shared" ca="1" si="100"/>
        <v>0.46107854683727523</v>
      </c>
      <c r="K110" s="46">
        <f t="shared" ca="1" si="101"/>
        <v>-0.69325366096466279</v>
      </c>
      <c r="L110" s="12">
        <f t="shared" ca="1" si="102"/>
        <v>1.9383235640511827</v>
      </c>
      <c r="M110" s="12">
        <f t="shared" ca="1" si="103"/>
        <v>9.5736121866236807</v>
      </c>
      <c r="N110" s="46">
        <f t="shared" ca="1" si="104"/>
        <v>1.9383235640511827</v>
      </c>
      <c r="O110" s="12">
        <f t="shared" ca="1" si="105"/>
        <v>9.5736121866236807</v>
      </c>
      <c r="P110" s="67">
        <f t="shared" ca="1" si="106"/>
        <v>0.16431799019937099</v>
      </c>
      <c r="Q110" s="46">
        <f t="shared" ca="1" si="107"/>
        <v>7.7996066127718695</v>
      </c>
      <c r="R110" s="46">
        <f t="shared" ca="1" si="108"/>
        <v>1.2816156829563972</v>
      </c>
      <c r="S110" s="46">
        <f t="shared" ca="1" si="109"/>
        <v>2.7000401903160581E-2</v>
      </c>
      <c r="T110" s="46">
        <f t="shared" ca="1" si="110"/>
        <v>1.1958022175983722</v>
      </c>
      <c r="U110" s="46">
        <f t="shared" ca="1" si="111"/>
        <v>7.5425800852997194</v>
      </c>
      <c r="V110" s="46">
        <f t="shared" ca="1" si="95"/>
        <v>10.667139606306595</v>
      </c>
      <c r="W110" s="68">
        <f t="shared" ca="1" si="112"/>
        <v>1.0935274196829141</v>
      </c>
      <c r="X110" s="46"/>
      <c r="Y110" s="46"/>
      <c r="Z110" s="12"/>
      <c r="AA110" s="12"/>
      <c r="AB110" s="12"/>
      <c r="AC110" s="12"/>
      <c r="AD110" s="12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9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</row>
    <row r="111" spans="1:137" s="9" customFormat="1" x14ac:dyDescent="0.25">
      <c r="A111" s="1"/>
      <c r="B111" s="37"/>
      <c r="C111" s="46">
        <f t="shared" si="113"/>
        <v>23</v>
      </c>
      <c r="D111" s="46">
        <f t="shared" ca="1" si="96"/>
        <v>0.73998937750781169</v>
      </c>
      <c r="E111" s="46">
        <f t="shared" ca="1" si="96"/>
        <v>0.56418854969328947</v>
      </c>
      <c r="F111" s="46">
        <f t="shared" ref="F111:G111" ca="1" si="139">AVERAGE(D107:D115)</f>
        <v>0.47966364228861558</v>
      </c>
      <c r="G111" s="46">
        <f t="shared" ca="1" si="139"/>
        <v>0.56516429100224019</v>
      </c>
      <c r="H111" s="46">
        <f t="shared" ca="1" si="98"/>
        <v>0.52800738499357902</v>
      </c>
      <c r="I111" s="46">
        <f t="shared" ca="1" si="99"/>
        <v>0.65563146462906186</v>
      </c>
      <c r="J111" s="46">
        <f t="shared" ca="1" si="100"/>
        <v>2.9290622745579132E-2</v>
      </c>
      <c r="K111" s="46">
        <f t="shared" ca="1" si="101"/>
        <v>0.18645403545030212</v>
      </c>
      <c r="L111" s="12">
        <f t="shared" ca="1" si="102"/>
        <v>1.8087871868236738</v>
      </c>
      <c r="M111" s="12">
        <f t="shared" ca="1" si="103"/>
        <v>12.652589124076057</v>
      </c>
      <c r="N111" s="46">
        <f t="shared" ca="1" si="104"/>
        <v>1.8087871868236738</v>
      </c>
      <c r="O111" s="12">
        <f t="shared" ca="1" si="105"/>
        <v>12.652589124076057</v>
      </c>
      <c r="P111" s="67">
        <f t="shared" ca="1" si="106"/>
        <v>3.4781612971862108E-2</v>
      </c>
      <c r="Q111" s="46">
        <f t="shared" ca="1" si="107"/>
        <v>10.878583550224246</v>
      </c>
      <c r="R111" s="46">
        <f t="shared" ca="1" si="108"/>
        <v>0.37837468272596536</v>
      </c>
      <c r="S111" s="46">
        <f t="shared" ca="1" si="109"/>
        <v>1.2097606009244064E-3</v>
      </c>
      <c r="T111" s="46">
        <f t="shared" ca="1" si="110"/>
        <v>0.46575685425412305</v>
      </c>
      <c r="U111" s="46">
        <f t="shared" ca="1" si="111"/>
        <v>0.11062351052192732</v>
      </c>
      <c r="V111" s="46">
        <f t="shared" ca="1" si="95"/>
        <v>11.970125312395083</v>
      </c>
      <c r="W111" s="68">
        <f t="shared" ca="1" si="112"/>
        <v>-0.68246381168097336</v>
      </c>
      <c r="X111" s="46"/>
      <c r="Y111" s="46"/>
      <c r="Z111" s="12"/>
      <c r="AA111" s="12"/>
      <c r="AB111" s="12"/>
      <c r="AC111" s="12"/>
      <c r="AD111" s="12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9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</row>
    <row r="112" spans="1:137" s="9" customFormat="1" x14ac:dyDescent="0.25">
      <c r="A112" s="1"/>
      <c r="B112" s="37"/>
      <c r="C112" s="46">
        <f t="shared" si="113"/>
        <v>23.25</v>
      </c>
      <c r="D112" s="46">
        <f t="shared" ca="1" si="96"/>
        <v>0.53300786213236229</v>
      </c>
      <c r="E112" s="46">
        <f t="shared" ca="1" si="96"/>
        <v>0.52337133702392746</v>
      </c>
      <c r="F112" s="46">
        <f t="shared" ref="F112:G112" ca="1" si="140">AVERAGE(D108:D116)</f>
        <v>0.53713501942765152</v>
      </c>
      <c r="G112" s="46">
        <f t="shared" ca="1" si="140"/>
        <v>0.58074038277163986</v>
      </c>
      <c r="H112" s="46">
        <f t="shared" ca="1" si="98"/>
        <v>0.65790965115196165</v>
      </c>
      <c r="I112" s="46">
        <f t="shared" ca="1" si="99"/>
        <v>0.68356418941737851</v>
      </c>
      <c r="J112" s="46">
        <f t="shared" ca="1" si="100"/>
        <v>1.4478380294523565</v>
      </c>
      <c r="K112" s="46">
        <f t="shared" ca="1" si="101"/>
        <v>-1.9663455308507694</v>
      </c>
      <c r="L112" s="12">
        <f t="shared" ca="1" si="102"/>
        <v>2.2343514088357068</v>
      </c>
      <c r="M112" s="12">
        <f t="shared" ca="1" si="103"/>
        <v>5.1177906420223076</v>
      </c>
      <c r="N112" s="46">
        <f t="shared" ca="1" si="104"/>
        <v>2.2343514088357068</v>
      </c>
      <c r="O112" s="12">
        <f t="shared" ca="1" si="105"/>
        <v>5.1177906420223076</v>
      </c>
      <c r="P112" s="67">
        <f t="shared" ca="1" si="106"/>
        <v>0.46034583498389514</v>
      </c>
      <c r="Q112" s="46">
        <f t="shared" ca="1" si="107"/>
        <v>3.3437850681704959</v>
      </c>
      <c r="R112" s="46">
        <f t="shared" ca="1" si="108"/>
        <v>1.5392975292136277</v>
      </c>
      <c r="S112" s="46">
        <f t="shared" ca="1" si="109"/>
        <v>0.21191828778701963</v>
      </c>
      <c r="T112" s="46">
        <f t="shared" ca="1" si="110"/>
        <v>6.6133950762412637</v>
      </c>
      <c r="U112" s="46">
        <f t="shared" ca="1" si="111"/>
        <v>51.871646722948157</v>
      </c>
      <c r="V112" s="46">
        <f t="shared" ca="1" si="95"/>
        <v>7.6894428495031839</v>
      </c>
      <c r="W112" s="68">
        <f t="shared" ca="1" si="112"/>
        <v>2.5716522074808763</v>
      </c>
      <c r="X112" s="46"/>
      <c r="Y112" s="46"/>
      <c r="Z112" s="12"/>
      <c r="AA112" s="12"/>
      <c r="AB112" s="12"/>
      <c r="AC112" s="12"/>
      <c r="AD112" s="12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9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</row>
    <row r="113" spans="1:137" s="9" customFormat="1" x14ac:dyDescent="0.25">
      <c r="A113" s="1"/>
      <c r="B113" s="37"/>
      <c r="C113" s="46">
        <f t="shared" si="113"/>
        <v>23.5</v>
      </c>
      <c r="D113" s="46">
        <f t="shared" ca="1" si="96"/>
        <v>0.40236737076398743</v>
      </c>
      <c r="E113" s="46">
        <f t="shared" ca="1" si="96"/>
        <v>0.7992103432971569</v>
      </c>
      <c r="F113" s="46">
        <f t="shared" ref="F113:G113" ca="1" si="141">AVERAGE(D109:D117)</f>
        <v>0.59601873186213972</v>
      </c>
      <c r="G113" s="46">
        <f t="shared" ca="1" si="141"/>
        <v>0.55415976659559785</v>
      </c>
      <c r="H113" s="46">
        <f t="shared" ca="1" si="98"/>
        <v>0.791004211711275</v>
      </c>
      <c r="I113" s="46">
        <f t="shared" ca="1" si="99"/>
        <v>0.63589696664151552</v>
      </c>
      <c r="J113" s="46">
        <f t="shared" ca="1" si="100"/>
        <v>-0.32996011538974263</v>
      </c>
      <c r="K113" s="46">
        <f t="shared" ca="1" si="101"/>
        <v>0.73895383584472729</v>
      </c>
      <c r="L113" s="12">
        <f t="shared" ca="1" si="102"/>
        <v>1.7010119653830773</v>
      </c>
      <c r="M113" s="12">
        <f t="shared" ca="1" si="103"/>
        <v>14.586338425456546</v>
      </c>
      <c r="N113" s="46">
        <f t="shared" ca="1" si="104"/>
        <v>1.7010119653830773</v>
      </c>
      <c r="O113" s="12">
        <f t="shared" ca="1" si="105"/>
        <v>14.586338425456546</v>
      </c>
      <c r="P113" s="67">
        <f t="shared" ca="1" si="106"/>
        <v>-7.2993608468734372E-2</v>
      </c>
      <c r="Q113" s="46">
        <f t="shared" ca="1" si="107"/>
        <v>12.812332851604735</v>
      </c>
      <c r="R113" s="46">
        <f t="shared" ca="1" si="108"/>
        <v>-0.93521840774113896</v>
      </c>
      <c r="S113" s="46">
        <f t="shared" ca="1" si="109"/>
        <v>5.3280668772868901E-3</v>
      </c>
      <c r="T113" s="46">
        <f t="shared" ca="1" si="110"/>
        <v>2.3473898359262244</v>
      </c>
      <c r="U113" s="46">
        <f t="shared" ca="1" si="111"/>
        <v>5.1363442699459556</v>
      </c>
      <c r="V113" s="46">
        <f t="shared" ca="1" si="95"/>
        <v>13.054219031960653</v>
      </c>
      <c r="W113" s="68">
        <f t="shared" ca="1" si="112"/>
        <v>-1.5321193934958934</v>
      </c>
      <c r="X113" s="46"/>
      <c r="Y113" s="46"/>
      <c r="Z113" s="12"/>
      <c r="AA113" s="12"/>
      <c r="AB113" s="12"/>
      <c r="AC113" s="12"/>
      <c r="AD113" s="12"/>
      <c r="AE113" s="38"/>
      <c r="AF113" s="38"/>
      <c r="AG113" s="38"/>
      <c r="AH113" s="38"/>
      <c r="AI113" s="38"/>
      <c r="AJ113" s="38"/>
      <c r="AK113" s="38"/>
      <c r="AL113" s="38"/>
      <c r="AM113" s="38">
        <v>0</v>
      </c>
      <c r="AN113" s="38">
        <v>0</v>
      </c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9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</row>
    <row r="114" spans="1:137" s="9" customFormat="1" x14ac:dyDescent="0.25">
      <c r="A114" s="1"/>
      <c r="B114" s="37"/>
      <c r="C114" s="46">
        <f t="shared" si="113"/>
        <v>23.75</v>
      </c>
      <c r="D114" s="46">
        <f t="shared" ca="1" si="96"/>
        <v>0.90715973019741813</v>
      </c>
      <c r="E114" s="46">
        <f t="shared" ca="1" si="96"/>
        <v>0.70448851566231641</v>
      </c>
      <c r="F114" s="46">
        <f t="shared" ref="F114:G114" ca="1" si="142">AVERAGE(D110:D118)</f>
        <v>0.66496583127255016</v>
      </c>
      <c r="G114" s="46">
        <f t="shared" ca="1" si="142"/>
        <v>0.52012446050766303</v>
      </c>
      <c r="H114" s="46">
        <f t="shared" ca="1" si="98"/>
        <v>0.94684499549469003</v>
      </c>
      <c r="I114" s="46">
        <f t="shared" ca="1" si="99"/>
        <v>0.57486119129329127</v>
      </c>
      <c r="J114" s="46">
        <f t="shared" ca="1" si="100"/>
        <v>-0.18424482790887575</v>
      </c>
      <c r="K114" s="46">
        <f t="shared" ca="1" si="101"/>
        <v>0.70663635147414927</v>
      </c>
      <c r="L114" s="12">
        <f t="shared" ca="1" si="102"/>
        <v>1.7447265516273374</v>
      </c>
      <c r="M114" s="12">
        <f t="shared" ca="1" si="103"/>
        <v>14.473227230159523</v>
      </c>
      <c r="N114" s="46">
        <f t="shared" ca="1" si="104"/>
        <v>1.7447265516273374</v>
      </c>
      <c r="O114" s="12">
        <f t="shared" ca="1" si="105"/>
        <v>14.473227230159523</v>
      </c>
      <c r="P114" s="67">
        <f t="shared" ca="1" si="106"/>
        <v>-2.9279022224474316E-2</v>
      </c>
      <c r="Q114" s="46">
        <f t="shared" ca="1" si="107"/>
        <v>12.699221656307712</v>
      </c>
      <c r="R114" s="46">
        <f t="shared" ca="1" si="108"/>
        <v>-0.37182079310855903</v>
      </c>
      <c r="S114" s="46">
        <f t="shared" ca="1" si="109"/>
        <v>8.5726114242126088E-4</v>
      </c>
      <c r="T114" s="46">
        <f t="shared" ca="1" si="110"/>
        <v>3.4548632033335736</v>
      </c>
      <c r="U114" s="46">
        <f t="shared" ca="1" si="111"/>
        <v>4.6364392003296473</v>
      </c>
      <c r="V114" s="46">
        <f t="shared" ca="1" si="95"/>
        <v>12.614500998748998</v>
      </c>
      <c r="W114" s="68">
        <f t="shared" ca="1" si="112"/>
        <v>-1.8587262314105253</v>
      </c>
      <c r="X114" s="46"/>
      <c r="Y114" s="46"/>
      <c r="Z114" s="12"/>
      <c r="AA114" s="12"/>
      <c r="AB114" s="12"/>
      <c r="AC114" s="12"/>
      <c r="AD114" s="12"/>
      <c r="AE114" s="38"/>
      <c r="AF114" s="38"/>
      <c r="AG114" s="38"/>
      <c r="AH114" s="38"/>
      <c r="AI114" s="38"/>
      <c r="AJ114" s="38"/>
      <c r="AK114" s="38"/>
      <c r="AL114" s="38"/>
      <c r="AM114" s="38">
        <v>0</v>
      </c>
      <c r="AN114" s="38">
        <v>30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9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</row>
    <row r="115" spans="1:137" s="9" customFormat="1" x14ac:dyDescent="0.25">
      <c r="A115" s="1"/>
      <c r="B115" s="37"/>
      <c r="C115" s="46">
        <f t="shared" si="113"/>
        <v>24</v>
      </c>
      <c r="D115" s="46">
        <f t="shared" ca="1" si="96"/>
        <v>0.57522408854620377</v>
      </c>
      <c r="E115" s="46">
        <f t="shared" ca="1" si="96"/>
        <v>0.24504542123385353</v>
      </c>
      <c r="F115" s="46">
        <f t="shared" ref="F115:G115" ca="1" si="143">AVERAGE(D111:D119)</f>
        <v>0.65632936365708294</v>
      </c>
      <c r="G115" s="46">
        <f t="shared" ca="1" si="143"/>
        <v>0.45792683592715316</v>
      </c>
      <c r="H115" s="46">
        <f t="shared" ca="1" si="98"/>
        <v>0.9273240309606654</v>
      </c>
      <c r="I115" s="46">
        <f t="shared" ca="1" si="99"/>
        <v>0.46332171427842361</v>
      </c>
      <c r="J115" s="46">
        <f t="shared" ca="1" si="100"/>
        <v>-0.45558706194459508</v>
      </c>
      <c r="K115" s="46">
        <f t="shared" ca="1" si="101"/>
        <v>0.48421235814446822</v>
      </c>
      <c r="L115" s="12">
        <f t="shared" ca="1" si="102"/>
        <v>1.6633238814166216</v>
      </c>
      <c r="M115" s="12">
        <f t="shared" ca="1" si="103"/>
        <v>13.694743253505639</v>
      </c>
      <c r="N115" s="46">
        <f t="shared" ca="1" si="104"/>
        <v>1.6633238814166216</v>
      </c>
      <c r="O115" s="12">
        <f t="shared" ca="1" si="105"/>
        <v>13.694743253505639</v>
      </c>
      <c r="P115" s="67">
        <f t="shared" ca="1" si="106"/>
        <v>-0.1106816924351901</v>
      </c>
      <c r="Q115" s="46">
        <f t="shared" ca="1" si="107"/>
        <v>11.920737679653827</v>
      </c>
      <c r="R115" s="46">
        <f t="shared" ca="1" si="108"/>
        <v>-1.3194074214600267</v>
      </c>
      <c r="S115" s="46">
        <f t="shared" ca="1" si="109"/>
        <v>1.2250437040318019E-2</v>
      </c>
      <c r="T115" s="46">
        <f t="shared" ca="1" si="110"/>
        <v>6.8343454723807984E-2</v>
      </c>
      <c r="U115" s="46">
        <f t="shared" ca="1" si="111"/>
        <v>1.8899520185538381</v>
      </c>
      <c r="V115" s="46">
        <f t="shared" ca="1" si="95"/>
        <v>13.433317442377877</v>
      </c>
      <c r="W115" s="68">
        <f t="shared" ca="1" si="112"/>
        <v>-0.26142581112776142</v>
      </c>
      <c r="X115" s="46"/>
      <c r="Y115" s="46"/>
      <c r="Z115" s="12"/>
      <c r="AA115" s="12"/>
      <c r="AB115" s="12"/>
      <c r="AC115" s="12"/>
      <c r="AD115" s="12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9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</row>
    <row r="116" spans="1:137" s="9" customFormat="1" x14ac:dyDescent="0.25">
      <c r="A116" s="1"/>
      <c r="B116" s="37"/>
      <c r="C116" s="46">
        <f t="shared" si="113"/>
        <v>24.25</v>
      </c>
      <c r="D116" s="46">
        <f t="shared" ca="1" si="96"/>
        <v>0.67155784533271956</v>
      </c>
      <c r="E116" s="46">
        <f t="shared" ca="1" si="96"/>
        <v>0.83338890574782176</v>
      </c>
      <c r="F116" s="46">
        <f t="shared" ref="F116:G116" ca="1" si="144">AVERAGE(D112:D120)</f>
        <v>0.64187896868911964</v>
      </c>
      <c r="G116" s="46">
        <f t="shared" ca="1" si="144"/>
        <v>0.40857816562986937</v>
      </c>
      <c r="H116" s="46">
        <f t="shared" ca="1" si="98"/>
        <v>0.89466187552490983</v>
      </c>
      <c r="I116" s="46">
        <f t="shared" ca="1" si="99"/>
        <v>0.37482436548959247</v>
      </c>
      <c r="J116" s="46">
        <f t="shared" ca="1" si="100"/>
        <v>-1.5729609743886801</v>
      </c>
      <c r="K116" s="46">
        <f t="shared" ca="1" si="101"/>
        <v>0.85237202266439116</v>
      </c>
      <c r="L116" s="12">
        <f t="shared" ca="1" si="102"/>
        <v>1.3281117076833961</v>
      </c>
      <c r="M116" s="12">
        <f t="shared" ca="1" si="103"/>
        <v>14.98330207932537</v>
      </c>
      <c r="N116" s="46">
        <f t="shared" ca="1" si="104"/>
        <v>1.3281117076833961</v>
      </c>
      <c r="O116" s="12">
        <f t="shared" ca="1" si="105"/>
        <v>14.98330207932537</v>
      </c>
      <c r="P116" s="67">
        <f t="shared" ca="1" si="106"/>
        <v>-0.44589386616841553</v>
      </c>
      <c r="Q116" s="46">
        <f t="shared" ca="1" si="107"/>
        <v>13.209296505473558</v>
      </c>
      <c r="R116" s="46">
        <f t="shared" ca="1" si="108"/>
        <v>-5.8899442881905459</v>
      </c>
      <c r="S116" s="46">
        <f t="shared" ca="1" si="109"/>
        <v>0.19882133988661685</v>
      </c>
      <c r="T116" s="46">
        <f t="shared" ca="1" si="110"/>
        <v>3.3191775736625893</v>
      </c>
      <c r="U116" s="46">
        <f t="shared" ca="1" si="111"/>
        <v>7.0932419074358846</v>
      </c>
      <c r="V116" s="46">
        <f t="shared" ref="V116:V124" ca="1" si="145">$AC$95+$AA$95*N116</f>
        <v>16.805163098630242</v>
      </c>
      <c r="W116" s="68">
        <f t="shared" ca="1" si="112"/>
        <v>1.8218610193048725</v>
      </c>
      <c r="X116" s="46"/>
      <c r="Y116" s="46"/>
      <c r="Z116" s="12"/>
      <c r="AA116" s="12"/>
      <c r="AB116" s="12"/>
      <c r="AC116" s="12"/>
      <c r="AD116" s="12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9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</row>
    <row r="117" spans="1:137" s="9" customFormat="1" ht="15.75" thickBot="1" x14ac:dyDescent="0.3">
      <c r="A117" s="1"/>
      <c r="B117" s="37"/>
      <c r="C117" s="46">
        <f t="shared" si="113"/>
        <v>24.5</v>
      </c>
      <c r="D117" s="46">
        <f t="shared" ca="1" si="96"/>
        <v>0.62008492522752834</v>
      </c>
      <c r="E117" s="46">
        <f t="shared" ca="1" si="96"/>
        <v>0.43289635890063038</v>
      </c>
      <c r="F117" s="46">
        <f t="shared" ref="F117:G117" ca="1" si="146">AVERAGE(D113:D121)</f>
        <v>0.65716077482886837</v>
      </c>
      <c r="G117" s="46">
        <f t="shared" ca="1" si="146"/>
        <v>0.43581658744910723</v>
      </c>
      <c r="H117" s="46">
        <f t="shared" ca="1" si="98"/>
        <v>0.92920326547183862</v>
      </c>
      <c r="I117" s="46">
        <f t="shared" ca="1" si="99"/>
        <v>0.42367123616864055</v>
      </c>
      <c r="J117" s="46">
        <f t="shared" ca="1" si="100"/>
        <v>-0.67536648847439651</v>
      </c>
      <c r="K117" s="46">
        <f t="shared" ca="1" si="101"/>
        <v>0.74139536989072941</v>
      </c>
      <c r="L117" s="12">
        <f t="shared" ca="1" si="102"/>
        <v>1.597390053457681</v>
      </c>
      <c r="M117" s="12">
        <f t="shared" ca="1" si="103"/>
        <v>14.594883794617553</v>
      </c>
      <c r="N117" s="46">
        <f t="shared" ca="1" si="104"/>
        <v>1.597390053457681</v>
      </c>
      <c r="O117" s="12">
        <f t="shared" ca="1" si="105"/>
        <v>14.594883794617553</v>
      </c>
      <c r="P117" s="67">
        <f t="shared" ref="P117:P124" ca="1" si="147">N117-$O$11</f>
        <v>-0.17661552039413064</v>
      </c>
      <c r="Q117" s="46">
        <f t="shared" ca="1" si="107"/>
        <v>12.820878220765742</v>
      </c>
      <c r="R117" s="46">
        <f t="shared" ca="1" si="108"/>
        <v>-2.2643660788703173</v>
      </c>
      <c r="S117" s="46">
        <f t="shared" ca="1" si="109"/>
        <v>3.1193042044089576E-2</v>
      </c>
      <c r="T117" s="46">
        <f t="shared" ca="1" si="110"/>
        <v>0.24835124679228185</v>
      </c>
      <c r="U117" s="46">
        <f t="shared" ca="1" si="111"/>
        <v>5.1751508954190779</v>
      </c>
      <c r="V117" s="46">
        <f t="shared" ca="1" si="145"/>
        <v>14.09653527521343</v>
      </c>
      <c r="W117" s="68">
        <f t="shared" ca="1" si="112"/>
        <v>-0.49834851940412328</v>
      </c>
      <c r="X117" s="46"/>
      <c r="Y117" s="46"/>
      <c r="Z117" s="12"/>
      <c r="AA117" s="12"/>
      <c r="AB117" s="12"/>
      <c r="AC117" s="12"/>
      <c r="AD117" s="12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9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</row>
    <row r="118" spans="1:137" s="9" customFormat="1" ht="19.5" thickBot="1" x14ac:dyDescent="0.35">
      <c r="A118" s="1"/>
      <c r="B118" s="37"/>
      <c r="C118" s="46">
        <f t="shared" si="113"/>
        <v>24.75</v>
      </c>
      <c r="D118" s="46">
        <f t="shared" ca="1" si="96"/>
        <v>0.966659054027872</v>
      </c>
      <c r="E118" s="46">
        <f t="shared" ca="1" si="96"/>
        <v>1.031113192679689E-2</v>
      </c>
      <c r="F118" s="46">
        <f t="shared" ref="F118:G118" ca="1" si="148">AVERAGE(D114:D122)</f>
        <v>0.68848267513597561</v>
      </c>
      <c r="G118" s="46">
        <f t="shared" ca="1" si="148"/>
        <v>0.35870918905413818</v>
      </c>
      <c r="H118" s="46">
        <f t="shared" ca="1" si="98"/>
        <v>1</v>
      </c>
      <c r="I118" s="46">
        <f t="shared" ca="1" si="99"/>
        <v>0.28539394746255498</v>
      </c>
      <c r="J118" s="46">
        <f t="shared" ca="1" si="100"/>
        <v>-0.80088375062788275</v>
      </c>
      <c r="K118" s="46">
        <f t="shared" ca="1" si="101"/>
        <v>-0.12348040084117151</v>
      </c>
      <c r="L118" s="12">
        <f t="shared" ca="1" si="102"/>
        <v>1.5597348748116353</v>
      </c>
      <c r="M118" s="12">
        <f t="shared" ca="1" si="103"/>
        <v>11.567818597055899</v>
      </c>
      <c r="N118" s="46">
        <f t="shared" ca="1" si="104"/>
        <v>1.5597348748116353</v>
      </c>
      <c r="O118" s="12">
        <f t="shared" ca="1" si="105"/>
        <v>11.567818597055899</v>
      </c>
      <c r="P118" s="67">
        <f t="shared" ca="1" si="147"/>
        <v>-0.21427069904017637</v>
      </c>
      <c r="Q118" s="46">
        <f t="shared" ca="1" si="107"/>
        <v>9.7938130232040876</v>
      </c>
      <c r="R118" s="46">
        <f t="shared" ca="1" si="108"/>
        <v>-2.0985271627507229</v>
      </c>
      <c r="S118" s="46">
        <f t="shared" ca="1" si="109"/>
        <v>4.5911932467165836E-2</v>
      </c>
      <c r="T118" s="46">
        <f t="shared" ca="1" si="110"/>
        <v>8.4534637872066885</v>
      </c>
      <c r="U118" s="46">
        <f t="shared" ca="1" si="111"/>
        <v>0.56575880442646309</v>
      </c>
      <c r="V118" s="46">
        <f t="shared" ca="1" si="145"/>
        <v>14.475302696274102</v>
      </c>
      <c r="W118" s="68">
        <f t="shared" ca="1" si="112"/>
        <v>2.9074840992182036</v>
      </c>
      <c r="X118" s="46"/>
      <c r="Y118" s="46"/>
      <c r="Z118" s="143" t="s">
        <v>122</v>
      </c>
      <c r="AA118" s="140"/>
      <c r="AB118" s="140"/>
      <c r="AC118" s="140"/>
      <c r="AD118" s="140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2"/>
      <c r="BB118" s="39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</row>
    <row r="119" spans="1:137" s="9" customFormat="1" x14ac:dyDescent="0.25">
      <c r="A119" s="1"/>
      <c r="B119" s="37"/>
      <c r="C119" s="46">
        <f t="shared" si="113"/>
        <v>25</v>
      </c>
      <c r="D119" s="46">
        <f t="shared" ca="1" si="96"/>
        <v>0.49091401917784228</v>
      </c>
      <c r="E119" s="46">
        <f t="shared" ca="1" si="96"/>
        <v>8.4409598585856171E-3</v>
      </c>
      <c r="F119" s="46">
        <f t="shared" ref="F119:G119" ca="1" si="149">AVERAGE(D115:D123)</f>
        <v>0.6826030526028577</v>
      </c>
      <c r="G119" s="46">
        <f t="shared" ca="1" si="149"/>
        <v>0.28713219592843597</v>
      </c>
      <c r="H119" s="46">
        <f t="shared" ca="1" si="98"/>
        <v>0.98671031861025071</v>
      </c>
      <c r="I119" s="46">
        <f t="shared" ca="1" si="99"/>
        <v>0.15703437692616923</v>
      </c>
      <c r="J119" s="46">
        <f t="shared" ca="1" si="100"/>
        <v>0.1664333652894037</v>
      </c>
      <c r="K119" s="46">
        <f t="shared" ca="1" si="101"/>
        <v>-0.62244827400465708</v>
      </c>
      <c r="L119" s="12">
        <f t="shared" ca="1" si="102"/>
        <v>1.8499300095868212</v>
      </c>
      <c r="M119" s="12">
        <f t="shared" ca="1" si="103"/>
        <v>9.8214310409837005</v>
      </c>
      <c r="N119" s="46">
        <f t="shared" ca="1" si="104"/>
        <v>1.8499300095868212</v>
      </c>
      <c r="O119" s="12">
        <f t="shared" ca="1" si="105"/>
        <v>9.8214310409837005</v>
      </c>
      <c r="P119" s="67">
        <f t="shared" ca="1" si="147"/>
        <v>7.592443573500951E-2</v>
      </c>
      <c r="Q119" s="46">
        <f t="shared" ca="1" si="107"/>
        <v>8.0474254671318892</v>
      </c>
      <c r="R119" s="46">
        <f t="shared" ca="1" si="108"/>
        <v>0.610996237711534</v>
      </c>
      <c r="S119" s="46">
        <f t="shared" ca="1" si="109"/>
        <v>5.7645199416795894E-3</v>
      </c>
      <c r="T119" s="46">
        <f t="shared" ca="1" si="110"/>
        <v>3.0096878535279883</v>
      </c>
      <c r="U119" s="46">
        <f t="shared" ca="1" si="111"/>
        <v>6.2427868565253446</v>
      </c>
      <c r="V119" s="46">
        <f t="shared" ca="1" si="145"/>
        <v>11.556276236823372</v>
      </c>
      <c r="W119" s="68">
        <f t="shared" ca="1" si="112"/>
        <v>1.7348451958396716</v>
      </c>
      <c r="X119" s="46"/>
      <c r="Y119" s="46"/>
      <c r="Z119" s="113"/>
      <c r="AA119" s="114"/>
      <c r="AB119" s="114"/>
      <c r="AC119" s="114"/>
      <c r="AD119" s="114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9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</row>
    <row r="120" spans="1:137" s="9" customFormat="1" x14ac:dyDescent="0.25">
      <c r="A120" s="1"/>
      <c r="B120" s="37"/>
      <c r="C120" s="46">
        <f t="shared" si="113"/>
        <v>25.25</v>
      </c>
      <c r="D120" s="46">
        <f t="shared" ca="1" si="96"/>
        <v>0.60993582279614222</v>
      </c>
      <c r="E120" s="46">
        <f t="shared" ca="1" si="96"/>
        <v>0.12005051701773461</v>
      </c>
      <c r="F120" s="46">
        <f t="shared" ref="F120:G120" ca="1" si="150">AVERAGE(D116:D124)</f>
        <v>0.65202125823266954</v>
      </c>
      <c r="G120" s="46">
        <f t="shared" ca="1" si="150"/>
        <v>0.29591582215309015</v>
      </c>
      <c r="H120" s="46">
        <f t="shared" ca="1" si="98"/>
        <v>0.91758644182778892</v>
      </c>
      <c r="I120" s="46">
        <f t="shared" ca="1" si="99"/>
        <v>0.17278612117684927</v>
      </c>
      <c r="J120" s="46">
        <f t="shared" ca="1" si="100"/>
        <v>1.0386719036868421</v>
      </c>
      <c r="K120" s="46">
        <f t="shared" ca="1" si="101"/>
        <v>-0.92212374432711297</v>
      </c>
      <c r="L120" s="12">
        <f t="shared" ca="1" si="102"/>
        <v>2.1116015711060525</v>
      </c>
      <c r="M120" s="12">
        <f t="shared" ca="1" si="103"/>
        <v>8.772566894855105</v>
      </c>
      <c r="N120" s="46">
        <f t="shared" ca="1" si="104"/>
        <v>2.1116015711060525</v>
      </c>
      <c r="O120" s="12">
        <f t="shared" ca="1" si="105"/>
        <v>8.772566894855105</v>
      </c>
      <c r="P120" s="67">
        <f t="shared" ca="1" si="147"/>
        <v>0.33759599725424083</v>
      </c>
      <c r="Q120" s="46">
        <f t="shared" ca="1" si="107"/>
        <v>6.9985613210032938</v>
      </c>
      <c r="R120" s="46">
        <f t="shared" ca="1" si="108"/>
        <v>2.3626862885090643</v>
      </c>
      <c r="S120" s="46">
        <f t="shared" ca="1" si="109"/>
        <v>0.11397105736208538</v>
      </c>
      <c r="T120" s="46">
        <f t="shared" ca="1" si="110"/>
        <v>2.2981633755501971E-2</v>
      </c>
      <c r="U120" s="46">
        <f t="shared" ca="1" si="111"/>
        <v>12.584196467520588</v>
      </c>
      <c r="V120" s="46">
        <f t="shared" ca="1" si="145"/>
        <v>8.924163839928223</v>
      </c>
      <c r="W120" s="68">
        <f t="shared" ca="1" si="112"/>
        <v>0.15159694507311805</v>
      </c>
      <c r="X120" s="46"/>
      <c r="Y120" s="46"/>
      <c r="Z120" s="113" t="s">
        <v>101</v>
      </c>
      <c r="AA120" s="114"/>
      <c r="AB120" s="114"/>
      <c r="AC120" s="114"/>
      <c r="AD120" s="114"/>
      <c r="AE120" s="40"/>
      <c r="AF120" s="40"/>
      <c r="AG120" s="40"/>
      <c r="AH120" s="40"/>
      <c r="AI120" s="40"/>
      <c r="AJ120" s="40"/>
      <c r="AK120" s="40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9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</row>
    <row r="121" spans="1:137" s="9" customFormat="1" x14ac:dyDescent="0.25">
      <c r="A121" s="1"/>
      <c r="B121" s="37"/>
      <c r="C121" s="46">
        <f t="shared" si="113"/>
        <v>25.5</v>
      </c>
      <c r="D121" s="46">
        <f t="shared" ca="1" si="96"/>
        <v>0.67054411739010189</v>
      </c>
      <c r="E121" s="46">
        <f t="shared" ca="1" si="96"/>
        <v>0.76851713339706873</v>
      </c>
      <c r="F121" s="46">
        <f ca="1">AVERAGE(D117:D124)</f>
        <v>0.6495791848451633</v>
      </c>
      <c r="G121" s="46">
        <f ca="1">AVERAGE(E117:E124)</f>
        <v>0.2287316867037486</v>
      </c>
      <c r="H121" s="46">
        <f t="shared" ca="1" si="98"/>
        <v>0.9120666355702377</v>
      </c>
      <c r="I121" s="46">
        <f t="shared" ca="1" si="99"/>
        <v>5.2304295990493382E-2</v>
      </c>
      <c r="J121" s="46">
        <f t="shared" ca="1" si="100"/>
        <v>-0.72114821866908785</v>
      </c>
      <c r="K121" s="46">
        <f t="shared" ca="1" si="101"/>
        <v>0.18453463661630015</v>
      </c>
      <c r="L121" s="12">
        <f t="shared" ca="1" si="102"/>
        <v>1.5836555343992738</v>
      </c>
      <c r="M121" s="12">
        <f t="shared" ca="1" si="103"/>
        <v>12.64587122815705</v>
      </c>
      <c r="N121" s="46">
        <f t="shared" ca="1" si="104"/>
        <v>1.5836555343992738</v>
      </c>
      <c r="O121" s="12">
        <f t="shared" ca="1" si="105"/>
        <v>12.64587122815705</v>
      </c>
      <c r="P121" s="67">
        <f t="shared" ca="1" si="147"/>
        <v>-0.19035003945253792</v>
      </c>
      <c r="Q121" s="46">
        <f t="shared" ca="1" si="107"/>
        <v>10.871865654305239</v>
      </c>
      <c r="R121" s="46">
        <f t="shared" ca="1" si="108"/>
        <v>-2.0694600562196941</v>
      </c>
      <c r="S121" s="46">
        <f t="shared" ca="1" si="109"/>
        <v>3.6233137519582743E-2</v>
      </c>
      <c r="T121" s="46">
        <f t="shared" ca="1" si="110"/>
        <v>2.5243406611439272</v>
      </c>
      <c r="U121" s="46">
        <f t="shared" ca="1" si="111"/>
        <v>0.10619988112307376</v>
      </c>
      <c r="V121" s="46">
        <f t="shared" ca="1" si="145"/>
        <v>14.234688606317274</v>
      </c>
      <c r="W121" s="68">
        <f t="shared" ca="1" si="112"/>
        <v>1.5888173781602237</v>
      </c>
      <c r="X121" s="46"/>
      <c r="Y121" s="46"/>
      <c r="Z121" s="113" t="s">
        <v>100</v>
      </c>
      <c r="AA121" s="114"/>
      <c r="AB121" s="114"/>
      <c r="AC121" s="114"/>
      <c r="AD121" s="114"/>
      <c r="AE121" s="40"/>
      <c r="AF121" s="40"/>
      <c r="AG121" s="40"/>
      <c r="AH121" s="40"/>
      <c r="AI121" s="40"/>
      <c r="AJ121" s="40"/>
      <c r="AK121" s="40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9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</row>
    <row r="122" spans="1:137" s="9" customFormat="1" ht="15.75" thickBot="1" x14ac:dyDescent="0.3">
      <c r="A122" s="1"/>
      <c r="B122" s="37"/>
      <c r="C122" s="46">
        <f t="shared" si="113"/>
        <v>25.75</v>
      </c>
      <c r="D122" s="46">
        <f t="shared" ca="1" si="96"/>
        <v>0.68426447352795283</v>
      </c>
      <c r="E122" s="46">
        <f t="shared" ca="1" si="96"/>
        <v>0.10524375774243611</v>
      </c>
      <c r="F122" s="46">
        <f ca="1">AVERAGE(D118:D124)</f>
        <v>0.65379265050482538</v>
      </c>
      <c r="G122" s="46">
        <f ca="1">AVERAGE(E118:E124)</f>
        <v>0.19956530496133698</v>
      </c>
      <c r="H122" s="46">
        <f t="shared" ca="1" si="98"/>
        <v>0.92159031091642785</v>
      </c>
      <c r="I122" s="46">
        <f t="shared" ca="1" si="99"/>
        <v>0</v>
      </c>
      <c r="J122" s="46">
        <f t="shared" ca="1" si="100"/>
        <v>-0.31141020510940653</v>
      </c>
      <c r="K122" s="46">
        <f t="shared" ca="1" si="101"/>
        <v>-7.5579520887257168E-2</v>
      </c>
      <c r="L122" s="12">
        <f t="shared" ca="1" si="102"/>
        <v>1.7065769384671781</v>
      </c>
      <c r="M122" s="12">
        <f t="shared" ca="1" si="103"/>
        <v>11.735471676894599</v>
      </c>
      <c r="N122" s="46">
        <f t="shared" ca="1" si="104"/>
        <v>1.7065769384671781</v>
      </c>
      <c r="O122" s="12">
        <f t="shared" ca="1" si="105"/>
        <v>11.735471676894599</v>
      </c>
      <c r="P122" s="67">
        <f t="shared" ca="1" si="147"/>
        <v>-6.7428635384633617E-2</v>
      </c>
      <c r="Q122" s="46">
        <f t="shared" ca="1" si="107"/>
        <v>9.9614661030427882</v>
      </c>
      <c r="R122" s="46">
        <f t="shared" ca="1" si="108"/>
        <v>-0.6716880657584593</v>
      </c>
      <c r="S122" s="46">
        <f t="shared" ca="1" si="109"/>
        <v>4.546620869833865E-3</v>
      </c>
      <c r="T122" s="46">
        <f t="shared" ca="1" si="110"/>
        <v>1.5945885290986177</v>
      </c>
      <c r="U122" s="46">
        <f t="shared" ca="1" si="111"/>
        <v>0.34165932708179619</v>
      </c>
      <c r="V122" s="46">
        <f t="shared" ca="1" si="145"/>
        <v>12.998241857528676</v>
      </c>
      <c r="W122" s="68">
        <f t="shared" ca="1" si="112"/>
        <v>1.2627701806340763</v>
      </c>
      <c r="X122" s="46"/>
      <c r="Y122" s="46"/>
      <c r="Z122" s="12"/>
      <c r="AA122" s="12"/>
      <c r="AB122" s="12"/>
      <c r="AC122" s="12"/>
      <c r="AD122" s="12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9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</row>
    <row r="123" spans="1:137" s="9" customFormat="1" x14ac:dyDescent="0.25">
      <c r="A123" s="1"/>
      <c r="B123" s="37"/>
      <c r="C123" s="46">
        <f t="shared" si="113"/>
        <v>26</v>
      </c>
      <c r="D123" s="46">
        <f t="shared" ca="1" si="96"/>
        <v>0.85424312739935671</v>
      </c>
      <c r="E123" s="46">
        <f t="shared" ca="1" si="96"/>
        <v>6.0295577530995903E-2</v>
      </c>
      <c r="F123" s="46">
        <f ca="1">AVERAGE(D119:D124)</f>
        <v>0.60164824991765109</v>
      </c>
      <c r="G123" s="46">
        <f ca="1">AVERAGE(E119:E124)</f>
        <v>0.23110766713376027</v>
      </c>
      <c r="H123" s="46">
        <f t="shared" ca="1" si="98"/>
        <v>0.80372858320182261</v>
      </c>
      <c r="I123" s="46">
        <f t="shared" ca="1" si="99"/>
        <v>5.6565159911719502E-2</v>
      </c>
      <c r="J123" s="46">
        <f t="shared" ca="1" si="100"/>
        <v>1.3443285372966045</v>
      </c>
      <c r="K123" s="46">
        <f t="shared" ca="1" si="101"/>
        <v>-0.37894152080884846</v>
      </c>
      <c r="L123" s="12">
        <f t="shared" ca="1" si="102"/>
        <v>2.2032985611889813</v>
      </c>
      <c r="M123" s="12">
        <f t="shared" ca="1" si="103"/>
        <v>10.673704677169031</v>
      </c>
      <c r="N123" s="46">
        <f t="shared" ca="1" si="104"/>
        <v>2.2032985611889813</v>
      </c>
      <c r="O123" s="12">
        <f t="shared" ca="1" si="105"/>
        <v>10.673704677169031</v>
      </c>
      <c r="P123" s="67">
        <f t="shared" ca="1" si="147"/>
        <v>0.42929298733716958</v>
      </c>
      <c r="Q123" s="46">
        <f t="shared" ca="1" si="107"/>
        <v>8.8996991033172197</v>
      </c>
      <c r="R123" s="46">
        <f t="shared" ca="1" si="108"/>
        <v>3.8205784144649786</v>
      </c>
      <c r="S123" s="46">
        <f t="shared" ca="1" si="109"/>
        <v>0.18429246897687124</v>
      </c>
      <c r="T123" s="46">
        <f t="shared" ca="1" si="110"/>
        <v>7.1390827332418088</v>
      </c>
      <c r="U123" s="46">
        <f t="shared" ca="1" si="111"/>
        <v>2.7102487652450589</v>
      </c>
      <c r="V123" s="46">
        <f t="shared" ca="1" si="145"/>
        <v>8.0017984787328267</v>
      </c>
      <c r="W123" s="68">
        <f t="shared" ca="1" si="112"/>
        <v>-2.6719061984362042</v>
      </c>
      <c r="X123" s="46"/>
      <c r="Y123" s="46"/>
      <c r="Z123" s="73">
        <f t="array" aca="1" ref="Z123:AA127" ca="1">LINEST(O20:O124,N20:N124,TRUE,TRUE)</f>
        <v>-10.058840103270839</v>
      </c>
      <c r="AA123" s="74">
        <f ca="1"/>
        <v>30.164426405499498</v>
      </c>
      <c r="AB123" s="12"/>
      <c r="AC123" s="38"/>
      <c r="AD123" s="38"/>
      <c r="AE123" s="120" t="s">
        <v>102</v>
      </c>
      <c r="AF123" s="157">
        <f ca="1">Z123</f>
        <v>-10.058840103270839</v>
      </c>
      <c r="AG123" s="119"/>
      <c r="AH123" s="38"/>
      <c r="AI123" s="38"/>
      <c r="AJ123" s="119" t="s">
        <v>109</v>
      </c>
      <c r="AK123" s="157">
        <f ca="1">AA123</f>
        <v>30.164426405499498</v>
      </c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9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</row>
    <row r="124" spans="1:137" s="9" customFormat="1" x14ac:dyDescent="0.25">
      <c r="A124" s="1"/>
      <c r="B124" s="37"/>
      <c r="C124" s="46">
        <f t="shared" si="113"/>
        <v>26.25</v>
      </c>
      <c r="D124" s="46">
        <f t="shared" ca="1" si="96"/>
        <v>0.29998793921451072</v>
      </c>
      <c r="E124" s="46">
        <f t="shared" ca="1" si="96"/>
        <v>0.3240980572557407</v>
      </c>
      <c r="F124" s="46">
        <f ca="1">AVERAGE(D120:D124)</f>
        <v>0.6237950960656129</v>
      </c>
      <c r="G124" s="46">
        <f ca="1">AVERAGE(E120:E124)</f>
        <v>0.27564100858879526</v>
      </c>
      <c r="H124" s="46">
        <f t="shared" ca="1" si="98"/>
        <v>0.85378698872639125</v>
      </c>
      <c r="I124" s="46">
        <f t="shared" ca="1" si="99"/>
        <v>0.13642714256974606</v>
      </c>
      <c r="J124" s="46">
        <f t="shared" ca="1" si="100"/>
        <v>1.5584455041607852</v>
      </c>
      <c r="K124" s="46">
        <f t="shared" ca="1" si="101"/>
        <v>-1.2799232687476028</v>
      </c>
      <c r="L124" s="12">
        <f t="shared" ca="1" si="102"/>
        <v>2.2675336512482356</v>
      </c>
      <c r="M124" s="12">
        <f t="shared" ca="1" si="103"/>
        <v>7.52026855938339</v>
      </c>
      <c r="N124" s="46">
        <f t="shared" ca="1" si="104"/>
        <v>2.2675336512482356</v>
      </c>
      <c r="O124" s="12">
        <f t="shared" ca="1" si="105"/>
        <v>7.52026855938339</v>
      </c>
      <c r="P124" s="67">
        <f t="shared" ca="1" si="147"/>
        <v>0.4935280773964239</v>
      </c>
      <c r="Q124" s="46">
        <f t="shared" ca="1" si="107"/>
        <v>5.7462629855315779</v>
      </c>
      <c r="R124" s="46">
        <f t="shared" ca="1" si="108"/>
        <v>2.8359421234636346</v>
      </c>
      <c r="S124" s="46">
        <f t="shared" ca="1" si="109"/>
        <v>0.24356996317861057</v>
      </c>
      <c r="T124" s="46">
        <f t="shared" ca="1" si="110"/>
        <v>2.709335112589217E-2</v>
      </c>
      <c r="U124" s="46">
        <f t="shared" ca="1" si="111"/>
        <v>23.037306668439179</v>
      </c>
      <c r="V124" s="46">
        <f t="shared" ca="1" si="145"/>
        <v>7.3556679788075847</v>
      </c>
      <c r="W124" s="68">
        <f t="shared" ca="1" si="112"/>
        <v>-0.16460058057580529</v>
      </c>
      <c r="X124" s="46"/>
      <c r="Y124" s="46"/>
      <c r="Z124" s="67">
        <f ca="1"/>
        <v>0.73977648424746978</v>
      </c>
      <c r="AA124" s="68">
        <f ca="1"/>
        <v>1.327486039581715</v>
      </c>
      <c r="AB124" s="12"/>
      <c r="AC124" s="38"/>
      <c r="AD124" s="38"/>
      <c r="AE124" s="120" t="s">
        <v>103</v>
      </c>
      <c r="AF124" s="116">
        <f ca="1">Z124</f>
        <v>0.73977648424746978</v>
      </c>
      <c r="AG124" s="119"/>
      <c r="AH124" s="38"/>
      <c r="AI124" s="38"/>
      <c r="AJ124" s="119" t="s">
        <v>110</v>
      </c>
      <c r="AK124" s="116">
        <f ca="1">AA124</f>
        <v>1.327486039581715</v>
      </c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9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</row>
    <row r="125" spans="1:137" s="9" customFormat="1" x14ac:dyDescent="0.25">
      <c r="A125" s="1"/>
      <c r="B125" s="37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67">
        <f ca="1"/>
        <v>0.64221458967644984</v>
      </c>
      <c r="AA125" s="68">
        <f ca="1"/>
        <v>2.0470948522257695</v>
      </c>
      <c r="AB125" s="12"/>
      <c r="AC125" s="38"/>
      <c r="AD125" s="38"/>
      <c r="AE125" s="120" t="s">
        <v>104</v>
      </c>
      <c r="AF125" s="116">
        <f ca="1">Z125</f>
        <v>0.64221458967644984</v>
      </c>
      <c r="AG125" s="119"/>
      <c r="AH125" s="38"/>
      <c r="AI125" s="38"/>
      <c r="AJ125" s="119" t="s">
        <v>108</v>
      </c>
      <c r="AK125" s="115">
        <f ca="1">AA125</f>
        <v>2.0470948522257695</v>
      </c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9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</row>
    <row r="126" spans="1:137" x14ac:dyDescent="0.25">
      <c r="A126" s="51"/>
      <c r="B126" s="37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67">
        <f ca="1"/>
        <v>184.88205731154804</v>
      </c>
      <c r="AA126" s="75">
        <f ca="1"/>
        <v>103</v>
      </c>
      <c r="AB126" s="12"/>
      <c r="AC126" s="38"/>
      <c r="AD126" s="38"/>
      <c r="AE126" s="120" t="s">
        <v>105</v>
      </c>
      <c r="AF126" s="116">
        <f ca="1">Z126</f>
        <v>184.88205731154804</v>
      </c>
      <c r="AG126" s="119"/>
      <c r="AH126" s="38"/>
      <c r="AI126" s="38"/>
      <c r="AJ126" s="119" t="s">
        <v>107</v>
      </c>
      <c r="AK126" s="118">
        <f ca="1">AA126</f>
        <v>103</v>
      </c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9"/>
    </row>
    <row r="127" spans="1:137" ht="15.75" thickBot="1" x14ac:dyDescent="0.3">
      <c r="A127" s="51"/>
      <c r="B127" s="37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69">
        <f ca="1"/>
        <v>774.76625647591777</v>
      </c>
      <c r="AA127" s="70">
        <f ca="1"/>
        <v>431.63152540295232</v>
      </c>
      <c r="AB127" s="12"/>
      <c r="AC127" s="38"/>
      <c r="AD127" s="43"/>
      <c r="AE127" s="120" t="s">
        <v>106</v>
      </c>
      <c r="AF127" s="117">
        <f ca="1">Z127</f>
        <v>774.76625647591777</v>
      </c>
      <c r="AG127" s="119"/>
      <c r="AH127" s="38"/>
      <c r="AI127" s="38"/>
      <c r="AJ127" s="119" t="s">
        <v>123</v>
      </c>
      <c r="AK127" s="117">
        <f ca="1">AA127</f>
        <v>431.63152540295232</v>
      </c>
      <c r="AL127" s="38"/>
      <c r="AM127" s="38"/>
      <c r="AN127" s="38"/>
      <c r="AO127" s="38"/>
      <c r="AP127" s="38"/>
      <c r="AQ127" s="38"/>
      <c r="AR127" s="38"/>
      <c r="AS127" s="43" t="s">
        <v>117</v>
      </c>
      <c r="AT127" s="38"/>
      <c r="AU127" s="38"/>
      <c r="AV127" s="38"/>
      <c r="AW127" s="38"/>
      <c r="AX127" s="38"/>
      <c r="AY127" s="38"/>
      <c r="AZ127" s="38"/>
      <c r="BA127" s="38"/>
      <c r="BB127" s="39"/>
    </row>
    <row r="128" spans="1:137" ht="15.75" thickBot="1" x14ac:dyDescent="0.3">
      <c r="A128" s="51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12"/>
      <c r="AA128" s="12"/>
      <c r="AB128" s="12"/>
      <c r="AC128" s="57"/>
      <c r="AD128" s="12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9"/>
    </row>
    <row r="129" spans="1:54" ht="15.75" thickBot="1" x14ac:dyDescent="0.3">
      <c r="A129" s="51"/>
      <c r="B129" s="37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AA129" s="46">
        <f ca="1">Z127/(AA127+Z127)</f>
        <v>0.64221458967644984</v>
      </c>
      <c r="AB129" s="46"/>
      <c r="AC129" s="12"/>
      <c r="AD129" s="38"/>
      <c r="AE129" s="38"/>
      <c r="AF129" s="38"/>
      <c r="AG129" s="38"/>
      <c r="AH129" s="38"/>
      <c r="AI129" s="38"/>
      <c r="AJ129" s="79" t="s">
        <v>111</v>
      </c>
      <c r="AK129" s="121">
        <f ca="1">AK127/AK126</f>
        <v>4.1905973340092455</v>
      </c>
      <c r="AL129" s="38"/>
      <c r="AM129" s="38" t="s">
        <v>116</v>
      </c>
      <c r="AN129" s="38"/>
      <c r="AO129" s="38"/>
      <c r="AP129" s="38"/>
      <c r="AQ129" s="38"/>
      <c r="AR129" s="38"/>
      <c r="AS129" s="45" t="s">
        <v>73</v>
      </c>
      <c r="AT129" s="38"/>
      <c r="AU129" s="38"/>
      <c r="AV129" s="38"/>
      <c r="AW129" s="38"/>
      <c r="AX129" s="38"/>
      <c r="AY129" s="38"/>
      <c r="AZ129" s="38"/>
      <c r="BA129" s="38"/>
      <c r="BB129" s="39"/>
    </row>
    <row r="130" spans="1:54" ht="15.75" thickBot="1" x14ac:dyDescent="0.3">
      <c r="A130" s="51"/>
      <c r="B130" s="37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9"/>
    </row>
    <row r="131" spans="1:54" ht="15.75" thickBot="1" x14ac:dyDescent="0.3">
      <c r="A131" s="51"/>
      <c r="B131" s="37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130" t="s">
        <v>114</v>
      </c>
      <c r="AA131" s="130"/>
      <c r="AB131" s="130"/>
      <c r="AC131" s="130"/>
      <c r="AD131" s="130"/>
      <c r="AE131" s="130"/>
      <c r="AF131" s="38"/>
      <c r="AG131" s="38"/>
      <c r="AH131" s="38"/>
      <c r="AI131" s="38"/>
      <c r="AJ131" s="38"/>
      <c r="AK131" s="38"/>
      <c r="AL131" s="38"/>
      <c r="AM131" s="98" t="s">
        <v>70</v>
      </c>
      <c r="AN131" s="38"/>
      <c r="AO131" s="38"/>
      <c r="AP131" s="38"/>
      <c r="AQ131" s="38"/>
      <c r="AR131" s="38"/>
      <c r="AS131" s="38"/>
      <c r="AT131" s="38" t="s">
        <v>49</v>
      </c>
      <c r="AU131" s="38"/>
      <c r="AV131" s="38"/>
      <c r="AW131" s="38"/>
      <c r="AX131" s="156">
        <f ca="1">AF123</f>
        <v>-10.058840103270839</v>
      </c>
      <c r="AY131" s="102" t="s">
        <v>50</v>
      </c>
      <c r="AZ131" s="155">
        <f ca="1">AF124*AG136</f>
        <v>1.6827257044976685</v>
      </c>
      <c r="BA131" s="38"/>
      <c r="BB131" s="39"/>
    </row>
    <row r="132" spans="1:54" ht="18" x14ac:dyDescent="0.35">
      <c r="A132" s="51"/>
      <c r="B132" s="37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 t="s">
        <v>115</v>
      </c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47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9"/>
    </row>
    <row r="133" spans="1:54" x14ac:dyDescent="0.25">
      <c r="A133" s="51"/>
      <c r="B133" s="37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130"/>
      <c r="AA133" s="130"/>
      <c r="AB133" s="130"/>
      <c r="AC133" s="130"/>
      <c r="AD133" s="130"/>
      <c r="AE133" s="130"/>
      <c r="AF133" s="38"/>
      <c r="AG133" s="38"/>
      <c r="AH133" s="38"/>
      <c r="AI133" s="47"/>
      <c r="AJ133" s="38"/>
      <c r="AK133" s="47"/>
      <c r="AL133" s="38"/>
      <c r="AM133" s="38"/>
      <c r="AN133" s="38"/>
      <c r="AO133" s="38"/>
      <c r="AP133" s="38"/>
      <c r="AQ133" s="38"/>
      <c r="AR133" s="38"/>
      <c r="AS133" s="38" t="s">
        <v>118</v>
      </c>
      <c r="AT133" s="43"/>
      <c r="AU133" s="43"/>
      <c r="AV133" s="43"/>
      <c r="AW133" s="43"/>
      <c r="AX133" s="43"/>
      <c r="AY133" s="43"/>
      <c r="AZ133" s="43"/>
      <c r="BA133" s="38"/>
      <c r="BB133" s="39"/>
    </row>
    <row r="134" spans="1:54" ht="15.75" thickBot="1" x14ac:dyDescent="0.3">
      <c r="A134" s="51"/>
      <c r="B134" s="37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98" t="s">
        <v>69</v>
      </c>
      <c r="AA134" s="12"/>
      <c r="AB134" s="38"/>
      <c r="AC134" s="38"/>
      <c r="AD134" s="38"/>
      <c r="AE134" s="38"/>
      <c r="AF134" s="38"/>
      <c r="AG134" s="38"/>
      <c r="AH134" s="38"/>
      <c r="AI134" s="38"/>
      <c r="AJ134" s="38"/>
      <c r="AK134" s="150" t="s">
        <v>132</v>
      </c>
      <c r="AL134" s="38"/>
      <c r="AM134" s="38"/>
      <c r="AN134" s="38"/>
      <c r="AO134" s="38"/>
      <c r="AP134" s="38"/>
      <c r="AQ134" s="38"/>
      <c r="AR134" s="38"/>
      <c r="AS134" s="38" t="s">
        <v>119</v>
      </c>
      <c r="AT134" s="38"/>
      <c r="AU134" s="38"/>
      <c r="AV134" s="38"/>
      <c r="AW134" s="38"/>
      <c r="AX134" s="38"/>
      <c r="AY134" s="38"/>
      <c r="AZ134" s="38"/>
      <c r="BA134" s="38"/>
      <c r="BB134" s="39"/>
    </row>
    <row r="135" spans="1:54" ht="15.75" thickBot="1" x14ac:dyDescent="0.3">
      <c r="A135" s="51"/>
      <c r="B135" s="37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12"/>
      <c r="AC135" s="57" t="s">
        <v>46</v>
      </c>
      <c r="AD135" s="12"/>
      <c r="AE135" s="12" t="s">
        <v>47</v>
      </c>
      <c r="AF135" s="38"/>
      <c r="AG135" s="38" t="s">
        <v>48</v>
      </c>
      <c r="AH135" s="38"/>
      <c r="AI135" s="38" t="s">
        <v>130</v>
      </c>
      <c r="AJ135" s="149">
        <f ca="1">Z127</f>
        <v>774.76625647591777</v>
      </c>
      <c r="AK135" s="148">
        <f ca="1">AJ135/AJ136</f>
        <v>184.88205731154804</v>
      </c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9"/>
    </row>
    <row r="136" spans="1:54" ht="15.75" thickBot="1" x14ac:dyDescent="0.3">
      <c r="A136" s="51"/>
      <c r="B136" s="37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77" t="s">
        <v>51</v>
      </c>
      <c r="AC136" s="99">
        <f ca="1">AF123/AF124</f>
        <v>-13.597134158033008</v>
      </c>
      <c r="AD136" s="78" t="s">
        <v>51</v>
      </c>
      <c r="AE136" s="99">
        <f ca="1">AK123/AK124</f>
        <v>22.722970717646248</v>
      </c>
      <c r="AF136" s="47"/>
      <c r="AG136" s="101">
        <f ca="1">_xlfn.T.INV.2T(0.025,AK126)</f>
        <v>2.2746407061173408</v>
      </c>
      <c r="AH136" s="38"/>
      <c r="AI136" s="38" t="s">
        <v>131</v>
      </c>
      <c r="AJ136" s="12">
        <f ca="1">AA127/(AA126)</f>
        <v>4.1905973340092455</v>
      </c>
      <c r="AK136" s="38"/>
      <c r="AL136" s="38"/>
      <c r="AM136" s="38"/>
      <c r="AN136" s="38"/>
      <c r="AO136" s="38"/>
      <c r="AP136" s="38"/>
      <c r="AQ136" s="38"/>
      <c r="AR136" s="38"/>
      <c r="AS136" s="45" t="s">
        <v>74</v>
      </c>
      <c r="AT136" s="38"/>
      <c r="AU136" s="38"/>
      <c r="AV136" s="38"/>
      <c r="AW136" s="38"/>
      <c r="AX136" s="38"/>
      <c r="AY136" s="38"/>
      <c r="AZ136" s="38"/>
      <c r="BA136" s="38"/>
      <c r="BB136" s="39"/>
    </row>
    <row r="137" spans="1:54" ht="15.75" thickBot="1" x14ac:dyDescent="0.3">
      <c r="A137" s="51"/>
      <c r="B137" s="37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77" t="s">
        <v>52</v>
      </c>
      <c r="AC137" s="100">
        <f ca="1">_xlfn.T.DIST(AC136,AK126,TRUE)</f>
        <v>4.9990494160480911E-25</v>
      </c>
      <c r="AD137" s="77" t="s">
        <v>52</v>
      </c>
      <c r="AE137" s="100">
        <f ca="1">_xlfn.T.DIST.2T(AE136,AK126)</f>
        <v>6.4587503650259021E-42</v>
      </c>
      <c r="AF137" s="38"/>
      <c r="AG137" s="38"/>
      <c r="AH137" s="38"/>
      <c r="AI137" s="38"/>
      <c r="AJ137" s="38"/>
      <c r="AK137" s="38"/>
      <c r="AL137" s="38"/>
      <c r="AM137" s="79" t="s">
        <v>72</v>
      </c>
      <c r="AN137" s="152">
        <f ca="1">AF126</f>
        <v>184.88205731154804</v>
      </c>
      <c r="AO137" s="38"/>
      <c r="AP137" s="79" t="s">
        <v>71</v>
      </c>
      <c r="AQ137" s="151">
        <f ca="1">_xlfn.F.INV.RT(0.025,1,AA126)</f>
        <v>5.1739903419259923</v>
      </c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9"/>
    </row>
    <row r="138" spans="1:54" ht="15.75" thickBot="1" x14ac:dyDescent="0.3">
      <c r="A138" s="51"/>
      <c r="B138" s="37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 t="s">
        <v>56</v>
      </c>
      <c r="AY138" s="38" t="s">
        <v>57</v>
      </c>
      <c r="AZ138" s="38"/>
      <c r="BA138" s="38" t="s">
        <v>59</v>
      </c>
      <c r="BB138" s="39"/>
    </row>
    <row r="139" spans="1:54" ht="15.75" thickBot="1" x14ac:dyDescent="0.3">
      <c r="A139" s="51"/>
      <c r="B139" s="37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147"/>
      <c r="R139" s="38"/>
      <c r="S139" s="38"/>
      <c r="T139" s="38"/>
      <c r="U139" s="38"/>
      <c r="V139" s="38"/>
      <c r="W139" s="38"/>
      <c r="X139" s="38"/>
      <c r="Y139" s="38"/>
      <c r="Z139" s="38"/>
      <c r="AA139" s="43"/>
      <c r="AB139" s="79" t="s">
        <v>112</v>
      </c>
      <c r="AC139" s="122" t="str">
        <f ca="1">IF(AC136&gt;AG136,"Reject H0: Slope = 0 ", "Fail to Reject")</f>
        <v>Fail to Reject</v>
      </c>
      <c r="AD139" s="123"/>
      <c r="AE139" s="124" t="str">
        <f ca="1">IF(AE136&gt;AG136,"Reject H0: Intercept = 0 ", "Fail to Reject")</f>
        <v xml:space="preserve">Reject H0: Intercept = 0 </v>
      </c>
      <c r="AF139" s="125"/>
      <c r="AG139" s="38"/>
      <c r="AH139" s="38"/>
      <c r="AI139" s="38"/>
      <c r="AJ139" s="38"/>
      <c r="AK139" s="38"/>
      <c r="AL139" s="79" t="s">
        <v>113</v>
      </c>
      <c r="AM139" s="126" t="str">
        <f ca="1">IF(AN137&gt;AQ137,"Reject H0: All Model Coefficients = 0 ", "Fail to Reject")</f>
        <v xml:space="preserve">Reject H0: All Model Coefficients = 0 </v>
      </c>
      <c r="AN139" s="127"/>
      <c r="AO139" s="127"/>
      <c r="AP139" s="128"/>
      <c r="AQ139" s="38"/>
      <c r="AR139" s="38"/>
      <c r="AS139" s="38"/>
      <c r="AT139" s="79" t="s">
        <v>58</v>
      </c>
      <c r="AU139" s="4">
        <v>10</v>
      </c>
      <c r="AV139" s="38" t="s">
        <v>55</v>
      </c>
      <c r="AW139" s="79"/>
      <c r="AX139" s="46">
        <f ca="1">_xlfn.T.INV.2T(0.05,AK126)</f>
        <v>1.9832641447734605</v>
      </c>
      <c r="AY139" s="58">
        <f ca="1">SQRT(AK129)</f>
        <v>2.0470948522257695</v>
      </c>
      <c r="AZ139" s="38">
        <f ca="1">SQRT(1+1/COUNT(W20:W124)+(AU139-O11)^2/SUM(S20:S124))</f>
        <v>3.1379076407732267</v>
      </c>
      <c r="BA139" s="80">
        <f ca="1">AX139*AY139*AZ139</f>
        <v>12.739684807479046</v>
      </c>
      <c r="BB139" s="39"/>
    </row>
    <row r="140" spans="1:54" ht="15.75" thickBot="1" x14ac:dyDescent="0.3">
      <c r="A140" s="51"/>
      <c r="B140" s="37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9"/>
    </row>
    <row r="141" spans="1:54" ht="15.75" thickBot="1" x14ac:dyDescent="0.3">
      <c r="A141" s="51"/>
      <c r="B141" s="37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153">
        <f ca="1">AU139*AF123+AK123</f>
        <v>-70.423974627208892</v>
      </c>
      <c r="AX141" s="81" t="s">
        <v>50</v>
      </c>
      <c r="AY141" s="154">
        <f ca="1">BA139</f>
        <v>12.739684807479046</v>
      </c>
      <c r="AZ141" s="38"/>
      <c r="BA141" s="38"/>
      <c r="BB141" s="39"/>
    </row>
    <row r="142" spans="1:54" ht="15.75" thickBot="1" x14ac:dyDescent="0.3">
      <c r="A142" s="51"/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50"/>
    </row>
    <row r="143" spans="1:54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</row>
    <row r="144" spans="1:54" s="1" customFormat="1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</row>
    <row r="145" spans="1:54" s="1" customFormat="1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</row>
    <row r="146" spans="1:54" s="1" customFormat="1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</row>
    <row r="147" spans="1:54" s="1" customFormat="1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</row>
    <row r="148" spans="1:54" s="1" customFormat="1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</row>
    <row r="149" spans="1:54" s="1" customFormat="1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</row>
    <row r="150" spans="1:54" s="1" customFormat="1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</row>
    <row r="151" spans="1:54" s="1" customFormat="1" x14ac:dyDescent="0.25"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</row>
    <row r="152" spans="1:54" s="1" customFormat="1" x14ac:dyDescent="0.25"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</row>
    <row r="153" spans="1:54" s="1" customFormat="1" x14ac:dyDescent="0.25"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</row>
    <row r="154" spans="1:54" s="1" customFormat="1" x14ac:dyDescent="0.25"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</row>
    <row r="155" spans="1:54" s="1" customFormat="1" x14ac:dyDescent="0.25"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</row>
    <row r="156" spans="1:54" s="1" customFormat="1" x14ac:dyDescent="0.25"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</row>
    <row r="157" spans="1:54" s="1" customFormat="1" x14ac:dyDescent="0.25"/>
    <row r="158" spans="1:54" s="1" customFormat="1" x14ac:dyDescent="0.25"/>
    <row r="159" spans="1:54" s="1" customFormat="1" x14ac:dyDescent="0.25"/>
    <row r="160" spans="1:54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</sheetData>
  <sortState ref="M17:M33">
    <sortCondition ref="M17"/>
  </sortState>
  <mergeCells count="20">
    <mergeCell ref="AO71:AO72"/>
    <mergeCell ref="AO41:AO42"/>
    <mergeCell ref="D18:E18"/>
    <mergeCell ref="F18:G18"/>
    <mergeCell ref="H18:I18"/>
    <mergeCell ref="J18:K18"/>
    <mergeCell ref="L18:M18"/>
    <mergeCell ref="AO19:AO20"/>
    <mergeCell ref="F10:G10"/>
    <mergeCell ref="F13:G13"/>
    <mergeCell ref="H10:I10"/>
    <mergeCell ref="H13:I13"/>
    <mergeCell ref="J9:K9"/>
    <mergeCell ref="L9:M9"/>
    <mergeCell ref="N13:O13"/>
    <mergeCell ref="N10:O10"/>
    <mergeCell ref="J10:K10"/>
    <mergeCell ref="J13:K13"/>
    <mergeCell ref="L10:M10"/>
    <mergeCell ref="L13:M13"/>
  </mergeCells>
  <pageMargins left="0.7" right="0.7" top="0.75" bottom="0.75" header="0.3" footer="0.3"/>
  <pageSetup orientation="portrait" r:id="rId1"/>
  <ignoredErrors>
    <ignoredError sqref="AP19:AY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6"/>
  <sheetViews>
    <sheetView workbookViewId="0">
      <selection activeCell="A68" sqref="A68"/>
    </sheetView>
  </sheetViews>
  <sheetFormatPr defaultRowHeight="15" x14ac:dyDescent="0.25"/>
  <sheetData>
    <row r="1" spans="1:2" x14ac:dyDescent="0.25">
      <c r="A1" t="s">
        <v>128</v>
      </c>
      <c r="B1" t="s">
        <v>0</v>
      </c>
    </row>
    <row r="2" spans="1:2" x14ac:dyDescent="0.25">
      <c r="A2">
        <v>1.281391400869615</v>
      </c>
      <c r="B2">
        <v>16.610982040342247</v>
      </c>
    </row>
    <row r="3" spans="1:2" x14ac:dyDescent="0.25">
      <c r="A3">
        <v>1.4049322559666226</v>
      </c>
      <c r="B3">
        <v>13.668073325028873</v>
      </c>
    </row>
    <row r="4" spans="1:2" x14ac:dyDescent="0.25">
      <c r="A4">
        <v>2.3469262447155295</v>
      </c>
      <c r="B4">
        <v>9.5900917617884254</v>
      </c>
    </row>
    <row r="5" spans="1:2" x14ac:dyDescent="0.25">
      <c r="A5">
        <v>1.3488469999185624</v>
      </c>
      <c r="B5">
        <v>15.877907158901088</v>
      </c>
    </row>
    <row r="6" spans="1:2" x14ac:dyDescent="0.25">
      <c r="A6">
        <v>2.3316525687106324</v>
      </c>
      <c r="B6">
        <v>4.9682403861812601</v>
      </c>
    </row>
    <row r="7" spans="1:2" x14ac:dyDescent="0.25">
      <c r="A7">
        <v>2.0444512251972866</v>
      </c>
      <c r="B7">
        <v>8.9360611460195862</v>
      </c>
    </row>
    <row r="8" spans="1:2" x14ac:dyDescent="0.25">
      <c r="A8">
        <v>2.0716239759185413</v>
      </c>
      <c r="B8">
        <v>9.4742408155452189</v>
      </c>
    </row>
    <row r="9" spans="1:2" x14ac:dyDescent="0.25">
      <c r="A9">
        <v>1.34839263358149</v>
      </c>
      <c r="B9">
        <v>19.087605380597815</v>
      </c>
    </row>
    <row r="10" spans="1:2" x14ac:dyDescent="0.25">
      <c r="A10">
        <v>2.022877261380247</v>
      </c>
      <c r="B10">
        <v>10.67288668778049</v>
      </c>
    </row>
    <row r="11" spans="1:2" x14ac:dyDescent="0.25">
      <c r="A11">
        <v>1.7343725181737939</v>
      </c>
      <c r="B11">
        <v>13.981934221839079</v>
      </c>
    </row>
    <row r="12" spans="1:2" x14ac:dyDescent="0.25">
      <c r="A12">
        <v>1.3464462633652117</v>
      </c>
      <c r="B12">
        <v>19.600716942258096</v>
      </c>
    </row>
    <row r="13" spans="1:2" x14ac:dyDescent="0.25">
      <c r="A13">
        <v>1.4431888029977955</v>
      </c>
      <c r="B13">
        <v>18.131643600145011</v>
      </c>
    </row>
    <row r="14" spans="1:2" x14ac:dyDescent="0.25">
      <c r="A14">
        <v>1.4119649820463527</v>
      </c>
      <c r="B14">
        <v>13.658044656991265</v>
      </c>
    </row>
    <row r="15" spans="1:2" x14ac:dyDescent="0.25">
      <c r="A15">
        <v>1.7425336255328083</v>
      </c>
      <c r="B15">
        <v>13.901151682712662</v>
      </c>
    </row>
    <row r="16" spans="1:2" x14ac:dyDescent="0.25">
      <c r="A16">
        <v>2.0700148788768193</v>
      </c>
      <c r="B16">
        <v>9.2246532497082292</v>
      </c>
    </row>
    <row r="17" spans="1:2" x14ac:dyDescent="0.25">
      <c r="A17">
        <v>1.5526894178534814</v>
      </c>
      <c r="B17">
        <v>14.157302835922414</v>
      </c>
    </row>
    <row r="18" spans="1:2" x14ac:dyDescent="0.25">
      <c r="A18">
        <v>2.0621193438537397</v>
      </c>
      <c r="B18">
        <v>8.1008797500668752</v>
      </c>
    </row>
    <row r="19" spans="1:2" x14ac:dyDescent="0.25">
      <c r="A19">
        <v>1.5747421228061373</v>
      </c>
      <c r="B19">
        <v>13.143407284191557</v>
      </c>
    </row>
    <row r="20" spans="1:2" x14ac:dyDescent="0.25">
      <c r="A20">
        <v>1.6816663997290362</v>
      </c>
      <c r="B20">
        <v>15.748317940983556</v>
      </c>
    </row>
    <row r="21" spans="1:2" x14ac:dyDescent="0.25">
      <c r="A21">
        <v>2.2423302273879506</v>
      </c>
      <c r="B21">
        <v>8.7782260799115193</v>
      </c>
    </row>
    <row r="22" spans="1:2" x14ac:dyDescent="0.25">
      <c r="A22">
        <v>1.4984947148011287</v>
      </c>
      <c r="B22">
        <v>16.000380619829134</v>
      </c>
    </row>
    <row r="23" spans="1:2" x14ac:dyDescent="0.25">
      <c r="A23">
        <v>1.4388998208222636</v>
      </c>
      <c r="B23">
        <v>16.529857036325094</v>
      </c>
    </row>
    <row r="24" spans="1:2" x14ac:dyDescent="0.25">
      <c r="A24">
        <v>1.8219628016479483</v>
      </c>
      <c r="B24">
        <v>8.1904049237666534</v>
      </c>
    </row>
    <row r="25" spans="1:2" x14ac:dyDescent="0.25">
      <c r="A25">
        <v>1.8645607782086819</v>
      </c>
      <c r="B25">
        <v>11.357547493764956</v>
      </c>
    </row>
    <row r="26" spans="1:2" x14ac:dyDescent="0.25">
      <c r="A26">
        <v>1.5306985233583725</v>
      </c>
      <c r="B26">
        <v>16.476750890354488</v>
      </c>
    </row>
    <row r="27" spans="1:2" x14ac:dyDescent="0.25">
      <c r="A27">
        <v>1.6153841618254212</v>
      </c>
      <c r="B27">
        <v>12.743846109456761</v>
      </c>
    </row>
    <row r="28" spans="1:2" x14ac:dyDescent="0.25">
      <c r="A28">
        <v>1.3440842541913836</v>
      </c>
      <c r="B28">
        <v>14.1059013631618</v>
      </c>
    </row>
    <row r="29" spans="1:2" x14ac:dyDescent="0.25">
      <c r="A29">
        <v>1.4836142301569835</v>
      </c>
      <c r="B29">
        <v>12.707488379712636</v>
      </c>
    </row>
    <row r="30" spans="1:2" x14ac:dyDescent="0.25">
      <c r="A30">
        <v>1.7837355713013101</v>
      </c>
      <c r="B30">
        <v>13.393517925748851</v>
      </c>
    </row>
    <row r="31" spans="1:2" x14ac:dyDescent="0.25">
      <c r="A31">
        <v>1.1700970062040161</v>
      </c>
      <c r="B31">
        <v>19.305958873988217</v>
      </c>
    </row>
    <row r="32" spans="1:2" x14ac:dyDescent="0.25">
      <c r="A32">
        <v>1.5922156876556908</v>
      </c>
      <c r="B32">
        <v>14.049592786681352</v>
      </c>
    </row>
    <row r="33" spans="1:2" x14ac:dyDescent="0.25">
      <c r="A33">
        <v>1.7623591933125506</v>
      </c>
      <c r="B33">
        <v>13.274823201144079</v>
      </c>
    </row>
    <row r="34" spans="1:2" x14ac:dyDescent="0.25">
      <c r="A34">
        <v>1.6874243003634475</v>
      </c>
      <c r="B34">
        <v>11.746299695171661</v>
      </c>
    </row>
    <row r="35" spans="1:2" x14ac:dyDescent="0.25">
      <c r="A35">
        <v>2.2160141829134097</v>
      </c>
      <c r="B35">
        <v>9.376752236095184</v>
      </c>
    </row>
    <row r="36" spans="1:2" x14ac:dyDescent="0.25">
      <c r="A36">
        <v>2.0110192541692533</v>
      </c>
      <c r="B36">
        <v>9.685327555297139</v>
      </c>
    </row>
    <row r="37" spans="1:2" x14ac:dyDescent="0.25">
      <c r="A37">
        <v>1.7951902189727305</v>
      </c>
      <c r="B37">
        <v>11.015021104151524</v>
      </c>
    </row>
    <row r="38" spans="1:2" x14ac:dyDescent="0.25">
      <c r="A38">
        <v>1.7213295279365151</v>
      </c>
      <c r="B38">
        <v>12.411607929440612</v>
      </c>
    </row>
    <row r="39" spans="1:2" x14ac:dyDescent="0.25">
      <c r="A39">
        <v>1.0679604961150742</v>
      </c>
      <c r="B39">
        <v>16.786858641551344</v>
      </c>
    </row>
    <row r="40" spans="1:2" x14ac:dyDescent="0.25">
      <c r="A40">
        <v>1.7487877519597157</v>
      </c>
      <c r="B40">
        <v>12.258592303838963</v>
      </c>
    </row>
    <row r="41" spans="1:2" x14ac:dyDescent="0.25">
      <c r="A41">
        <v>1.8301006409071789</v>
      </c>
      <c r="B41">
        <v>10.757106413598672</v>
      </c>
    </row>
    <row r="42" spans="1:2" x14ac:dyDescent="0.25">
      <c r="A42">
        <v>1.5527127410968506</v>
      </c>
      <c r="B42">
        <v>14.120719865414035</v>
      </c>
    </row>
    <row r="43" spans="1:2" x14ac:dyDescent="0.25">
      <c r="A43">
        <v>1.7851648345188409</v>
      </c>
      <c r="B43">
        <v>12.042695415783028</v>
      </c>
    </row>
    <row r="44" spans="1:2" x14ac:dyDescent="0.25">
      <c r="A44">
        <v>1.7036349123497754</v>
      </c>
      <c r="B44">
        <v>12.826020662727146</v>
      </c>
    </row>
    <row r="45" spans="1:2" x14ac:dyDescent="0.25">
      <c r="A45">
        <v>1.7083215295234151</v>
      </c>
      <c r="B45">
        <v>10.728461735118392</v>
      </c>
    </row>
    <row r="46" spans="1:2" x14ac:dyDescent="0.25">
      <c r="A46">
        <v>1.6009079822403811</v>
      </c>
      <c r="B46">
        <v>14.724673424359946</v>
      </c>
    </row>
    <row r="47" spans="1:2" x14ac:dyDescent="0.25">
      <c r="A47">
        <v>1.6844490242364629</v>
      </c>
      <c r="B47">
        <v>12.244806355753436</v>
      </c>
    </row>
    <row r="48" spans="1:2" x14ac:dyDescent="0.25">
      <c r="A48">
        <v>1.9769087906103668</v>
      </c>
      <c r="B48">
        <v>8.5132266623475878</v>
      </c>
    </row>
    <row r="49" spans="1:2" x14ac:dyDescent="0.25">
      <c r="A49">
        <v>1.3010565885823198</v>
      </c>
      <c r="B49">
        <v>15.280571282443875</v>
      </c>
    </row>
    <row r="50" spans="1:2" x14ac:dyDescent="0.25">
      <c r="A50">
        <v>1.8029915349419015</v>
      </c>
      <c r="B50">
        <v>10.12025821077709</v>
      </c>
    </row>
    <row r="51" spans="1:2" x14ac:dyDescent="0.25">
      <c r="A51">
        <v>1.9453798905953554</v>
      </c>
      <c r="B51">
        <v>12.071144330798823</v>
      </c>
    </row>
    <row r="52" spans="1:2" x14ac:dyDescent="0.25">
      <c r="A52">
        <v>1.8307682515150421</v>
      </c>
      <c r="B52">
        <v>12.078782617568931</v>
      </c>
    </row>
    <row r="53" spans="1:2" x14ac:dyDescent="0.25">
      <c r="A53">
        <v>1.9210659955598193</v>
      </c>
      <c r="B53">
        <v>13.188127397793167</v>
      </c>
    </row>
    <row r="54" spans="1:2" x14ac:dyDescent="0.25">
      <c r="A54">
        <v>2.0096642153068669</v>
      </c>
      <c r="B54">
        <v>8.4030076847639599</v>
      </c>
    </row>
    <row r="55" spans="1:2" x14ac:dyDescent="0.25">
      <c r="A55">
        <v>1.506766836950898</v>
      </c>
      <c r="B55">
        <v>13.021877566221997</v>
      </c>
    </row>
    <row r="56" spans="1:2" x14ac:dyDescent="0.25">
      <c r="A56">
        <v>2.0539125217827068</v>
      </c>
      <c r="B56">
        <v>8.3403986650995847</v>
      </c>
    </row>
    <row r="57" spans="1:2" x14ac:dyDescent="0.25">
      <c r="A57">
        <v>1.5474627002653643</v>
      </c>
      <c r="B57">
        <v>13.234917079866152</v>
      </c>
    </row>
    <row r="58" spans="1:2" x14ac:dyDescent="0.25">
      <c r="A58">
        <v>1.6648535693543249</v>
      </c>
      <c r="B58">
        <v>12.096566661885625</v>
      </c>
    </row>
    <row r="59" spans="1:2" x14ac:dyDescent="0.25">
      <c r="A59">
        <v>1.8850865778700705</v>
      </c>
      <c r="B59">
        <v>9.2426073801685682</v>
      </c>
    </row>
    <row r="60" spans="1:2" x14ac:dyDescent="0.25">
      <c r="A60">
        <v>1.4798781856941037</v>
      </c>
      <c r="B60">
        <v>14.443138321960497</v>
      </c>
    </row>
    <row r="61" spans="1:2" x14ac:dyDescent="0.25">
      <c r="A61">
        <v>1.9066335417295348</v>
      </c>
      <c r="B61">
        <v>12.845690858816722</v>
      </c>
    </row>
    <row r="62" spans="1:2" x14ac:dyDescent="0.25">
      <c r="A62">
        <v>1.8970865615010708</v>
      </c>
      <c r="B62">
        <v>11.245837589538473</v>
      </c>
    </row>
    <row r="63" spans="1:2" x14ac:dyDescent="0.25">
      <c r="A63">
        <v>2.053700774649474</v>
      </c>
      <c r="B63">
        <v>14.230929950179245</v>
      </c>
    </row>
    <row r="64" spans="1:2" x14ac:dyDescent="0.25">
      <c r="A64">
        <v>1.8772351011890172</v>
      </c>
      <c r="B64">
        <v>11.433356706633338</v>
      </c>
    </row>
    <row r="65" spans="1:2" x14ac:dyDescent="0.25">
      <c r="A65">
        <v>1.9404473725392788</v>
      </c>
      <c r="B65">
        <v>11.058078576691596</v>
      </c>
    </row>
    <row r="66" spans="1:2" x14ac:dyDescent="0.25">
      <c r="A66">
        <v>2.0642789258731176</v>
      </c>
      <c r="B66">
        <v>5.4960111059258612</v>
      </c>
    </row>
    <row r="67" spans="1:2" x14ac:dyDescent="0.25">
      <c r="A67">
        <v>2.4105596173171677</v>
      </c>
      <c r="B67">
        <v>7.5310673020255559</v>
      </c>
    </row>
    <row r="68" spans="1:2" x14ac:dyDescent="0.25">
      <c r="A68">
        <v>2.2756805834760367</v>
      </c>
      <c r="B68">
        <v>4.9664211555432125</v>
      </c>
    </row>
    <row r="69" spans="1:2" x14ac:dyDescent="0.25">
      <c r="A69">
        <v>1.778580467541991</v>
      </c>
      <c r="B69">
        <v>11.426342564254766</v>
      </c>
    </row>
    <row r="70" spans="1:2" x14ac:dyDescent="0.25">
      <c r="A70">
        <v>1.7110171421536344</v>
      </c>
      <c r="B70">
        <v>14.037032082783357</v>
      </c>
    </row>
    <row r="71" spans="1:2" x14ac:dyDescent="0.25">
      <c r="A71">
        <v>1.7897463282157027</v>
      </c>
      <c r="B71">
        <v>14.356082838387675</v>
      </c>
    </row>
    <row r="72" spans="1:2" x14ac:dyDescent="0.25">
      <c r="A72">
        <v>1.5555907427222402</v>
      </c>
      <c r="B72">
        <v>12.561063266090997</v>
      </c>
    </row>
    <row r="73" spans="1:2" x14ac:dyDescent="0.25">
      <c r="A73">
        <v>1.7668227825002456</v>
      </c>
      <c r="B73">
        <v>10.48505204804367</v>
      </c>
    </row>
    <row r="74" spans="1:2" x14ac:dyDescent="0.25">
      <c r="A74">
        <v>2.1196517614448918</v>
      </c>
      <c r="B74">
        <v>8.6145642722141602</v>
      </c>
    </row>
    <row r="75" spans="1:2" x14ac:dyDescent="0.25">
      <c r="A75">
        <v>2.2319856976553831</v>
      </c>
      <c r="B75">
        <v>8.9242062083603635</v>
      </c>
    </row>
    <row r="76" spans="1:2" x14ac:dyDescent="0.25">
      <c r="A76">
        <v>1.0816404834710407</v>
      </c>
      <c r="B76">
        <v>17.078472827173346</v>
      </c>
    </row>
    <row r="77" spans="1:2" x14ac:dyDescent="0.25">
      <c r="A77">
        <v>1.768993051820767</v>
      </c>
      <c r="B77">
        <v>11.531035244160019</v>
      </c>
    </row>
    <row r="78" spans="1:2" x14ac:dyDescent="0.25">
      <c r="A78">
        <v>2.0901047679917379</v>
      </c>
      <c r="B78">
        <v>10.743470680203355</v>
      </c>
    </row>
    <row r="79" spans="1:2" x14ac:dyDescent="0.25">
      <c r="A79">
        <v>1.6970050692746301</v>
      </c>
      <c r="B79">
        <v>10.495091731601599</v>
      </c>
    </row>
    <row r="80" spans="1:2" x14ac:dyDescent="0.25">
      <c r="A80">
        <v>1.9406658490647621</v>
      </c>
      <c r="B80">
        <v>9.1411324774961198</v>
      </c>
    </row>
    <row r="81" spans="1:2" x14ac:dyDescent="0.25">
      <c r="A81">
        <v>1.8300849152686753</v>
      </c>
      <c r="B81">
        <v>10.561222432433443</v>
      </c>
    </row>
    <row r="82" spans="1:2" x14ac:dyDescent="0.25">
      <c r="A82">
        <v>1.7503519482505288</v>
      </c>
      <c r="B82">
        <v>11.325941251969038</v>
      </c>
    </row>
    <row r="83" spans="1:2" x14ac:dyDescent="0.25">
      <c r="A83">
        <v>1.6662853995105049</v>
      </c>
      <c r="B83">
        <v>15.609445226752008</v>
      </c>
    </row>
    <row r="84" spans="1:2" x14ac:dyDescent="0.25">
      <c r="A84">
        <v>1.4665171981248044</v>
      </c>
      <c r="B84">
        <v>17.066528719469936</v>
      </c>
    </row>
    <row r="85" spans="1:2" x14ac:dyDescent="0.25">
      <c r="A85">
        <v>1.6509211188853643</v>
      </c>
      <c r="B85">
        <v>13.876841459981001</v>
      </c>
    </row>
    <row r="86" spans="1:2" x14ac:dyDescent="0.25">
      <c r="A86">
        <v>0.99673565668717667</v>
      </c>
      <c r="B86">
        <v>20.964940518212654</v>
      </c>
    </row>
    <row r="87" spans="1:2" x14ac:dyDescent="0.25">
      <c r="A87">
        <v>1.5280194075611586</v>
      </c>
      <c r="B87">
        <v>15.051758845119611</v>
      </c>
    </row>
    <row r="88" spans="1:2" x14ac:dyDescent="0.25">
      <c r="A88">
        <v>1.7740206735483086</v>
      </c>
      <c r="B88">
        <v>9.4892980874817887</v>
      </c>
    </row>
    <row r="89" spans="1:2" x14ac:dyDescent="0.25">
      <c r="A89">
        <v>1.846019122569019</v>
      </c>
      <c r="B89">
        <v>10.546482735396273</v>
      </c>
    </row>
    <row r="90" spans="1:2" x14ac:dyDescent="0.25">
      <c r="A90">
        <v>1.7914320533717989</v>
      </c>
      <c r="B90">
        <v>14.506748257478138</v>
      </c>
    </row>
    <row r="91" spans="1:2" x14ac:dyDescent="0.25">
      <c r="A91">
        <v>1.4109963779288459</v>
      </c>
      <c r="B91">
        <v>14.37198996827451</v>
      </c>
    </row>
    <row r="92" spans="1:2" x14ac:dyDescent="0.25">
      <c r="A92">
        <v>1.7287054205476309</v>
      </c>
      <c r="B92">
        <v>13.879514585218079</v>
      </c>
    </row>
    <row r="93" spans="1:2" x14ac:dyDescent="0.25">
      <c r="A93">
        <v>1.8414513732337712</v>
      </c>
      <c r="B93">
        <v>13.493758093206306</v>
      </c>
    </row>
    <row r="94" spans="1:2" x14ac:dyDescent="0.25">
      <c r="A94">
        <v>1.7054655229420717</v>
      </c>
      <c r="B94">
        <v>17.185360039973446</v>
      </c>
    </row>
    <row r="95" spans="1:2" x14ac:dyDescent="0.25">
      <c r="A95">
        <v>1.8303686998054149</v>
      </c>
      <c r="B95">
        <v>10.660021932438102</v>
      </c>
    </row>
    <row r="96" spans="1:2" x14ac:dyDescent="0.25">
      <c r="A96">
        <v>1.568988269472503</v>
      </c>
      <c r="B96">
        <v>13.76706013240134</v>
      </c>
    </row>
    <row r="97" spans="1:2" x14ac:dyDescent="0.25">
      <c r="A97">
        <v>1.3040086713487393</v>
      </c>
      <c r="B97">
        <v>16.898623992709084</v>
      </c>
    </row>
    <row r="98" spans="1:2" x14ac:dyDescent="0.25">
      <c r="A98">
        <v>1.6318962138299329</v>
      </c>
      <c r="B98">
        <v>12.648294589156828</v>
      </c>
    </row>
    <row r="99" spans="1:2" x14ac:dyDescent="0.25">
      <c r="A99">
        <v>1.8333086682566975</v>
      </c>
      <c r="B99">
        <v>10.050405232916779</v>
      </c>
    </row>
    <row r="100" spans="1:2" x14ac:dyDescent="0.25">
      <c r="A100">
        <v>1.7180852309614978</v>
      </c>
      <c r="B100">
        <v>12.365882160207253</v>
      </c>
    </row>
    <row r="101" spans="1:2" x14ac:dyDescent="0.25">
      <c r="A101">
        <v>2.3393244023151789</v>
      </c>
      <c r="B101">
        <v>9.6831828852066906</v>
      </c>
    </row>
    <row r="102" spans="1:2" x14ac:dyDescent="0.25">
      <c r="A102">
        <v>1.7435186207825755</v>
      </c>
      <c r="B102">
        <v>14.758068437083491</v>
      </c>
    </row>
    <row r="103" spans="1:2" x14ac:dyDescent="0.25">
      <c r="A103">
        <v>1.7535779667131925</v>
      </c>
      <c r="B103">
        <v>10.826056734354861</v>
      </c>
    </row>
    <row r="104" spans="1:2" x14ac:dyDescent="0.25">
      <c r="A104">
        <v>1.2570207519614376</v>
      </c>
      <c r="B104">
        <v>18.485801850899044</v>
      </c>
    </row>
    <row r="105" spans="1:2" x14ac:dyDescent="0.25">
      <c r="A105">
        <v>1.9481549273429206</v>
      </c>
      <c r="B105">
        <v>11.83286342680652</v>
      </c>
    </row>
    <row r="106" spans="1:2" x14ac:dyDescent="0.25">
      <c r="A106">
        <v>1.6005475456668481</v>
      </c>
      <c r="B106">
        <v>11.469240503780444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Por-Perm-Logs</vt:lpstr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2020-03-09T18:25:34Z</dcterms:modified>
</cp:coreProperties>
</file>