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https://utexas-my.sharepoint.com/personal/mpyrcz_austin_utexas_edu/Documents/Courses/Workflows/"/>
    </mc:Choice>
  </mc:AlternateContent>
  <xr:revisionPtr revIDLastSave="0" documentId="8_{3EFBE7FF-D4E7-47BE-BB12-6A68D447937D}" xr6:coauthVersionLast="36" xr6:coauthVersionMax="36" xr10:uidLastSave="{00000000-0000-0000-0000-000000000000}"/>
  <bookViews>
    <workbookView xWindow="-120" yWindow="-120" windowWidth="29040" windowHeight="15840" activeTab="1" xr2:uid="{00000000-000D-0000-FFFF-FFFF00000000}"/>
  </bookViews>
  <sheets>
    <sheet name="Por-Perm-Logs" sheetId="1" r:id="rId1"/>
    <sheet name="Lorenz" sheetId="2" r:id="rId2"/>
  </sheets>
  <definedNames>
    <definedName name="x">Lorenz!$V$10:$V$114</definedName>
    <definedName name="y">Lorenz!$W$10:$W$114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2" l="1"/>
  <c r="Q114" i="2" l="1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AA66" i="2" l="1"/>
  <c r="Y67" i="2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AA105" i="2" s="1"/>
  <c r="AC105" i="2" s="1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C11" i="2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T70" i="2" l="1"/>
  <c r="T94" i="2"/>
  <c r="S86" i="2"/>
  <c r="S13" i="2"/>
  <c r="S73" i="2"/>
  <c r="S85" i="2"/>
  <c r="T82" i="2"/>
  <c r="AC66" i="2"/>
  <c r="AA87" i="2"/>
  <c r="AC87" i="2" s="1"/>
  <c r="AA68" i="2"/>
  <c r="AC68" i="2" s="1"/>
  <c r="AA92" i="2"/>
  <c r="AC92" i="2" s="1"/>
  <c r="AA98" i="2"/>
  <c r="AC98" i="2" s="1"/>
  <c r="AA74" i="2"/>
  <c r="AC74" i="2" s="1"/>
  <c r="AA69" i="2"/>
  <c r="AC69" i="2" s="1"/>
  <c r="AA75" i="2"/>
  <c r="AC75" i="2" s="1"/>
  <c r="AA80" i="2"/>
  <c r="AC80" i="2" s="1"/>
  <c r="AA81" i="2"/>
  <c r="AC81" i="2" s="1"/>
  <c r="AA99" i="2"/>
  <c r="AC99" i="2" s="1"/>
  <c r="AA86" i="2"/>
  <c r="AC86" i="2" s="1"/>
  <c r="T41" i="2"/>
  <c r="T22" i="2"/>
  <c r="T46" i="2"/>
  <c r="T106" i="2"/>
  <c r="S68" i="2"/>
  <c r="T35" i="2"/>
  <c r="T83" i="2"/>
  <c r="S21" i="2"/>
  <c r="S33" i="2"/>
  <c r="S69" i="2"/>
  <c r="S93" i="2"/>
  <c r="T12" i="2"/>
  <c r="T24" i="2"/>
  <c r="T48" i="2"/>
  <c r="T72" i="2"/>
  <c r="T84" i="2"/>
  <c r="T96" i="2"/>
  <c r="T108" i="2"/>
  <c r="AA76" i="2"/>
  <c r="AC76" i="2" s="1"/>
  <c r="AA88" i="2"/>
  <c r="AC88" i="2" s="1"/>
  <c r="AA100" i="2"/>
  <c r="AC100" i="2" s="1"/>
  <c r="S44" i="2"/>
  <c r="S92" i="2"/>
  <c r="T71" i="2"/>
  <c r="S45" i="2"/>
  <c r="S81" i="2"/>
  <c r="T36" i="2"/>
  <c r="S10" i="2"/>
  <c r="V10" i="2" s="1"/>
  <c r="S46" i="2"/>
  <c r="S82" i="2"/>
  <c r="T13" i="2"/>
  <c r="T49" i="2"/>
  <c r="T85" i="2"/>
  <c r="T97" i="2"/>
  <c r="AA77" i="2"/>
  <c r="AC77" i="2" s="1"/>
  <c r="AA89" i="2"/>
  <c r="AC89" i="2" s="1"/>
  <c r="AA101" i="2"/>
  <c r="AC101" i="2" s="1"/>
  <c r="S31" i="2"/>
  <c r="S55" i="2"/>
  <c r="S103" i="2"/>
  <c r="T58" i="2"/>
  <c r="S32" i="2"/>
  <c r="S80" i="2"/>
  <c r="T11" i="2"/>
  <c r="T59" i="2"/>
  <c r="S57" i="2"/>
  <c r="S105" i="2"/>
  <c r="T60" i="2"/>
  <c r="S22" i="2"/>
  <c r="S34" i="2"/>
  <c r="S58" i="2"/>
  <c r="S70" i="2"/>
  <c r="S94" i="2"/>
  <c r="S106" i="2"/>
  <c r="T25" i="2"/>
  <c r="T37" i="2"/>
  <c r="T61" i="2"/>
  <c r="T73" i="2"/>
  <c r="T109" i="2"/>
  <c r="S11" i="2"/>
  <c r="S23" i="2"/>
  <c r="S35" i="2"/>
  <c r="S47" i="2"/>
  <c r="S59" i="2"/>
  <c r="S71" i="2"/>
  <c r="S83" i="2"/>
  <c r="S95" i="2"/>
  <c r="S107" i="2"/>
  <c r="T14" i="2"/>
  <c r="T26" i="2"/>
  <c r="T38" i="2"/>
  <c r="T50" i="2"/>
  <c r="T62" i="2"/>
  <c r="T74" i="2"/>
  <c r="T86" i="2"/>
  <c r="T98" i="2"/>
  <c r="T110" i="2"/>
  <c r="AA78" i="2"/>
  <c r="AC78" i="2" s="1"/>
  <c r="AA90" i="2"/>
  <c r="AC90" i="2" s="1"/>
  <c r="AA102" i="2"/>
  <c r="AC102" i="2" s="1"/>
  <c r="S12" i="2"/>
  <c r="S24" i="2"/>
  <c r="S36" i="2"/>
  <c r="S48" i="2"/>
  <c r="S60" i="2"/>
  <c r="S72" i="2"/>
  <c r="S84" i="2"/>
  <c r="S96" i="2"/>
  <c r="S108" i="2"/>
  <c r="T15" i="2"/>
  <c r="T27" i="2"/>
  <c r="T39" i="2"/>
  <c r="T51" i="2"/>
  <c r="T63" i="2"/>
  <c r="T75" i="2"/>
  <c r="T87" i="2"/>
  <c r="T99" i="2"/>
  <c r="T111" i="2"/>
  <c r="AA67" i="2"/>
  <c r="AC67" i="2" s="1"/>
  <c r="AA79" i="2"/>
  <c r="AC79" i="2" s="1"/>
  <c r="AA91" i="2"/>
  <c r="AC91" i="2" s="1"/>
  <c r="AA103" i="2"/>
  <c r="AC103" i="2" s="1"/>
  <c r="AA104" i="2"/>
  <c r="AC104" i="2" s="1"/>
  <c r="AA93" i="2"/>
  <c r="AC93" i="2" s="1"/>
  <c r="S79" i="2"/>
  <c r="S104" i="2"/>
  <c r="AA70" i="2"/>
  <c r="AC70" i="2" s="1"/>
  <c r="AA82" i="2"/>
  <c r="AC82" i="2" s="1"/>
  <c r="AA94" i="2"/>
  <c r="AC94" i="2" s="1"/>
  <c r="T95" i="2"/>
  <c r="S16" i="2"/>
  <c r="S64" i="2"/>
  <c r="S112" i="2"/>
  <c r="T43" i="2"/>
  <c r="T79" i="2"/>
  <c r="T103" i="2"/>
  <c r="AA71" i="2"/>
  <c r="AC71" i="2" s="1"/>
  <c r="AA83" i="2"/>
  <c r="AC83" i="2" s="1"/>
  <c r="AA95" i="2"/>
  <c r="AC95" i="2" s="1"/>
  <c r="S43" i="2"/>
  <c r="S67" i="2"/>
  <c r="S91" i="2"/>
  <c r="T34" i="2"/>
  <c r="S56" i="2"/>
  <c r="T23" i="2"/>
  <c r="T47" i="2"/>
  <c r="S28" i="2"/>
  <c r="S40" i="2"/>
  <c r="S52" i="2"/>
  <c r="S76" i="2"/>
  <c r="S88" i="2"/>
  <c r="S100" i="2"/>
  <c r="T19" i="2"/>
  <c r="T31" i="2"/>
  <c r="T55" i="2"/>
  <c r="T67" i="2"/>
  <c r="T91" i="2"/>
  <c r="AA72" i="2"/>
  <c r="AC72" i="2" s="1"/>
  <c r="AA84" i="2"/>
  <c r="AC84" i="2" s="1"/>
  <c r="AA96" i="2"/>
  <c r="AC96" i="2" s="1"/>
  <c r="S20" i="2"/>
  <c r="T107" i="2"/>
  <c r="S18" i="2"/>
  <c r="S30" i="2"/>
  <c r="S42" i="2"/>
  <c r="S54" i="2"/>
  <c r="S66" i="2"/>
  <c r="S78" i="2"/>
  <c r="S90" i="2"/>
  <c r="S102" i="2"/>
  <c r="S114" i="2"/>
  <c r="T21" i="2"/>
  <c r="T33" i="2"/>
  <c r="T45" i="2"/>
  <c r="T57" i="2"/>
  <c r="T69" i="2"/>
  <c r="T81" i="2"/>
  <c r="T93" i="2"/>
  <c r="T105" i="2"/>
  <c r="AA73" i="2"/>
  <c r="AC73" i="2" s="1"/>
  <c r="AA85" i="2"/>
  <c r="AC85" i="2" s="1"/>
  <c r="AA97" i="2"/>
  <c r="AC97" i="2" s="1"/>
  <c r="S37" i="2"/>
  <c r="S109" i="2"/>
  <c r="T40" i="2"/>
  <c r="T112" i="2"/>
  <c r="S38" i="2"/>
  <c r="T65" i="2"/>
  <c r="S25" i="2"/>
  <c r="T64" i="2"/>
  <c r="S50" i="2"/>
  <c r="T89" i="2"/>
  <c r="S15" i="2"/>
  <c r="S27" i="2"/>
  <c r="S39" i="2"/>
  <c r="S51" i="2"/>
  <c r="S63" i="2"/>
  <c r="S75" i="2"/>
  <c r="S87" i="2"/>
  <c r="S99" i="2"/>
  <c r="S111" i="2"/>
  <c r="T18" i="2"/>
  <c r="T30" i="2"/>
  <c r="T42" i="2"/>
  <c r="T54" i="2"/>
  <c r="T66" i="2"/>
  <c r="T78" i="2"/>
  <c r="T90" i="2"/>
  <c r="T102" i="2"/>
  <c r="T114" i="2"/>
  <c r="T77" i="2"/>
  <c r="T53" i="2"/>
  <c r="S53" i="2"/>
  <c r="S89" i="2"/>
  <c r="S101" i="2"/>
  <c r="S113" i="2"/>
  <c r="T32" i="2"/>
  <c r="T44" i="2"/>
  <c r="T56" i="2"/>
  <c r="T68" i="2"/>
  <c r="T80" i="2"/>
  <c r="T92" i="2"/>
  <c r="T104" i="2"/>
  <c r="S61" i="2"/>
  <c r="T28" i="2"/>
  <c r="T52" i="2"/>
  <c r="T100" i="2"/>
  <c r="S110" i="2"/>
  <c r="S49" i="2"/>
  <c r="T16" i="2"/>
  <c r="T88" i="2"/>
  <c r="S14" i="2"/>
  <c r="S62" i="2"/>
  <c r="S98" i="2"/>
  <c r="T113" i="2"/>
  <c r="S17" i="2"/>
  <c r="S29" i="2"/>
  <c r="S41" i="2"/>
  <c r="S65" i="2"/>
  <c r="S77" i="2"/>
  <c r="T20" i="2"/>
  <c r="S19" i="2"/>
  <c r="T10" i="2"/>
  <c r="W10" i="2" s="1"/>
  <c r="T17" i="2"/>
  <c r="S97" i="2"/>
  <c r="T76" i="2"/>
  <c r="S26" i="2"/>
  <c r="S74" i="2"/>
  <c r="T101" i="2"/>
  <c r="T29" i="2"/>
  <c r="W11" i="2" l="1"/>
  <c r="Z62" i="2"/>
  <c r="V11" i="2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W12" i="2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AE41" i="1" l="1"/>
  <c r="AE19" i="1"/>
  <c r="C17" i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G120" i="1" l="1"/>
  <c r="G119" i="1"/>
  <c r="G116" i="1"/>
  <c r="G117" i="1"/>
  <c r="G118" i="1"/>
  <c r="F117" i="1"/>
  <c r="G35" i="1"/>
  <c r="F120" i="1"/>
  <c r="G23" i="1"/>
  <c r="G29" i="1"/>
  <c r="F119" i="1"/>
  <c r="F118" i="1"/>
  <c r="G66" i="1"/>
  <c r="G54" i="1"/>
  <c r="G78" i="1"/>
  <c r="G30" i="1"/>
  <c r="G102" i="1"/>
  <c r="G42" i="1"/>
  <c r="G108" i="1"/>
  <c r="G60" i="1"/>
  <c r="G96" i="1"/>
  <c r="G72" i="1"/>
  <c r="G84" i="1"/>
  <c r="G48" i="1"/>
  <c r="G114" i="1"/>
  <c r="G36" i="1"/>
  <c r="G90" i="1"/>
  <c r="F29" i="1"/>
  <c r="F35" i="1"/>
  <c r="F41" i="1"/>
  <c r="F47" i="1"/>
  <c r="F53" i="1"/>
  <c r="F59" i="1"/>
  <c r="F65" i="1"/>
  <c r="F71" i="1"/>
  <c r="F77" i="1"/>
  <c r="F89" i="1"/>
  <c r="F95" i="1"/>
  <c r="F101" i="1"/>
  <c r="F113" i="1"/>
  <c r="G41" i="1"/>
  <c r="G47" i="1"/>
  <c r="G53" i="1"/>
  <c r="G59" i="1"/>
  <c r="G65" i="1"/>
  <c r="G71" i="1"/>
  <c r="G77" i="1"/>
  <c r="G83" i="1"/>
  <c r="G89" i="1"/>
  <c r="G95" i="1"/>
  <c r="G101" i="1"/>
  <c r="G107" i="1"/>
  <c r="G113" i="1"/>
  <c r="F23" i="1"/>
  <c r="F36" i="1"/>
  <c r="F42" i="1"/>
  <c r="F48" i="1"/>
  <c r="F54" i="1"/>
  <c r="F60" i="1"/>
  <c r="F66" i="1"/>
  <c r="F72" i="1"/>
  <c r="F78" i="1"/>
  <c r="F84" i="1"/>
  <c r="F90" i="1"/>
  <c r="F96" i="1"/>
  <c r="F102" i="1"/>
  <c r="F108" i="1"/>
  <c r="F114" i="1"/>
  <c r="F37" i="1"/>
  <c r="F55" i="1"/>
  <c r="F61" i="1"/>
  <c r="F79" i="1"/>
  <c r="F85" i="1"/>
  <c r="F91" i="1"/>
  <c r="F109" i="1"/>
  <c r="F115" i="1"/>
  <c r="F25" i="1"/>
  <c r="F49" i="1"/>
  <c r="F73" i="1"/>
  <c r="F103" i="1"/>
  <c r="F107" i="1"/>
  <c r="F31" i="1"/>
  <c r="F43" i="1"/>
  <c r="F67" i="1"/>
  <c r="F97" i="1"/>
  <c r="F83" i="1"/>
  <c r="G26" i="1"/>
  <c r="G32" i="1"/>
  <c r="G38" i="1"/>
  <c r="G44" i="1"/>
  <c r="G50" i="1"/>
  <c r="G56" i="1"/>
  <c r="G62" i="1"/>
  <c r="G68" i="1"/>
  <c r="G74" i="1"/>
  <c r="G80" i="1"/>
  <c r="G86" i="1"/>
  <c r="G92" i="1"/>
  <c r="G98" i="1"/>
  <c r="G104" i="1"/>
  <c r="G110" i="1"/>
  <c r="F24" i="1"/>
  <c r="F21" i="1"/>
  <c r="F27" i="1"/>
  <c r="F33" i="1"/>
  <c r="F39" i="1"/>
  <c r="F45" i="1"/>
  <c r="F51" i="1"/>
  <c r="F57" i="1"/>
  <c r="F63" i="1"/>
  <c r="F69" i="1"/>
  <c r="F75" i="1"/>
  <c r="F81" i="1"/>
  <c r="F87" i="1"/>
  <c r="F93" i="1"/>
  <c r="F99" i="1"/>
  <c r="F105" i="1"/>
  <c r="F111" i="1"/>
  <c r="G24" i="1"/>
  <c r="G21" i="1"/>
  <c r="G25" i="1"/>
  <c r="G31" i="1"/>
  <c r="G39" i="1"/>
  <c r="G45" i="1"/>
  <c r="G49" i="1"/>
  <c r="G55" i="1"/>
  <c r="G63" i="1"/>
  <c r="G67" i="1"/>
  <c r="G73" i="1"/>
  <c r="G79" i="1"/>
  <c r="G85" i="1"/>
  <c r="G93" i="1"/>
  <c r="G99" i="1"/>
  <c r="G105" i="1"/>
  <c r="G109" i="1"/>
  <c r="G115" i="1"/>
  <c r="F22" i="1"/>
  <c r="F26" i="1"/>
  <c r="F34" i="1"/>
  <c r="F40" i="1"/>
  <c r="F46" i="1"/>
  <c r="F50" i="1"/>
  <c r="F56" i="1"/>
  <c r="F64" i="1"/>
  <c r="F70" i="1"/>
  <c r="F74" i="1"/>
  <c r="F82" i="1"/>
  <c r="F86" i="1"/>
  <c r="F94" i="1"/>
  <c r="F98" i="1"/>
  <c r="F104" i="1"/>
  <c r="F112" i="1"/>
  <c r="F30" i="1"/>
  <c r="G22" i="1"/>
  <c r="G28" i="1"/>
  <c r="G34" i="1"/>
  <c r="G40" i="1"/>
  <c r="G46" i="1"/>
  <c r="G52" i="1"/>
  <c r="G58" i="1"/>
  <c r="G64" i="1"/>
  <c r="G70" i="1"/>
  <c r="G76" i="1"/>
  <c r="G82" i="1"/>
  <c r="G88" i="1"/>
  <c r="G94" i="1"/>
  <c r="G100" i="1"/>
  <c r="G106" i="1"/>
  <c r="G112" i="1"/>
  <c r="G37" i="1"/>
  <c r="G103" i="1"/>
  <c r="F32" i="1"/>
  <c r="F68" i="1"/>
  <c r="G20" i="1"/>
  <c r="G43" i="1"/>
  <c r="G97" i="1"/>
  <c r="F38" i="1"/>
  <c r="F62" i="1"/>
  <c r="F116" i="1"/>
  <c r="G91" i="1"/>
  <c r="F44" i="1"/>
  <c r="F110" i="1"/>
  <c r="G61" i="1"/>
  <c r="F80" i="1"/>
  <c r="G27" i="1"/>
  <c r="G33" i="1"/>
  <c r="G51" i="1"/>
  <c r="G57" i="1"/>
  <c r="G69" i="1"/>
  <c r="G75" i="1"/>
  <c r="G81" i="1"/>
  <c r="G87" i="1"/>
  <c r="G111" i="1"/>
  <c r="F92" i="1"/>
  <c r="F28" i="1"/>
  <c r="F52" i="1"/>
  <c r="F58" i="1"/>
  <c r="F76" i="1"/>
  <c r="F88" i="1"/>
  <c r="F100" i="1"/>
  <c r="F106" i="1"/>
  <c r="F19" i="1"/>
  <c r="G16" i="1"/>
  <c r="G17" i="1"/>
  <c r="G18" i="1"/>
  <c r="G19" i="1"/>
  <c r="F17" i="1"/>
  <c r="F18" i="1"/>
  <c r="F16" i="1"/>
  <c r="F20" i="1"/>
  <c r="G11" i="1" l="1"/>
  <c r="G10" i="1"/>
  <c r="G8" i="1"/>
  <c r="G7" i="1"/>
  <c r="I16" i="1" l="1"/>
  <c r="I112" i="1"/>
  <c r="I46" i="1"/>
  <c r="I39" i="1"/>
  <c r="I45" i="1"/>
  <c r="I72" i="1"/>
  <c r="I48" i="1"/>
  <c r="I75" i="1"/>
  <c r="I23" i="1"/>
  <c r="I106" i="1"/>
  <c r="I52" i="1"/>
  <c r="I28" i="1"/>
  <c r="I74" i="1"/>
  <c r="I103" i="1"/>
  <c r="I118" i="1"/>
  <c r="I91" i="1"/>
  <c r="I108" i="1"/>
  <c r="I60" i="1"/>
  <c r="I62" i="1"/>
  <c r="I37" i="1"/>
  <c r="I19" i="1"/>
  <c r="I120" i="1"/>
  <c r="I17" i="1"/>
  <c r="I100" i="1"/>
  <c r="I61" i="1"/>
  <c r="I102" i="1"/>
  <c r="I42" i="1"/>
  <c r="I53" i="1"/>
  <c r="I59" i="1"/>
  <c r="I73" i="1"/>
  <c r="I83" i="1"/>
  <c r="I77" i="1"/>
  <c r="I66" i="1"/>
  <c r="I119" i="1"/>
  <c r="I21" i="1"/>
  <c r="I85" i="1"/>
  <c r="I41" i="1"/>
  <c r="I47" i="1"/>
  <c r="I50" i="1"/>
  <c r="I56" i="1"/>
  <c r="I88" i="1"/>
  <c r="I115" i="1"/>
  <c r="I18" i="1"/>
  <c r="I58" i="1"/>
  <c r="I114" i="1"/>
  <c r="I54" i="1"/>
  <c r="I116" i="1"/>
  <c r="I93" i="1"/>
  <c r="I113" i="1"/>
  <c r="I44" i="1"/>
  <c r="I63" i="1"/>
  <c r="I67" i="1"/>
  <c r="I69" i="1"/>
  <c r="I109" i="1"/>
  <c r="I65" i="1"/>
  <c r="I89" i="1"/>
  <c r="I36" i="1"/>
  <c r="I78" i="1"/>
  <c r="I117" i="1"/>
  <c r="I38" i="1"/>
  <c r="I55" i="1"/>
  <c r="I76" i="1"/>
  <c r="I82" i="1"/>
  <c r="I29" i="1"/>
  <c r="I86" i="1"/>
  <c r="I95" i="1"/>
  <c r="I110" i="1"/>
  <c r="I70" i="1"/>
  <c r="I43" i="1"/>
  <c r="I97" i="1"/>
  <c r="I94" i="1"/>
  <c r="I79" i="1"/>
  <c r="I25" i="1"/>
  <c r="I92" i="1"/>
  <c r="I101" i="1"/>
  <c r="I107" i="1"/>
  <c r="I49" i="1"/>
  <c r="I20" i="1"/>
  <c r="I51" i="1"/>
  <c r="I57" i="1"/>
  <c r="I84" i="1"/>
  <c r="I111" i="1"/>
  <c r="I96" i="1"/>
  <c r="I34" i="1"/>
  <c r="I90" i="1"/>
  <c r="I99" i="1"/>
  <c r="I31" i="1"/>
  <c r="I26" i="1"/>
  <c r="I32" i="1"/>
  <c r="I64" i="1"/>
  <c r="I33" i="1"/>
  <c r="I71" i="1"/>
  <c r="I81" i="1"/>
  <c r="I24" i="1"/>
  <c r="I35" i="1"/>
  <c r="I30" i="1"/>
  <c r="I40" i="1"/>
  <c r="I105" i="1"/>
  <c r="I98" i="1"/>
  <c r="I104" i="1"/>
  <c r="I27" i="1"/>
  <c r="I68" i="1"/>
  <c r="I22" i="1"/>
  <c r="I87" i="1"/>
  <c r="I80" i="1"/>
  <c r="H16" i="1"/>
  <c r="H91" i="1"/>
  <c r="H28" i="1"/>
  <c r="H79" i="1"/>
  <c r="H23" i="1"/>
  <c r="H73" i="1"/>
  <c r="H99" i="1"/>
  <c r="H30" i="1"/>
  <c r="H19" i="1"/>
  <c r="H78" i="1"/>
  <c r="H83" i="1"/>
  <c r="H17" i="1"/>
  <c r="H35" i="1"/>
  <c r="H102" i="1"/>
  <c r="H21" i="1"/>
  <c r="H40" i="1"/>
  <c r="H38" i="1"/>
  <c r="H67" i="1"/>
  <c r="H41" i="1"/>
  <c r="H63" i="1"/>
  <c r="H29" i="1"/>
  <c r="H96" i="1"/>
  <c r="H49" i="1"/>
  <c r="H93" i="1"/>
  <c r="H112" i="1"/>
  <c r="H106" i="1"/>
  <c r="H64" i="1"/>
  <c r="H62" i="1"/>
  <c r="H89" i="1"/>
  <c r="H74" i="1"/>
  <c r="H113" i="1"/>
  <c r="H25" i="1"/>
  <c r="H24" i="1"/>
  <c r="H34" i="1"/>
  <c r="H100" i="1"/>
  <c r="H77" i="1"/>
  <c r="H119" i="1"/>
  <c r="H46" i="1"/>
  <c r="H72" i="1"/>
  <c r="H110" i="1"/>
  <c r="H90" i="1"/>
  <c r="H81" i="1"/>
  <c r="H87" i="1"/>
  <c r="H104" i="1"/>
  <c r="H51" i="1"/>
  <c r="H65" i="1"/>
  <c r="H71" i="1"/>
  <c r="H108" i="1"/>
  <c r="H85" i="1"/>
  <c r="H92" i="1"/>
  <c r="H115" i="1"/>
  <c r="H22" i="1"/>
  <c r="H26" i="1"/>
  <c r="H88" i="1"/>
  <c r="H59" i="1"/>
  <c r="H54" i="1"/>
  <c r="H60" i="1"/>
  <c r="H97" i="1"/>
  <c r="H118" i="1"/>
  <c r="H75" i="1"/>
  <c r="H94" i="1"/>
  <c r="H98" i="1"/>
  <c r="H120" i="1"/>
  <c r="H48" i="1"/>
  <c r="H55" i="1"/>
  <c r="H61" i="1"/>
  <c r="H27" i="1"/>
  <c r="H57" i="1"/>
  <c r="H101" i="1"/>
  <c r="H86" i="1"/>
  <c r="H68" i="1"/>
  <c r="H76" i="1"/>
  <c r="H53" i="1"/>
  <c r="H37" i="1"/>
  <c r="H31" i="1"/>
  <c r="H43" i="1"/>
  <c r="H70" i="1"/>
  <c r="H84" i="1"/>
  <c r="H32" i="1"/>
  <c r="H58" i="1"/>
  <c r="H20" i="1"/>
  <c r="H42" i="1"/>
  <c r="H107" i="1"/>
  <c r="H39" i="1"/>
  <c r="H45" i="1"/>
  <c r="H18" i="1"/>
  <c r="H44" i="1"/>
  <c r="H109" i="1"/>
  <c r="H80" i="1"/>
  <c r="H66" i="1"/>
  <c r="H47" i="1"/>
  <c r="H114" i="1"/>
  <c r="H33" i="1"/>
  <c r="H111" i="1"/>
  <c r="H56" i="1"/>
  <c r="H82" i="1"/>
  <c r="H95" i="1"/>
  <c r="H69" i="1"/>
  <c r="H52" i="1"/>
  <c r="H117" i="1"/>
  <c r="H36" i="1"/>
  <c r="H103" i="1"/>
  <c r="H105" i="1"/>
  <c r="H50" i="1"/>
  <c r="H116" i="1"/>
  <c r="I8" i="1" l="1"/>
  <c r="I7" i="1"/>
  <c r="I11" i="1"/>
  <c r="I10" i="1"/>
  <c r="J21" i="1" l="1"/>
  <c r="K21" i="1" s="1"/>
  <c r="M21" i="1" s="1"/>
  <c r="N21" i="1" s="1"/>
  <c r="J36" i="1"/>
  <c r="K36" i="1" s="1"/>
  <c r="M36" i="1" s="1"/>
  <c r="N36" i="1" s="1"/>
  <c r="J50" i="1"/>
  <c r="L50" i="1" s="1"/>
  <c r="O50" i="1" s="1"/>
  <c r="J40" i="1"/>
  <c r="L40" i="1" s="1"/>
  <c r="O40" i="1" s="1"/>
  <c r="J53" i="1"/>
  <c r="K53" i="1" s="1"/>
  <c r="M53" i="1" s="1"/>
  <c r="N53" i="1" s="1"/>
  <c r="J102" i="1"/>
  <c r="K102" i="1" s="1"/>
  <c r="M102" i="1" s="1"/>
  <c r="N102" i="1" s="1"/>
  <c r="J44" i="1"/>
  <c r="K44" i="1" s="1"/>
  <c r="M44" i="1" s="1"/>
  <c r="N44" i="1" s="1"/>
  <c r="J120" i="1"/>
  <c r="K120" i="1" s="1"/>
  <c r="M120" i="1" s="1"/>
  <c r="N120" i="1" s="1"/>
  <c r="J61" i="1"/>
  <c r="K61" i="1" s="1"/>
  <c r="M61" i="1" s="1"/>
  <c r="N61" i="1" s="1"/>
  <c r="J28" i="1"/>
  <c r="K28" i="1" s="1"/>
  <c r="M28" i="1" s="1"/>
  <c r="N28" i="1" s="1"/>
  <c r="J95" i="1"/>
  <c r="L95" i="1" s="1"/>
  <c r="O95" i="1" s="1"/>
  <c r="J56" i="1"/>
  <c r="L56" i="1" s="1"/>
  <c r="O56" i="1" s="1"/>
  <c r="J85" i="1"/>
  <c r="L85" i="1" s="1"/>
  <c r="O85" i="1" s="1"/>
  <c r="J25" i="1"/>
  <c r="K25" i="1" s="1"/>
  <c r="M25" i="1" s="1"/>
  <c r="N25" i="1" s="1"/>
  <c r="J58" i="1"/>
  <c r="L58" i="1" s="1"/>
  <c r="O58" i="1" s="1"/>
  <c r="J51" i="1"/>
  <c r="K51" i="1" s="1"/>
  <c r="M51" i="1" s="1"/>
  <c r="N51" i="1" s="1"/>
  <c r="J48" i="1"/>
  <c r="K48" i="1" s="1"/>
  <c r="M48" i="1" s="1"/>
  <c r="N48" i="1" s="1"/>
  <c r="J117" i="1"/>
  <c r="K117" i="1" s="1"/>
  <c r="M117" i="1" s="1"/>
  <c r="N117" i="1" s="1"/>
  <c r="J110" i="1"/>
  <c r="L110" i="1" s="1"/>
  <c r="O110" i="1" s="1"/>
  <c r="J103" i="1"/>
  <c r="K103" i="1" s="1"/>
  <c r="M103" i="1" s="1"/>
  <c r="N103" i="1" s="1"/>
  <c r="J104" i="1"/>
  <c r="K104" i="1" s="1"/>
  <c r="M104" i="1" s="1"/>
  <c r="N104" i="1" s="1"/>
  <c r="J89" i="1"/>
  <c r="K89" i="1" s="1"/>
  <c r="M89" i="1" s="1"/>
  <c r="N89" i="1" s="1"/>
  <c r="J66" i="1"/>
  <c r="L66" i="1" s="1"/>
  <c r="O66" i="1" s="1"/>
  <c r="J59" i="1"/>
  <c r="L59" i="1" s="1"/>
  <c r="O59" i="1" s="1"/>
  <c r="J60" i="1"/>
  <c r="L60" i="1" s="1"/>
  <c r="O60" i="1" s="1"/>
  <c r="J101" i="1"/>
  <c r="K101" i="1" s="1"/>
  <c r="M101" i="1" s="1"/>
  <c r="N101" i="1" s="1"/>
  <c r="J22" i="1"/>
  <c r="L22" i="1" s="1"/>
  <c r="O22" i="1" s="1"/>
  <c r="J118" i="1"/>
  <c r="K118" i="1" s="1"/>
  <c r="M118" i="1" s="1"/>
  <c r="N118" i="1" s="1"/>
  <c r="J111" i="1"/>
  <c r="K111" i="1" s="1"/>
  <c r="M111" i="1" s="1"/>
  <c r="N111" i="1" s="1"/>
  <c r="J112" i="1"/>
  <c r="K112" i="1" s="1"/>
  <c r="M112" i="1" s="1"/>
  <c r="N112" i="1" s="1"/>
  <c r="J49" i="1"/>
  <c r="L49" i="1" s="1"/>
  <c r="O49" i="1" s="1"/>
  <c r="J68" i="1"/>
  <c r="L68" i="1" s="1"/>
  <c r="O68" i="1" s="1"/>
  <c r="J75" i="1"/>
  <c r="L75" i="1" s="1"/>
  <c r="O75" i="1" s="1"/>
  <c r="J26" i="1"/>
  <c r="K26" i="1" s="1"/>
  <c r="M26" i="1" s="1"/>
  <c r="N26" i="1" s="1"/>
  <c r="J71" i="1"/>
  <c r="K71" i="1" s="1"/>
  <c r="M71" i="1" s="1"/>
  <c r="N71" i="1" s="1"/>
  <c r="J105" i="1"/>
  <c r="K105" i="1" s="1"/>
  <c r="M105" i="1" s="1"/>
  <c r="N105" i="1" s="1"/>
  <c r="J42" i="1"/>
  <c r="K42" i="1" s="1"/>
  <c r="M42" i="1" s="1"/>
  <c r="N42" i="1" s="1"/>
  <c r="J35" i="1"/>
  <c r="K35" i="1" s="1"/>
  <c r="M35" i="1" s="1"/>
  <c r="N35" i="1" s="1"/>
  <c r="J32" i="1"/>
  <c r="L32" i="1" s="1"/>
  <c r="O32" i="1" s="1"/>
  <c r="J46" i="1"/>
  <c r="L46" i="1" s="1"/>
  <c r="O46" i="1" s="1"/>
  <c r="J39" i="1"/>
  <c r="K39" i="1" s="1"/>
  <c r="M39" i="1" s="1"/>
  <c r="N39" i="1" s="1"/>
  <c r="J65" i="1"/>
  <c r="K65" i="1" s="1"/>
  <c r="M65" i="1" s="1"/>
  <c r="N65" i="1" s="1"/>
  <c r="J34" i="1"/>
  <c r="L34" i="1" s="1"/>
  <c r="O34" i="1" s="1"/>
  <c r="J37" i="1"/>
  <c r="K37" i="1" s="1"/>
  <c r="M37" i="1" s="1"/>
  <c r="N37" i="1" s="1"/>
  <c r="J109" i="1"/>
  <c r="L109" i="1" s="1"/>
  <c r="O109" i="1" s="1"/>
  <c r="J70" i="1"/>
  <c r="K70" i="1" s="1"/>
  <c r="M70" i="1" s="1"/>
  <c r="N70" i="1" s="1"/>
  <c r="J63" i="1"/>
  <c r="L63" i="1" s="1"/>
  <c r="O63" i="1" s="1"/>
  <c r="J64" i="1"/>
  <c r="L64" i="1" s="1"/>
  <c r="O64" i="1" s="1"/>
  <c r="J57" i="1"/>
  <c r="K57" i="1" s="1"/>
  <c r="M57" i="1" s="1"/>
  <c r="N57" i="1" s="1"/>
  <c r="J74" i="1"/>
  <c r="L74" i="1" s="1"/>
  <c r="O74" i="1" s="1"/>
  <c r="J23" i="1"/>
  <c r="L23" i="1" s="1"/>
  <c r="O23" i="1" s="1"/>
  <c r="J80" i="1"/>
  <c r="K80" i="1" s="1"/>
  <c r="M80" i="1" s="1"/>
  <c r="N80" i="1" s="1"/>
  <c r="J79" i="1"/>
  <c r="L79" i="1" s="1"/>
  <c r="O79" i="1" s="1"/>
  <c r="J38" i="1"/>
  <c r="L38" i="1" s="1"/>
  <c r="O38" i="1" s="1"/>
  <c r="J73" i="1"/>
  <c r="K73" i="1" s="1"/>
  <c r="M73" i="1" s="1"/>
  <c r="N73" i="1" s="1"/>
  <c r="J90" i="1"/>
  <c r="L90" i="1" s="1"/>
  <c r="O90" i="1" s="1"/>
  <c r="J83" i="1"/>
  <c r="L83" i="1" s="1"/>
  <c r="O83" i="1" s="1"/>
  <c r="J84" i="1"/>
  <c r="K84" i="1" s="1"/>
  <c r="M84" i="1" s="1"/>
  <c r="N84" i="1" s="1"/>
  <c r="J93" i="1"/>
  <c r="L93" i="1" s="1"/>
  <c r="O93" i="1" s="1"/>
  <c r="J94" i="1"/>
  <c r="L94" i="1" s="1"/>
  <c r="O94" i="1" s="1"/>
  <c r="J87" i="1"/>
  <c r="K87" i="1" s="1"/>
  <c r="M87" i="1" s="1"/>
  <c r="N87" i="1" s="1"/>
  <c r="J88" i="1"/>
  <c r="L88" i="1" s="1"/>
  <c r="O88" i="1" s="1"/>
  <c r="J33" i="1"/>
  <c r="L33" i="1" s="1"/>
  <c r="O33" i="1" s="1"/>
  <c r="J43" i="1"/>
  <c r="K43" i="1" s="1"/>
  <c r="M43" i="1" s="1"/>
  <c r="N43" i="1" s="1"/>
  <c r="J92" i="1"/>
  <c r="L92" i="1" s="1"/>
  <c r="O92" i="1" s="1"/>
  <c r="J54" i="1"/>
  <c r="L54" i="1" s="1"/>
  <c r="O54" i="1" s="1"/>
  <c r="J47" i="1"/>
  <c r="K47" i="1" s="1"/>
  <c r="M47" i="1" s="1"/>
  <c r="N47" i="1" s="1"/>
  <c r="J96" i="1"/>
  <c r="K96" i="1" s="1"/>
  <c r="M96" i="1" s="1"/>
  <c r="N96" i="1" s="1"/>
  <c r="J113" i="1"/>
  <c r="L113" i="1" s="1"/>
  <c r="O113" i="1" s="1"/>
  <c r="J76" i="1"/>
  <c r="K76" i="1" s="1"/>
  <c r="M76" i="1" s="1"/>
  <c r="N76" i="1" s="1"/>
  <c r="J86" i="1"/>
  <c r="L86" i="1" s="1"/>
  <c r="O86" i="1" s="1"/>
  <c r="J91" i="1"/>
  <c r="L91" i="1" s="1"/>
  <c r="O91" i="1" s="1"/>
  <c r="J27" i="1"/>
  <c r="K27" i="1" s="1"/>
  <c r="M27" i="1" s="1"/>
  <c r="N27" i="1" s="1"/>
  <c r="J98" i="1"/>
  <c r="L98" i="1" s="1"/>
  <c r="O98" i="1" s="1"/>
  <c r="J99" i="1"/>
  <c r="L99" i="1" s="1"/>
  <c r="O99" i="1" s="1"/>
  <c r="J116" i="1"/>
  <c r="K116" i="1" s="1"/>
  <c r="M116" i="1" s="1"/>
  <c r="N116" i="1" s="1"/>
  <c r="J55" i="1"/>
  <c r="L55" i="1" s="1"/>
  <c r="O55" i="1" s="1"/>
  <c r="J18" i="1"/>
  <c r="L18" i="1" s="1"/>
  <c r="O18" i="1" s="1"/>
  <c r="J108" i="1"/>
  <c r="L108" i="1" s="1"/>
  <c r="O108" i="1" s="1"/>
  <c r="J78" i="1"/>
  <c r="L78" i="1" s="1"/>
  <c r="O78" i="1" s="1"/>
  <c r="J29" i="1"/>
  <c r="K29" i="1" s="1"/>
  <c r="M29" i="1" s="1"/>
  <c r="N29" i="1" s="1"/>
  <c r="J17" i="1"/>
  <c r="L17" i="1" s="1"/>
  <c r="O17" i="1" s="1"/>
  <c r="J100" i="1"/>
  <c r="K100" i="1" s="1"/>
  <c r="M100" i="1" s="1"/>
  <c r="N100" i="1" s="1"/>
  <c r="J19" i="1"/>
  <c r="K19" i="1" s="1"/>
  <c r="M19" i="1" s="1"/>
  <c r="N19" i="1" s="1"/>
  <c r="J77" i="1"/>
  <c r="L77" i="1" s="1"/>
  <c r="O77" i="1" s="1"/>
  <c r="J82" i="1"/>
  <c r="L82" i="1" s="1"/>
  <c r="O82" i="1" s="1"/>
  <c r="J52" i="1"/>
  <c r="K52" i="1" s="1"/>
  <c r="M52" i="1" s="1"/>
  <c r="N52" i="1" s="1"/>
  <c r="J114" i="1"/>
  <c r="L114" i="1" s="1"/>
  <c r="O114" i="1" s="1"/>
  <c r="J31" i="1"/>
  <c r="K31" i="1" s="1"/>
  <c r="M31" i="1" s="1"/>
  <c r="N31" i="1" s="1"/>
  <c r="J97" i="1"/>
  <c r="L97" i="1" s="1"/>
  <c r="O97" i="1" s="1"/>
  <c r="J45" i="1"/>
  <c r="K45" i="1" s="1"/>
  <c r="M45" i="1" s="1"/>
  <c r="N45" i="1" s="1"/>
  <c r="J67" i="1"/>
  <c r="K67" i="1" s="1"/>
  <c r="M67" i="1" s="1"/>
  <c r="N67" i="1" s="1"/>
  <c r="J69" i="1"/>
  <c r="L69" i="1" s="1"/>
  <c r="O69" i="1" s="1"/>
  <c r="J24" i="1"/>
  <c r="K24" i="1" s="1"/>
  <c r="M24" i="1" s="1"/>
  <c r="N24" i="1" s="1"/>
  <c r="J106" i="1"/>
  <c r="L106" i="1" s="1"/>
  <c r="O106" i="1" s="1"/>
  <c r="J62" i="1"/>
  <c r="L62" i="1" s="1"/>
  <c r="O62" i="1" s="1"/>
  <c r="J115" i="1"/>
  <c r="L115" i="1" s="1"/>
  <c r="O115" i="1" s="1"/>
  <c r="J41" i="1"/>
  <c r="K41" i="1" s="1"/>
  <c r="M41" i="1" s="1"/>
  <c r="N41" i="1" s="1"/>
  <c r="J119" i="1"/>
  <c r="L119" i="1" s="1"/>
  <c r="O119" i="1" s="1"/>
  <c r="J72" i="1"/>
  <c r="L72" i="1" s="1"/>
  <c r="O72" i="1" s="1"/>
  <c r="J107" i="1"/>
  <c r="L107" i="1" s="1"/>
  <c r="O107" i="1" s="1"/>
  <c r="J30" i="1"/>
  <c r="L30" i="1" s="1"/>
  <c r="O30" i="1" s="1"/>
  <c r="J20" i="1"/>
  <c r="K20" i="1" s="1"/>
  <c r="M20" i="1" s="1"/>
  <c r="N20" i="1" s="1"/>
  <c r="J16" i="1"/>
  <c r="K16" i="1" s="1"/>
  <c r="M16" i="1" s="1"/>
  <c r="N16" i="1" s="1"/>
  <c r="J81" i="1"/>
  <c r="L81" i="1" s="1"/>
  <c r="O81" i="1" s="1"/>
  <c r="K92" i="1" l="1"/>
  <c r="M92" i="1" s="1"/>
  <c r="N92" i="1" s="1"/>
  <c r="K81" i="1"/>
  <c r="M81" i="1" s="1"/>
  <c r="N81" i="1" s="1"/>
  <c r="K106" i="1"/>
  <c r="M106" i="1" s="1"/>
  <c r="N106" i="1" s="1"/>
  <c r="L29" i="1"/>
  <c r="O29" i="1" s="1"/>
  <c r="K108" i="1"/>
  <c r="M108" i="1" s="1"/>
  <c r="N108" i="1" s="1"/>
  <c r="K90" i="1"/>
  <c r="M90" i="1" s="1"/>
  <c r="N90" i="1" s="1"/>
  <c r="K55" i="1"/>
  <c r="M55" i="1" s="1"/>
  <c r="N55" i="1" s="1"/>
  <c r="L35" i="1"/>
  <c r="O35" i="1" s="1"/>
  <c r="L19" i="1"/>
  <c r="O19" i="1" s="1"/>
  <c r="L89" i="1"/>
  <c r="O89" i="1" s="1"/>
  <c r="K69" i="1"/>
  <c r="M69" i="1" s="1"/>
  <c r="N69" i="1" s="1"/>
  <c r="L65" i="1"/>
  <c r="O65" i="1" s="1"/>
  <c r="K98" i="1"/>
  <c r="M98" i="1" s="1"/>
  <c r="N98" i="1" s="1"/>
  <c r="L101" i="1"/>
  <c r="O101" i="1" s="1"/>
  <c r="K107" i="1"/>
  <c r="M107" i="1" s="1"/>
  <c r="N107" i="1" s="1"/>
  <c r="L25" i="1"/>
  <c r="O25" i="1" s="1"/>
  <c r="K17" i="1"/>
  <c r="M17" i="1" s="1"/>
  <c r="N17" i="1" s="1"/>
  <c r="L45" i="1"/>
  <c r="O45" i="1" s="1"/>
  <c r="L112" i="1"/>
  <c r="O112" i="1" s="1"/>
  <c r="L28" i="1"/>
  <c r="O28" i="1" s="1"/>
  <c r="K114" i="1"/>
  <c r="M114" i="1" s="1"/>
  <c r="N114" i="1" s="1"/>
  <c r="K63" i="1"/>
  <c r="M63" i="1" s="1"/>
  <c r="N63" i="1" s="1"/>
  <c r="K18" i="1"/>
  <c r="M18" i="1" s="1"/>
  <c r="N18" i="1" s="1"/>
  <c r="K86" i="1"/>
  <c r="M86" i="1" s="1"/>
  <c r="N86" i="1" s="1"/>
  <c r="K88" i="1"/>
  <c r="M88" i="1" s="1"/>
  <c r="N88" i="1" s="1"/>
  <c r="K79" i="1"/>
  <c r="M79" i="1" s="1"/>
  <c r="N79" i="1" s="1"/>
  <c r="L26" i="1"/>
  <c r="O26" i="1" s="1"/>
  <c r="L96" i="1"/>
  <c r="O96" i="1" s="1"/>
  <c r="K119" i="1"/>
  <c r="M119" i="1" s="1"/>
  <c r="N119" i="1" s="1"/>
  <c r="K115" i="1"/>
  <c r="M115" i="1" s="1"/>
  <c r="N115" i="1" s="1"/>
  <c r="K93" i="1"/>
  <c r="M93" i="1" s="1"/>
  <c r="N93" i="1" s="1"/>
  <c r="K74" i="1"/>
  <c r="M74" i="1" s="1"/>
  <c r="N74" i="1" s="1"/>
  <c r="L36" i="1"/>
  <c r="O36" i="1" s="1"/>
  <c r="L41" i="1"/>
  <c r="O41" i="1" s="1"/>
  <c r="K82" i="1"/>
  <c r="M82" i="1" s="1"/>
  <c r="N82" i="1" s="1"/>
  <c r="K78" i="1"/>
  <c r="M78" i="1" s="1"/>
  <c r="N78" i="1" s="1"/>
  <c r="L117" i="1"/>
  <c r="O117" i="1" s="1"/>
  <c r="K59" i="1"/>
  <c r="M59" i="1" s="1"/>
  <c r="N59" i="1" s="1"/>
  <c r="L16" i="1"/>
  <c r="O16" i="1" s="1"/>
  <c r="K58" i="1"/>
  <c r="M58" i="1" s="1"/>
  <c r="N58" i="1" s="1"/>
  <c r="K85" i="1"/>
  <c r="M85" i="1" s="1"/>
  <c r="N85" i="1" s="1"/>
  <c r="K62" i="1"/>
  <c r="M62" i="1" s="1"/>
  <c r="N62" i="1" s="1"/>
  <c r="K97" i="1"/>
  <c r="M97" i="1" s="1"/>
  <c r="N97" i="1" s="1"/>
  <c r="L102" i="1"/>
  <c r="O102" i="1" s="1"/>
  <c r="K40" i="1"/>
  <c r="M40" i="1" s="1"/>
  <c r="N40" i="1" s="1"/>
  <c r="K60" i="1"/>
  <c r="M60" i="1" s="1"/>
  <c r="N60" i="1" s="1"/>
  <c r="K50" i="1"/>
  <c r="M50" i="1" s="1"/>
  <c r="N50" i="1" s="1"/>
  <c r="K75" i="1"/>
  <c r="M75" i="1" s="1"/>
  <c r="N75" i="1" s="1"/>
  <c r="L52" i="1"/>
  <c r="O52" i="1" s="1"/>
  <c r="K68" i="1"/>
  <c r="M68" i="1" s="1"/>
  <c r="N68" i="1" s="1"/>
  <c r="L100" i="1"/>
  <c r="O100" i="1" s="1"/>
  <c r="L27" i="1"/>
  <c r="O27" i="1" s="1"/>
  <c r="L47" i="1"/>
  <c r="O47" i="1" s="1"/>
  <c r="L87" i="1"/>
  <c r="O87" i="1" s="1"/>
  <c r="L73" i="1"/>
  <c r="O73" i="1" s="1"/>
  <c r="L57" i="1"/>
  <c r="O57" i="1" s="1"/>
  <c r="K30" i="1"/>
  <c r="M30" i="1" s="1"/>
  <c r="N30" i="1" s="1"/>
  <c r="K72" i="1"/>
  <c r="M72" i="1" s="1"/>
  <c r="N72" i="1" s="1"/>
  <c r="K99" i="1"/>
  <c r="M99" i="1" s="1"/>
  <c r="N99" i="1" s="1"/>
  <c r="K91" i="1"/>
  <c r="M91" i="1" s="1"/>
  <c r="N91" i="1" s="1"/>
  <c r="K113" i="1"/>
  <c r="M113" i="1" s="1"/>
  <c r="N113" i="1" s="1"/>
  <c r="K54" i="1"/>
  <c r="M54" i="1" s="1"/>
  <c r="N54" i="1" s="1"/>
  <c r="K33" i="1"/>
  <c r="M33" i="1" s="1"/>
  <c r="N33" i="1" s="1"/>
  <c r="K94" i="1"/>
  <c r="M94" i="1" s="1"/>
  <c r="N94" i="1" s="1"/>
  <c r="K83" i="1"/>
  <c r="M83" i="1" s="1"/>
  <c r="N83" i="1" s="1"/>
  <c r="K38" i="1"/>
  <c r="M38" i="1" s="1"/>
  <c r="N38" i="1" s="1"/>
  <c r="K23" i="1"/>
  <c r="M23" i="1" s="1"/>
  <c r="N23" i="1" s="1"/>
  <c r="K64" i="1"/>
  <c r="M64" i="1" s="1"/>
  <c r="N64" i="1" s="1"/>
  <c r="K109" i="1"/>
  <c r="M109" i="1" s="1"/>
  <c r="N109" i="1" s="1"/>
  <c r="L39" i="1"/>
  <c r="O39" i="1" s="1"/>
  <c r="L42" i="1"/>
  <c r="O42" i="1" s="1"/>
  <c r="L111" i="1"/>
  <c r="O111" i="1" s="1"/>
  <c r="L104" i="1"/>
  <c r="O104" i="1" s="1"/>
  <c r="L48" i="1"/>
  <c r="O48" i="1" s="1"/>
  <c r="L61" i="1"/>
  <c r="O61" i="1" s="1"/>
  <c r="L53" i="1"/>
  <c r="O53" i="1" s="1"/>
  <c r="L21" i="1"/>
  <c r="O21" i="1" s="1"/>
  <c r="K66" i="1"/>
  <c r="M66" i="1" s="1"/>
  <c r="N66" i="1" s="1"/>
  <c r="K56" i="1"/>
  <c r="M56" i="1" s="1"/>
  <c r="N56" i="1" s="1"/>
  <c r="K49" i="1"/>
  <c r="M49" i="1" s="1"/>
  <c r="N49" i="1" s="1"/>
  <c r="L116" i="1"/>
  <c r="O116" i="1" s="1"/>
  <c r="K95" i="1"/>
  <c r="M95" i="1" s="1"/>
  <c r="N95" i="1" s="1"/>
  <c r="L20" i="1"/>
  <c r="O20" i="1" s="1"/>
  <c r="K46" i="1"/>
  <c r="M46" i="1" s="1"/>
  <c r="N46" i="1" s="1"/>
  <c r="L31" i="1"/>
  <c r="O31" i="1" s="1"/>
  <c r="L67" i="1"/>
  <c r="O67" i="1" s="1"/>
  <c r="L24" i="1"/>
  <c r="O24" i="1" s="1"/>
  <c r="K77" i="1"/>
  <c r="M77" i="1" s="1"/>
  <c r="N77" i="1" s="1"/>
  <c r="L37" i="1"/>
  <c r="O37" i="1" s="1"/>
  <c r="L105" i="1"/>
  <c r="O105" i="1" s="1"/>
  <c r="L118" i="1"/>
  <c r="O118" i="1" s="1"/>
  <c r="L103" i="1"/>
  <c r="O103" i="1" s="1"/>
  <c r="L51" i="1"/>
  <c r="O51" i="1" s="1"/>
  <c r="L120" i="1"/>
  <c r="O120" i="1" s="1"/>
  <c r="K110" i="1"/>
  <c r="M110" i="1" s="1"/>
  <c r="N110" i="1" s="1"/>
  <c r="K34" i="1"/>
  <c r="M34" i="1" s="1"/>
  <c r="N34" i="1" s="1"/>
  <c r="K32" i="1"/>
  <c r="M32" i="1" s="1"/>
  <c r="N32" i="1" s="1"/>
  <c r="K22" i="1"/>
  <c r="M22" i="1" s="1"/>
  <c r="N22" i="1" s="1"/>
  <c r="L76" i="1"/>
  <c r="O76" i="1" s="1"/>
  <c r="L43" i="1"/>
  <c r="O43" i="1" s="1"/>
  <c r="L84" i="1"/>
  <c r="O84" i="1" s="1"/>
  <c r="L80" i="1"/>
  <c r="O80" i="1" s="1"/>
  <c r="L70" i="1"/>
  <c r="O70" i="1" s="1"/>
  <c r="L71" i="1"/>
  <c r="O71" i="1" s="1"/>
  <c r="L44" i="1"/>
  <c r="O44" i="1" s="1"/>
  <c r="O7" i="1" l="1"/>
  <c r="AE17" i="1"/>
  <c r="AC18" i="1"/>
  <c r="AP17" i="1" s="1"/>
  <c r="O11" i="1"/>
  <c r="O8" i="1"/>
  <c r="AC17" i="1"/>
  <c r="O10" i="1"/>
  <c r="O12" i="1" s="1"/>
  <c r="AE39" i="1"/>
  <c r="AC39" i="1"/>
  <c r="AF37" i="1" s="1"/>
  <c r="AC40" i="1"/>
  <c r="AP39" i="1" s="1"/>
  <c r="AF38" i="1" l="1"/>
  <c r="AF40" i="1" s="1"/>
  <c r="AF41" i="1" s="1"/>
  <c r="AG37" i="1"/>
  <c r="AF15" i="1"/>
  <c r="AF17" i="1"/>
  <c r="AG17" i="1" s="1"/>
  <c r="AH17" i="1" s="1"/>
  <c r="AI17" i="1" s="1"/>
  <c r="AJ17" i="1" s="1"/>
  <c r="AK17" i="1" s="1"/>
  <c r="AL17" i="1" s="1"/>
  <c r="AM17" i="1" s="1"/>
  <c r="AN17" i="1" s="1"/>
  <c r="AO17" i="1" s="1"/>
  <c r="AG15" i="1" l="1"/>
  <c r="AF16" i="1"/>
  <c r="AF18" i="1" s="1"/>
  <c r="AF19" i="1" s="1"/>
  <c r="AG38" i="1"/>
  <c r="AG40" i="1" s="1"/>
  <c r="AG41" i="1" s="1"/>
  <c r="AH37" i="1"/>
  <c r="AF39" i="1"/>
  <c r="AG39" i="1" l="1"/>
  <c r="AI37" i="1"/>
  <c r="AH38" i="1"/>
  <c r="AH40" i="1" s="1"/>
  <c r="AH41" i="1" s="1"/>
  <c r="AH15" i="1"/>
  <c r="AG16" i="1"/>
  <c r="AG18" i="1" s="1"/>
  <c r="AG19" i="1" s="1"/>
  <c r="AH16" i="1" l="1"/>
  <c r="AH18" i="1" s="1"/>
  <c r="AH19" i="1" s="1"/>
  <c r="AI15" i="1"/>
  <c r="AH39" i="1"/>
  <c r="AI38" i="1"/>
  <c r="AI40" i="1" s="1"/>
  <c r="AI41" i="1" s="1"/>
  <c r="AJ37" i="1"/>
  <c r="AI39" i="1" l="1"/>
  <c r="AJ38" i="1"/>
  <c r="AJ40" i="1" s="1"/>
  <c r="AJ41" i="1" s="1"/>
  <c r="AK37" i="1"/>
  <c r="AI16" i="1"/>
  <c r="AI18" i="1" s="1"/>
  <c r="AI19" i="1" s="1"/>
  <c r="AJ15" i="1"/>
  <c r="AJ39" i="1" l="1"/>
  <c r="AJ16" i="1"/>
  <c r="AJ18" i="1" s="1"/>
  <c r="AJ19" i="1" s="1"/>
  <c r="AK15" i="1"/>
  <c r="AL37" i="1"/>
  <c r="AK38" i="1"/>
  <c r="AK40" i="1" s="1"/>
  <c r="AK41" i="1" s="1"/>
  <c r="AL38" i="1" l="1"/>
  <c r="AL40" i="1" s="1"/>
  <c r="AL41" i="1" s="1"/>
  <c r="AM37" i="1"/>
  <c r="AK39" i="1"/>
  <c r="AK16" i="1"/>
  <c r="AK18" i="1" s="1"/>
  <c r="AK19" i="1" s="1"/>
  <c r="AL15" i="1"/>
  <c r="AL39" i="1" l="1"/>
  <c r="AL16" i="1"/>
  <c r="AL18" i="1" s="1"/>
  <c r="AL19" i="1" s="1"/>
  <c r="AM15" i="1"/>
  <c r="AM38" i="1"/>
  <c r="AM40" i="1" s="1"/>
  <c r="AM41" i="1" s="1"/>
  <c r="AN37" i="1"/>
  <c r="AM39" i="1" l="1"/>
  <c r="AN38" i="1"/>
  <c r="AN40" i="1" s="1"/>
  <c r="AN41" i="1" s="1"/>
  <c r="AO37" i="1"/>
  <c r="AM16" i="1"/>
  <c r="AM18" i="1" s="1"/>
  <c r="AM19" i="1" s="1"/>
  <c r="AN15" i="1"/>
  <c r="AN39" i="1" l="1"/>
  <c r="AN16" i="1"/>
  <c r="AN18" i="1" s="1"/>
  <c r="AN19" i="1" s="1"/>
  <c r="AO15" i="1"/>
  <c r="AO16" i="1" s="1"/>
  <c r="AO38" i="1"/>
  <c r="AO40" i="1" s="1"/>
  <c r="AO41" i="1" s="1"/>
  <c r="AP41" i="1" s="1"/>
  <c r="AO39" i="1" l="1"/>
  <c r="AO18" i="1"/>
  <c r="AO19" i="1" s="1"/>
  <c r="AP19" i="1" s="1"/>
  <c r="Z38" i="2"/>
  <c r="Z37" i="2"/>
  <c r="Z36" i="2"/>
  <c r="Y58" i="2"/>
  <c r="AB58" i="2"/>
  <c r="Z86" i="2"/>
  <c r="AB86" i="2"/>
  <c r="Z71" i="2"/>
  <c r="AB71" i="2"/>
  <c r="Z91" i="2"/>
  <c r="AB91" i="2"/>
  <c r="Z83" i="2"/>
  <c r="AB83" i="2"/>
  <c r="Z85" i="2"/>
  <c r="AB85" i="2"/>
  <c r="Z96" i="2"/>
  <c r="AB96" i="2"/>
  <c r="Z102" i="2"/>
  <c r="AB102" i="2"/>
  <c r="Z77" i="2"/>
  <c r="AB77" i="2"/>
  <c r="Z67" i="2"/>
  <c r="AB67" i="2"/>
  <c r="Z79" i="2"/>
  <c r="AB79" i="2"/>
  <c r="Z74" i="2"/>
  <c r="AB74" i="2"/>
  <c r="Z101" i="2"/>
  <c r="AB101" i="2"/>
  <c r="Z87" i="2"/>
  <c r="AB87" i="2"/>
  <c r="Z88" i="2"/>
  <c r="AB88" i="2"/>
  <c r="Z93" i="2"/>
  <c r="AB93" i="2"/>
  <c r="Z81" i="2"/>
  <c r="AB81" i="2"/>
  <c r="Z92" i="2"/>
  <c r="AB92" i="2"/>
  <c r="Z97" i="2"/>
  <c r="AB97" i="2"/>
  <c r="Z94" i="2"/>
  <c r="AB94" i="2"/>
  <c r="Z70" i="2"/>
  <c r="AB70" i="2"/>
  <c r="Z98" i="2"/>
  <c r="AB98" i="2"/>
  <c r="Z90" i="2"/>
  <c r="AB90" i="2"/>
  <c r="Z103" i="2"/>
  <c r="AB103" i="2"/>
  <c r="Z68" i="2"/>
  <c r="AB68" i="2"/>
  <c r="Z104" i="2"/>
  <c r="AB104" i="2"/>
  <c r="Z72" i="2"/>
  <c r="AB72" i="2"/>
  <c r="Z80" i="2"/>
  <c r="AB80" i="2"/>
  <c r="Z84" i="2"/>
  <c r="AB84" i="2"/>
  <c r="Z73" i="2"/>
  <c r="AB73" i="2"/>
  <c r="Z69" i="2"/>
  <c r="AB69" i="2"/>
  <c r="Z75" i="2"/>
  <c r="AB75" i="2"/>
  <c r="Z89" i="2"/>
  <c r="AB89" i="2"/>
  <c r="Z105" i="2"/>
  <c r="AB105" i="2"/>
  <c r="Z99" i="2"/>
  <c r="AB99" i="2"/>
  <c r="Z66" i="2"/>
  <c r="AB66" i="2"/>
  <c r="Z78" i="2"/>
  <c r="AB78" i="2"/>
  <c r="Z100" i="2"/>
  <c r="AB100" i="2"/>
  <c r="Z95" i="2"/>
  <c r="AB95" i="2"/>
  <c r="Z76" i="2"/>
  <c r="AB76" i="2"/>
  <c r="Z82" i="2"/>
  <c r="AB82" i="2"/>
  <c r="Y62" i="2"/>
  <c r="AB62" i="2"/>
</calcChain>
</file>

<file path=xl/sharedStrings.xml><?xml version="1.0" encoding="utf-8"?>
<sst xmlns="http://schemas.openxmlformats.org/spreadsheetml/2006/main" count="122" uniqueCount="88">
  <si>
    <t>Porosity</t>
  </si>
  <si>
    <t>mean</t>
  </si>
  <si>
    <t>stdev</t>
  </si>
  <si>
    <t>X1</t>
  </si>
  <si>
    <t>X2</t>
  </si>
  <si>
    <t>X2'</t>
  </si>
  <si>
    <t>X1'</t>
  </si>
  <si>
    <t>Bivariate Standard Normal</t>
  </si>
  <si>
    <t>Bivariate Normal</t>
  </si>
  <si>
    <t>Permeability</t>
  </si>
  <si>
    <t>rho</t>
  </si>
  <si>
    <t>Porosity (X2')</t>
  </si>
  <si>
    <t>Permeability (Exp{X1'})</t>
  </si>
  <si>
    <t>min</t>
  </si>
  <si>
    <t>max</t>
  </si>
  <si>
    <t>R1</t>
  </si>
  <si>
    <t>R2</t>
  </si>
  <si>
    <t>CorrelR1</t>
  </si>
  <si>
    <t>CorrelR2</t>
  </si>
  <si>
    <t>CR1U[0,1]</t>
  </si>
  <si>
    <t>CR2</t>
  </si>
  <si>
    <t>CR1</t>
  </si>
  <si>
    <t>CR2U[0,1]</t>
  </si>
  <si>
    <t>Depth</t>
  </si>
  <si>
    <t>Prob</t>
  </si>
  <si>
    <t>Porosity Histogram</t>
  </si>
  <si>
    <t>Bins</t>
  </si>
  <si>
    <t>Permeability Histogram</t>
  </si>
  <si>
    <t>A Synthetic Porosity and Permeability Dataset for Demonstration, Michael Pyrcz, University of Texas at Austin, @GeostatsGuy on Twitter</t>
  </si>
  <si>
    <t>3. Spatially Correlated P-values</t>
  </si>
  <si>
    <t>2. Spatially Correlated Random</t>
  </si>
  <si>
    <t>1. Random U[0,1]</t>
  </si>
  <si>
    <t xml:space="preserve">4. Standard, Bivariate Gaussian Spatially Correlated  </t>
  </si>
  <si>
    <t xml:space="preserve">5. Non-standard, Bivariate Gaussian Spatially Correlated  </t>
  </si>
  <si>
    <t>6. Porosity as Nonstandard Gaussian, X1'</t>
  </si>
  <si>
    <t>7. Permeability as Exp{Non-standard Gaussian, X2'}</t>
  </si>
  <si>
    <t>CR1[0,1]</t>
  </si>
  <si>
    <t>CR2[0,1]</t>
  </si>
  <si>
    <t xml:space="preserve">standard bivariate Gaussian (with user specified correlation coefficient, rho), X, transformed to user specified mean and standard </t>
  </si>
  <si>
    <t xml:space="preserve">deviation, X'.  X2 is applied directly as porosity and EXP{X1'} is applied as permeability for a lognormal distribution with mu sigma specified as the mean and </t>
  </si>
  <si>
    <t>standard deviation of X1'.</t>
  </si>
  <si>
    <t>Cum. Prob</t>
  </si>
  <si>
    <r>
      <rPr>
        <b/>
        <sz val="12"/>
        <color theme="1"/>
        <rFont val="Calibri"/>
        <family val="2"/>
        <scheme val="minor"/>
      </rPr>
      <t>Result</t>
    </r>
    <r>
      <rPr>
        <sz val="12"/>
        <color theme="1"/>
        <rFont val="Calibri"/>
        <family val="2"/>
        <scheme val="minor"/>
      </rPr>
      <t xml:space="preserve">: Stochastic realizations of porosity and permeability with user specified univariate, spatial, and multivariate distributions. </t>
    </r>
  </si>
  <si>
    <r>
      <rPr>
        <b/>
        <sz val="12"/>
        <color theme="1"/>
        <rFont val="Calibri"/>
        <family val="2"/>
        <scheme val="minor"/>
      </rPr>
      <t>Methodology</t>
    </r>
    <r>
      <rPr>
        <sz val="12"/>
        <color theme="1"/>
        <rFont val="Calibri"/>
        <family val="2"/>
        <scheme val="minor"/>
      </rPr>
      <t xml:space="preserve">:  Random vectors, R, are spatially correlated with convolution, CR, corrected to  range [0,1], applied as p-values to </t>
    </r>
  </si>
  <si>
    <r>
      <rPr>
        <b/>
        <sz val="11"/>
        <color theme="1"/>
        <rFont val="Calibri"/>
        <family val="2"/>
        <scheme val="minor"/>
      </rPr>
      <t>Instructions</t>
    </r>
    <r>
      <rPr>
        <sz val="11"/>
        <color theme="1"/>
        <rFont val="Calibri"/>
        <family val="2"/>
        <scheme val="minor"/>
      </rPr>
      <t>: Edit the yellow fields to model the desired porosity, permeability distributions and correlation.  Spatial continuity is hard coded with averaging window (CR).</t>
    </r>
  </si>
  <si>
    <t>1. Raw Well-based Data</t>
  </si>
  <si>
    <r>
      <t>Porosity (</t>
    </r>
    <r>
      <rPr>
        <b/>
        <sz val="11"/>
        <color theme="1"/>
        <rFont val="Calibri"/>
        <family val="2"/>
      </rPr>
      <t>φ)</t>
    </r>
  </si>
  <si>
    <t>Permeability (k)</t>
  </si>
  <si>
    <t>k/φ</t>
  </si>
  <si>
    <t>4. Calculate kh and phi h</t>
  </si>
  <si>
    <t>Phi h</t>
  </si>
  <si>
    <t>Ʃ Phi h</t>
  </si>
  <si>
    <t>Ʃ k h</t>
  </si>
  <si>
    <t>k h</t>
  </si>
  <si>
    <t>Frac Phi h</t>
  </si>
  <si>
    <t>Frac k h</t>
  </si>
  <si>
    <t>5. Calculate Fraction of Total</t>
  </si>
  <si>
    <t>2. Ratio Perm. / Por.</t>
  </si>
  <si>
    <t>6. Calculate Cumulative Fraction of Total</t>
  </si>
  <si>
    <t>Datum</t>
  </si>
  <si>
    <t>Polynomial Fit to Lorenz Curve</t>
  </si>
  <si>
    <t>Cum. Frac. Storage</t>
  </si>
  <si>
    <t>Lorenz</t>
  </si>
  <si>
    <t>Homog.</t>
  </si>
  <si>
    <t>Lorenz Curve</t>
  </si>
  <si>
    <t>Numerical Integration</t>
  </si>
  <si>
    <t>Total</t>
  </si>
  <si>
    <r>
      <t xml:space="preserve">(Lorenz-Homog.) </t>
    </r>
    <r>
      <rPr>
        <b/>
        <sz val="11"/>
        <color theme="1"/>
        <rFont val="Calibri"/>
        <family val="2"/>
      </rPr>
      <t>Δcum frac. storage</t>
    </r>
  </si>
  <si>
    <r>
      <t xml:space="preserve">(Homog.) </t>
    </r>
    <r>
      <rPr>
        <b/>
        <sz val="11"/>
        <color theme="1"/>
        <rFont val="Calibri"/>
        <family val="2"/>
      </rPr>
      <t>Δcum frac. storage</t>
    </r>
  </si>
  <si>
    <t>7. Plot Lorenz Curve</t>
  </si>
  <si>
    <t xml:space="preserve">8. Calculate the Area Between Lorenz and Homogeneous Curves </t>
  </si>
  <si>
    <t>Lorenz Coefficent</t>
  </si>
  <si>
    <t>3. Sorted by Descending Ratio of Perm. / Por</t>
  </si>
  <si>
    <t>area between Lorenz curve and homogeneous curve to area above homogeneous curve.</t>
  </si>
  <si>
    <r>
      <rPr>
        <b/>
        <sz val="11"/>
        <color theme="1"/>
        <rFont val="Calibri"/>
        <family val="2"/>
        <scheme val="minor"/>
      </rPr>
      <t>Result</t>
    </r>
    <r>
      <rPr>
        <sz val="11"/>
        <color theme="1"/>
        <rFont val="Calibri"/>
        <family val="2"/>
        <scheme val="minor"/>
      </rPr>
      <t>: Lorenz coefficient, a concept taken from economics to describe inequality in income used to quantify rock heterogeneity  0 = homogeneous, 1 heterogeneous.</t>
    </r>
  </si>
  <si>
    <r>
      <rPr>
        <b/>
        <sz val="11"/>
        <color theme="1"/>
        <rFont val="Calibri"/>
        <family val="2"/>
        <scheme val="minor"/>
      </rPr>
      <t>Metholodolgy</t>
    </r>
    <r>
      <rPr>
        <sz val="11"/>
        <color theme="1"/>
        <rFont val="Calibri"/>
        <family val="2"/>
        <scheme val="minor"/>
      </rPr>
      <t xml:space="preserve">: calculate ratio perm. / por., sort in descending order.  Calculate Lorenz coefficient cumulative fraction kh and phih and plot.  Calculate fraction of </t>
    </r>
  </si>
  <si>
    <t>d</t>
  </si>
  <si>
    <t>b</t>
  </si>
  <si>
    <t xml:space="preserve">c </t>
  </si>
  <si>
    <t>Lorence Coefficient</t>
  </si>
  <si>
    <t>By Integration</t>
  </si>
  <si>
    <t>By Numerical Integration</t>
  </si>
  <si>
    <t>Integration of Polynomial Fit and Homog. Case</t>
  </si>
  <si>
    <t>k/phi</t>
  </si>
  <si>
    <t>Por</t>
  </si>
  <si>
    <t>Perm</t>
  </si>
  <si>
    <t>Lorenz Coefficient Demonstration, Michael Pyrcz, The University of Texas at Austin</t>
  </si>
  <si>
    <t>Demonstration of calculating Lorenz coefficient in Excel.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</si>
</sst>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5">
    <xf numFmtId="0" fontId="0" fillId="0" borderId="0" xfId="0"/>
    <xf numFmtId="0" fontId="0" fillId="3" borderId="0" xfId="0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0" fontId="0" fillId="6" borderId="0" xfId="0" applyFill="1"/>
    <xf numFmtId="2" fontId="0" fillId="4" borderId="2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164" fontId="0" fillId="6" borderId="7" xfId="0" applyNumberFormat="1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2" fontId="0" fillId="6" borderId="9" xfId="0" applyNumberFormat="1" applyFill="1" applyBorder="1" applyAlignment="1">
      <alignment horizontal="center"/>
    </xf>
    <xf numFmtId="2" fontId="0" fillId="5" borderId="11" xfId="0" applyNumberFormat="1" applyFill="1" applyBorder="1" applyAlignment="1">
      <alignment horizontal="center"/>
    </xf>
    <xf numFmtId="2" fontId="0" fillId="5" borderId="12" xfId="0" applyNumberFormat="1" applyFill="1" applyBorder="1" applyAlignment="1">
      <alignment horizontal="center"/>
    </xf>
    <xf numFmtId="2" fontId="0" fillId="5" borderId="13" xfId="0" applyNumberFormat="1" applyFill="1" applyBorder="1" applyAlignment="1">
      <alignment horizontal="center"/>
    </xf>
    <xf numFmtId="2" fontId="0" fillId="5" borderId="14" xfId="0" applyNumberFormat="1" applyFill="1" applyBorder="1" applyAlignment="1">
      <alignment horizontal="center"/>
    </xf>
    <xf numFmtId="2" fontId="0" fillId="5" borderId="15" xfId="0" applyNumberFormat="1" applyFill="1" applyBorder="1" applyAlignment="1">
      <alignment horizontal="center"/>
    </xf>
    <xf numFmtId="2" fontId="0" fillId="5" borderId="16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4" fontId="0" fillId="5" borderId="19" xfId="0" applyNumberFormat="1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0" fillId="5" borderId="20" xfId="0" applyFill="1" applyBorder="1"/>
    <xf numFmtId="2" fontId="0" fillId="5" borderId="21" xfId="0" applyNumberFormat="1" applyFill="1" applyBorder="1"/>
    <xf numFmtId="2" fontId="0" fillId="5" borderId="22" xfId="0" applyNumberFormat="1" applyFill="1" applyBorder="1"/>
    <xf numFmtId="0" fontId="0" fillId="5" borderId="20" xfId="0" applyFill="1" applyBorder="1" applyAlignment="1">
      <alignment horizontal="center"/>
    </xf>
    <xf numFmtId="2" fontId="0" fillId="5" borderId="21" xfId="0" applyNumberFormat="1" applyFill="1" applyBorder="1" applyAlignment="1">
      <alignment horizontal="center"/>
    </xf>
    <xf numFmtId="2" fontId="0" fillId="5" borderId="22" xfId="0" applyNumberFormat="1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4" fillId="3" borderId="0" xfId="0" applyFont="1" applyFill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26" xfId="0" applyFill="1" applyBorder="1"/>
    <xf numFmtId="0" fontId="0" fillId="6" borderId="0" xfId="0" applyFill="1" applyBorder="1"/>
    <xf numFmtId="0" fontId="0" fillId="6" borderId="27" xfId="0" applyFill="1" applyBorder="1"/>
    <xf numFmtId="0" fontId="0" fillId="6" borderId="0" xfId="0" applyFill="1" applyBorder="1" applyAlignment="1">
      <alignment horizontal="center"/>
    </xf>
    <xf numFmtId="0" fontId="4" fillId="6" borderId="0" xfId="0" applyFont="1" applyFill="1" applyBorder="1"/>
    <xf numFmtId="0" fontId="4" fillId="6" borderId="27" xfId="0" applyFont="1" applyFill="1" applyBorder="1"/>
    <xf numFmtId="0" fontId="2" fillId="6" borderId="0" xfId="0" applyFont="1" applyFill="1" applyBorder="1" applyAlignment="1">
      <alignment horizontal="right"/>
    </xf>
    <xf numFmtId="0" fontId="0" fillId="0" borderId="0" xfId="0" applyBorder="1"/>
    <xf numFmtId="0" fontId="0" fillId="6" borderId="0" xfId="0" applyFont="1" applyFill="1" applyBorder="1" applyAlignment="1">
      <alignment horizontal="center" vertical="top" wrapText="1"/>
    </xf>
    <xf numFmtId="0" fontId="1" fillId="6" borderId="0" xfId="0" applyFont="1" applyFill="1" applyBorder="1" applyAlignment="1">
      <alignment horizontal="center"/>
    </xf>
    <xf numFmtId="0" fontId="1" fillId="6" borderId="0" xfId="0" applyFont="1" applyFill="1" applyBorder="1"/>
    <xf numFmtId="2" fontId="0" fillId="6" borderId="0" xfId="0" applyNumberFormat="1" applyFill="1" applyBorder="1" applyAlignment="1">
      <alignment horizontal="center"/>
    </xf>
    <xf numFmtId="2" fontId="0" fillId="6" borderId="0" xfId="0" applyNumberFormat="1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3" borderId="0" xfId="0" applyFill="1" applyBorder="1"/>
    <xf numFmtId="0" fontId="8" fillId="6" borderId="0" xfId="0" applyFont="1" applyFill="1" applyBorder="1"/>
    <xf numFmtId="164" fontId="8" fillId="6" borderId="0" xfId="0" applyNumberFormat="1" applyFont="1" applyFill="1" applyBorder="1" applyAlignment="1">
      <alignment horizontal="left"/>
    </xf>
    <xf numFmtId="0" fontId="8" fillId="6" borderId="0" xfId="0" applyFont="1" applyFill="1" applyBorder="1" applyAlignment="1">
      <alignment horizontal="left"/>
    </xf>
    <xf numFmtId="0" fontId="9" fillId="6" borderId="0" xfId="0" applyFont="1" applyFill="1" applyBorder="1"/>
    <xf numFmtId="0" fontId="1" fillId="6" borderId="28" xfId="0" applyFont="1" applyFill="1" applyBorder="1" applyAlignment="1">
      <alignment horizontal="center"/>
    </xf>
    <xf numFmtId="2" fontId="0" fillId="6" borderId="0" xfId="0" applyNumberFormat="1" applyFont="1" applyFill="1" applyBorder="1" applyAlignment="1">
      <alignment horizontal="center"/>
    </xf>
    <xf numFmtId="2" fontId="0" fillId="6" borderId="9" xfId="0" applyNumberFormat="1" applyFont="1" applyFill="1" applyBorder="1" applyAlignment="1">
      <alignment horizontal="center"/>
    </xf>
    <xf numFmtId="164" fontId="0" fillId="6" borderId="0" xfId="0" applyNumberFormat="1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5" borderId="24" xfId="0" applyFont="1" applyFill="1" applyBorder="1"/>
    <xf numFmtId="0" fontId="1" fillId="5" borderId="25" xfId="0" applyFont="1" applyFill="1" applyBorder="1"/>
    <xf numFmtId="0" fontId="0" fillId="5" borderId="1" xfId="0" applyFill="1" applyBorder="1" applyAlignment="1">
      <alignment horizontal="center"/>
    </xf>
    <xf numFmtId="2" fontId="0" fillId="6" borderId="5" xfId="0" applyNumberFormat="1" applyFont="1" applyFill="1" applyBorder="1" applyAlignment="1">
      <alignment horizontal="center"/>
    </xf>
    <xf numFmtId="164" fontId="0" fillId="6" borderId="6" xfId="0" applyNumberFormat="1" applyFont="1" applyFill="1" applyBorder="1" applyAlignment="1">
      <alignment horizontal="center"/>
    </xf>
    <xf numFmtId="164" fontId="0" fillId="6" borderId="7" xfId="0" applyNumberFormat="1" applyFont="1" applyFill="1" applyBorder="1" applyAlignment="1">
      <alignment horizontal="center"/>
    </xf>
    <xf numFmtId="2" fontId="0" fillId="6" borderId="26" xfId="0" applyNumberFormat="1" applyFont="1" applyFill="1" applyBorder="1" applyAlignment="1">
      <alignment horizontal="center"/>
    </xf>
    <xf numFmtId="164" fontId="0" fillId="6" borderId="27" xfId="0" applyNumberFormat="1" applyFont="1" applyFill="1" applyBorder="1" applyAlignment="1">
      <alignment horizontal="center"/>
    </xf>
    <xf numFmtId="2" fontId="0" fillId="6" borderId="8" xfId="0" applyNumberFormat="1" applyFont="1" applyFill="1" applyBorder="1" applyAlignment="1">
      <alignment horizontal="center"/>
    </xf>
    <xf numFmtId="164" fontId="0" fillId="6" borderId="9" xfId="0" applyNumberFormat="1" applyFont="1" applyFill="1" applyBorder="1" applyAlignment="1">
      <alignment horizontal="center"/>
    </xf>
    <xf numFmtId="164" fontId="0" fillId="6" borderId="10" xfId="0" applyNumberFormat="1" applyFont="1" applyFill="1" applyBorder="1" applyAlignment="1">
      <alignment horizontal="center"/>
    </xf>
    <xf numFmtId="0" fontId="0" fillId="5" borderId="24" xfId="0" applyFill="1" applyBorder="1"/>
    <xf numFmtId="0" fontId="0" fillId="5" borderId="25" xfId="0" applyFill="1" applyBorder="1"/>
    <xf numFmtId="164" fontId="0" fillId="6" borderId="2" xfId="0" applyNumberFormat="1" applyFill="1" applyBorder="1" applyAlignment="1">
      <alignment horizontal="center"/>
    </xf>
    <xf numFmtId="164" fontId="0" fillId="6" borderId="29" xfId="0" applyNumberForma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164" fontId="0" fillId="6" borderId="26" xfId="0" applyNumberFormat="1" applyFill="1" applyBorder="1" applyAlignment="1">
      <alignment horizontal="center"/>
    </xf>
    <xf numFmtId="164" fontId="0" fillId="6" borderId="8" xfId="0" applyNumberFormat="1" applyFill="1" applyBorder="1" applyAlignment="1">
      <alignment horizontal="center"/>
    </xf>
    <xf numFmtId="164" fontId="0" fillId="6" borderId="27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6" fontId="0" fillId="6" borderId="5" xfId="1" applyNumberFormat="1" applyFont="1" applyFill="1" applyBorder="1" applyAlignment="1">
      <alignment horizontal="center"/>
    </xf>
    <xf numFmtId="166" fontId="0" fillId="6" borderId="7" xfId="1" applyNumberFormat="1" applyFont="1" applyFill="1" applyBorder="1" applyAlignment="1">
      <alignment horizontal="center"/>
    </xf>
    <xf numFmtId="166" fontId="0" fillId="6" borderId="26" xfId="1" applyNumberFormat="1" applyFont="1" applyFill="1" applyBorder="1" applyAlignment="1">
      <alignment horizontal="center"/>
    </xf>
    <xf numFmtId="166" fontId="0" fillId="6" borderId="27" xfId="1" applyNumberFormat="1" applyFont="1" applyFill="1" applyBorder="1" applyAlignment="1">
      <alignment horizontal="center"/>
    </xf>
    <xf numFmtId="166" fontId="0" fillId="6" borderId="8" xfId="1" applyNumberFormat="1" applyFont="1" applyFill="1" applyBorder="1" applyAlignment="1">
      <alignment horizontal="center"/>
    </xf>
    <xf numFmtId="166" fontId="0" fillId="6" borderId="10" xfId="1" applyNumberFormat="1" applyFont="1" applyFill="1" applyBorder="1" applyAlignment="1">
      <alignment horizontal="center"/>
    </xf>
    <xf numFmtId="0" fontId="11" fillId="5" borderId="23" xfId="0" applyFont="1" applyFill="1" applyBorder="1" applyAlignment="1">
      <alignment horizontal="center"/>
    </xf>
    <xf numFmtId="0" fontId="11" fillId="5" borderId="25" xfId="0" applyFont="1" applyFill="1" applyBorder="1" applyAlignment="1">
      <alignment horizontal="center"/>
    </xf>
    <xf numFmtId="0" fontId="1" fillId="5" borderId="23" xfId="0" applyFont="1" applyFill="1" applyBorder="1"/>
    <xf numFmtId="165" fontId="0" fillId="6" borderId="6" xfId="0" applyNumberFormat="1" applyFill="1" applyBorder="1" applyAlignment="1">
      <alignment horizontal="center"/>
    </xf>
    <xf numFmtId="165" fontId="0" fillId="6" borderId="0" xfId="0" applyNumberFormat="1" applyFill="1" applyBorder="1" applyAlignment="1">
      <alignment horizontal="center"/>
    </xf>
    <xf numFmtId="165" fontId="0" fillId="6" borderId="9" xfId="0" applyNumberFormat="1" applyFill="1" applyBorder="1" applyAlignment="1">
      <alignment horizontal="center"/>
    </xf>
    <xf numFmtId="0" fontId="1" fillId="5" borderId="1" xfId="0" applyFont="1" applyFill="1" applyBorder="1"/>
    <xf numFmtId="165" fontId="0" fillId="8" borderId="1" xfId="0" applyNumberFormat="1" applyFill="1" applyBorder="1" applyAlignment="1">
      <alignment horizontal="center"/>
    </xf>
    <xf numFmtId="0" fontId="1" fillId="6" borderId="5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left" wrapText="1"/>
    </xf>
    <xf numFmtId="0" fontId="1" fillId="6" borderId="7" xfId="0" applyFont="1" applyFill="1" applyBorder="1" applyAlignment="1">
      <alignment horizontal="left" wrapText="1"/>
    </xf>
    <xf numFmtId="165" fontId="0" fillId="6" borderId="0" xfId="0" applyNumberFormat="1" applyFont="1" applyFill="1" applyBorder="1" applyAlignment="1">
      <alignment horizontal="center"/>
    </xf>
    <xf numFmtId="165" fontId="0" fillId="6" borderId="27" xfId="0" applyNumberFormat="1" applyFont="1" applyFill="1" applyBorder="1" applyAlignment="1">
      <alignment horizontal="center"/>
    </xf>
    <xf numFmtId="165" fontId="0" fillId="6" borderId="9" xfId="0" applyNumberFormat="1" applyFont="1" applyFill="1" applyBorder="1" applyAlignment="1">
      <alignment horizontal="center"/>
    </xf>
    <xf numFmtId="165" fontId="0" fillId="6" borderId="10" xfId="0" applyNumberFormat="1" applyFont="1" applyFill="1" applyBorder="1" applyAlignment="1">
      <alignment horizontal="center"/>
    </xf>
    <xf numFmtId="0" fontId="0" fillId="6" borderId="0" xfId="0" applyFill="1" applyBorder="1" applyAlignment="1">
      <alignment vertical="top"/>
    </xf>
    <xf numFmtId="0" fontId="1" fillId="6" borderId="0" xfId="0" applyFont="1" applyFill="1" applyBorder="1" applyAlignment="1">
      <alignment vertical="top" wrapText="1"/>
    </xf>
    <xf numFmtId="0" fontId="12" fillId="6" borderId="0" xfId="0" applyFont="1" applyFill="1" applyBorder="1"/>
    <xf numFmtId="0" fontId="6" fillId="6" borderId="0" xfId="0" applyFont="1" applyFill="1" applyBorder="1"/>
    <xf numFmtId="9" fontId="5" fillId="6" borderId="0" xfId="1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26" xfId="0" applyFont="1" applyFill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0" fillId="5" borderId="1" xfId="0" applyFill="1" applyBorder="1"/>
    <xf numFmtId="165" fontId="0" fillId="6" borderId="30" xfId="0" applyNumberFormat="1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2" fontId="0" fillId="6" borderId="14" xfId="0" applyNumberFormat="1" applyFill="1" applyBorder="1" applyAlignment="1">
      <alignment horizontal="center"/>
    </xf>
    <xf numFmtId="2" fontId="0" fillId="6" borderId="16" xfId="0" applyNumberForma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6" borderId="0" xfId="0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2" fillId="7" borderId="3" xfId="0" applyFont="1" applyFill="1" applyBorder="1" applyAlignment="1">
      <alignment horizontal="right" vertical="center"/>
    </xf>
    <xf numFmtId="0" fontId="1" fillId="6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6" borderId="0" xfId="0" applyFont="1" applyFill="1" applyBorder="1" applyAlignment="1">
      <alignment horizontal="center" wrapText="1"/>
    </xf>
    <xf numFmtId="0" fontId="0" fillId="6" borderId="0" xfId="0" applyFill="1" applyBorder="1" applyAlignment="1">
      <alignment horizontal="center"/>
    </xf>
    <xf numFmtId="0" fontId="1" fillId="6" borderId="9" xfId="0" applyFont="1" applyFill="1" applyBorder="1" applyAlignment="1">
      <alignment vertical="top" wrapText="1"/>
    </xf>
    <xf numFmtId="0" fontId="0" fillId="5" borderId="23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0" fontId="13" fillId="6" borderId="0" xfId="0" applyFont="1" applyFill="1" applyBorder="1"/>
    <xf numFmtId="0" fontId="0" fillId="6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Bivariate Standard Normal</a:t>
            </a:r>
          </a:p>
        </c:rich>
      </c:tx>
      <c:layout>
        <c:manualLayout>
          <c:xMode val="edge"/>
          <c:yMode val="edge"/>
          <c:x val="0.25586451078909128"/>
          <c:y val="3.4090898923019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'Por-Perm-Logs'!$J$16:$J$120</c:f>
              <c:numCache>
                <c:formatCode>0.00</c:formatCode>
                <c:ptCount val="105"/>
                <c:pt idx="0">
                  <c:v>-1.0361246272294726</c:v>
                </c:pt>
                <c:pt idx="1">
                  <c:v>1.123387492825898</c:v>
                </c:pt>
                <c:pt idx="2">
                  <c:v>6.0750787380675682E-3</c:v>
                </c:pt>
                <c:pt idx="3">
                  <c:v>0.75082891842233779</c:v>
                </c:pt>
                <c:pt idx="4">
                  <c:v>-0.15550188910207405</c:v>
                </c:pt>
                <c:pt idx="5">
                  <c:v>-0.42414289934405197</c:v>
                </c:pt>
                <c:pt idx="6">
                  <c:v>-0.40500608903234636</c:v>
                </c:pt>
                <c:pt idx="7">
                  <c:v>1.3943453346463881</c:v>
                </c:pt>
                <c:pt idx="8">
                  <c:v>-1.3951382800766867</c:v>
                </c:pt>
                <c:pt idx="9">
                  <c:v>0.92207183265420611</c:v>
                </c:pt>
                <c:pt idx="10">
                  <c:v>-1.0145891532118834</c:v>
                </c:pt>
                <c:pt idx="11">
                  <c:v>-0.78867205134430451</c:v>
                </c:pt>
                <c:pt idx="12">
                  <c:v>-1.0395104209969896</c:v>
                </c:pt>
                <c:pt idx="13">
                  <c:v>-1.0630516747075431</c:v>
                </c:pt>
                <c:pt idx="14">
                  <c:v>0.14607776009318416</c:v>
                </c:pt>
                <c:pt idx="15">
                  <c:v>0.61774773016675744</c:v>
                </c:pt>
                <c:pt idx="16">
                  <c:v>-0.58599197740906672</c:v>
                </c:pt>
                <c:pt idx="17">
                  <c:v>-0.65241021444161451</c:v>
                </c:pt>
                <c:pt idx="18">
                  <c:v>0.43282863498414764</c:v>
                </c:pt>
                <c:pt idx="19">
                  <c:v>-1.0899999332177401</c:v>
                </c:pt>
                <c:pt idx="20">
                  <c:v>-0.85462715853372095</c:v>
                </c:pt>
                <c:pt idx="21">
                  <c:v>1.8807946727092102</c:v>
                </c:pt>
                <c:pt idx="22">
                  <c:v>-0.63817046285133905</c:v>
                </c:pt>
                <c:pt idx="23">
                  <c:v>0.33020300561020793</c:v>
                </c:pt>
                <c:pt idx="24">
                  <c:v>1.0844285995029714</c:v>
                </c:pt>
                <c:pt idx="25">
                  <c:v>1.594262537701211</c:v>
                </c:pt>
                <c:pt idx="26">
                  <c:v>-0.2972331968225001</c:v>
                </c:pt>
                <c:pt idx="27">
                  <c:v>1.1627250741723891</c:v>
                </c:pt>
                <c:pt idx="28">
                  <c:v>0.27908345122594319</c:v>
                </c:pt>
                <c:pt idx="29">
                  <c:v>1.4870079313284714</c:v>
                </c:pt>
                <c:pt idx="30">
                  <c:v>1.1974795631911956</c:v>
                </c:pt>
                <c:pt idx="31">
                  <c:v>1.6207232257856419</c:v>
                </c:pt>
                <c:pt idx="32">
                  <c:v>-0.15113483264748062</c:v>
                </c:pt>
                <c:pt idx="33">
                  <c:v>-8.1721462438800505E-2</c:v>
                </c:pt>
                <c:pt idx="34">
                  <c:v>-0.53373399719007397</c:v>
                </c:pt>
                <c:pt idx="35">
                  <c:v>2.0963899500625711</c:v>
                </c:pt>
                <c:pt idx="36">
                  <c:v>-0.93021568653107567</c:v>
                </c:pt>
                <c:pt idx="37">
                  <c:v>-1.5990647768265625</c:v>
                </c:pt>
                <c:pt idx="38">
                  <c:v>-1.1427271502432566</c:v>
                </c:pt>
                <c:pt idx="39">
                  <c:v>0.78450492888980272</c:v>
                </c:pt>
                <c:pt idx="40">
                  <c:v>-1.902639389988557</c:v>
                </c:pt>
                <c:pt idx="41">
                  <c:v>-0.12987002811080883</c:v>
                </c:pt>
                <c:pt idx="42">
                  <c:v>0.6279600841542855</c:v>
                </c:pt>
                <c:pt idx="43">
                  <c:v>-0.15302600521404447</c:v>
                </c:pt>
                <c:pt idx="44">
                  <c:v>9.1687662730444416E-2</c:v>
                </c:pt>
                <c:pt idx="45">
                  <c:v>2.9628096424471058E-3</c:v>
                </c:pt>
                <c:pt idx="46">
                  <c:v>1.1654976579533018</c:v>
                </c:pt>
                <c:pt idx="47">
                  <c:v>1.6593524358738831</c:v>
                </c:pt>
                <c:pt idx="48">
                  <c:v>-0.47519558986048221</c:v>
                </c:pt>
                <c:pt idx="49">
                  <c:v>-0.93072661820588298</c:v>
                </c:pt>
                <c:pt idx="50">
                  <c:v>1.5665541529981952</c:v>
                </c:pt>
                <c:pt idx="51">
                  <c:v>0.19222722615491425</c:v>
                </c:pt>
                <c:pt idx="52">
                  <c:v>-1.388995980428672</c:v>
                </c:pt>
                <c:pt idx="53">
                  <c:v>-0.16235305511748882</c:v>
                </c:pt>
                <c:pt idx="54">
                  <c:v>6.9135813528012569E-2</c:v>
                </c:pt>
                <c:pt idx="55">
                  <c:v>0.82777526973888427</c:v>
                </c:pt>
                <c:pt idx="56">
                  <c:v>1.8221167737083683</c:v>
                </c:pt>
                <c:pt idx="57">
                  <c:v>-0.53687198996285068</c:v>
                </c:pt>
                <c:pt idx="58">
                  <c:v>0.4093919771614612</c:v>
                </c:pt>
                <c:pt idx="59">
                  <c:v>-1.2002664339670874</c:v>
                </c:pt>
                <c:pt idx="60">
                  <c:v>-0.94228806417930555</c:v>
                </c:pt>
                <c:pt idx="61">
                  <c:v>0.25193817298546961</c:v>
                </c:pt>
                <c:pt idx="62">
                  <c:v>1.7119008894629111</c:v>
                </c:pt>
                <c:pt idx="63">
                  <c:v>0.62386384333868183</c:v>
                </c:pt>
                <c:pt idx="64">
                  <c:v>-1.6130785943644783</c:v>
                </c:pt>
                <c:pt idx="65">
                  <c:v>7.0971014033417643E-2</c:v>
                </c:pt>
                <c:pt idx="66">
                  <c:v>0.96620455209151668</c:v>
                </c:pt>
                <c:pt idx="67">
                  <c:v>-0.17649265019059585</c:v>
                </c:pt>
                <c:pt idx="68">
                  <c:v>1.2433599859568711</c:v>
                </c:pt>
                <c:pt idx="69">
                  <c:v>-1.4464438127639871</c:v>
                </c:pt>
                <c:pt idx="70">
                  <c:v>-0.53291635378485613</c:v>
                </c:pt>
                <c:pt idx="71">
                  <c:v>0.98640831317428912</c:v>
                </c:pt>
                <c:pt idx="72">
                  <c:v>-0.32660709066726412</c:v>
                </c:pt>
                <c:pt idx="73">
                  <c:v>0.61895576793735008</c:v>
                </c:pt>
                <c:pt idx="74">
                  <c:v>0.59960340975635162</c:v>
                </c:pt>
                <c:pt idx="75">
                  <c:v>9.385700627983154E-2</c:v>
                </c:pt>
                <c:pt idx="76">
                  <c:v>-0.63673210882239561</c:v>
                </c:pt>
                <c:pt idx="77">
                  <c:v>-1.0068361688583611</c:v>
                </c:pt>
                <c:pt idx="78">
                  <c:v>-1.7795569546147192</c:v>
                </c:pt>
                <c:pt idx="79">
                  <c:v>0.2567605418672847</c:v>
                </c:pt>
                <c:pt idx="80">
                  <c:v>0.85500269592487088</c:v>
                </c:pt>
                <c:pt idx="81">
                  <c:v>1.2381309921389039</c:v>
                </c:pt>
                <c:pt idx="82">
                  <c:v>-0.23692573846104781</c:v>
                </c:pt>
                <c:pt idx="83">
                  <c:v>0.58542742528798986</c:v>
                </c:pt>
                <c:pt idx="84">
                  <c:v>-0.77834140325460488</c:v>
                </c:pt>
                <c:pt idx="85">
                  <c:v>0.10995288675724944</c:v>
                </c:pt>
                <c:pt idx="86">
                  <c:v>0.8915696114011632</c:v>
                </c:pt>
                <c:pt idx="87">
                  <c:v>2.9172408142370401</c:v>
                </c:pt>
                <c:pt idx="88">
                  <c:v>0.85596475990319043</c:v>
                </c:pt>
                <c:pt idx="89">
                  <c:v>0.63682678735556386</c:v>
                </c:pt>
                <c:pt idx="90">
                  <c:v>3.0439407991014106E-2</c:v>
                </c:pt>
                <c:pt idx="91">
                  <c:v>0.57881558107564479</c:v>
                </c:pt>
                <c:pt idx="92">
                  <c:v>0.34574235538995285</c:v>
                </c:pt>
                <c:pt idx="93">
                  <c:v>0.10316791218643936</c:v>
                </c:pt>
                <c:pt idx="94">
                  <c:v>-0.35548796608201516</c:v>
                </c:pt>
                <c:pt idx="95">
                  <c:v>-1.8139291847539558</c:v>
                </c:pt>
                <c:pt idx="96">
                  <c:v>0.82416484624240216</c:v>
                </c:pt>
                <c:pt idx="97">
                  <c:v>-1.1588050780901296</c:v>
                </c:pt>
                <c:pt idx="98">
                  <c:v>0.76660394023349898</c:v>
                </c:pt>
                <c:pt idx="99">
                  <c:v>1.0404927010909764</c:v>
                </c:pt>
                <c:pt idx="100">
                  <c:v>-0.51316505617147834</c:v>
                </c:pt>
                <c:pt idx="101">
                  <c:v>-0.46378307363939003</c:v>
                </c:pt>
                <c:pt idx="102">
                  <c:v>-0.336405501069938</c:v>
                </c:pt>
                <c:pt idx="103">
                  <c:v>-1.6570122451768385</c:v>
                </c:pt>
                <c:pt idx="104">
                  <c:v>-0.94021594726292557</c:v>
                </c:pt>
              </c:numCache>
            </c:numRef>
          </c:xVal>
          <c:yVal>
            <c:numRef>
              <c:f>'Por-Perm-Logs'!$K$16:$K$120</c:f>
              <c:numCache>
                <c:formatCode>0.00</c:formatCode>
                <c:ptCount val="105"/>
                <c:pt idx="0">
                  <c:v>-1.3777864530476676</c:v>
                </c:pt>
                <c:pt idx="1">
                  <c:v>0.6468957579648722</c:v>
                </c:pt>
                <c:pt idx="2">
                  <c:v>0.62200932349794014</c:v>
                </c:pt>
                <c:pt idx="3">
                  <c:v>0.95592442364945973</c:v>
                </c:pt>
                <c:pt idx="4">
                  <c:v>-0.69546417107582525</c:v>
                </c:pt>
                <c:pt idx="5">
                  <c:v>-1.3417449477115913</c:v>
                </c:pt>
                <c:pt idx="6">
                  <c:v>-0.57411891455885322</c:v>
                </c:pt>
                <c:pt idx="7">
                  <c:v>1.4346090556185978</c:v>
                </c:pt>
                <c:pt idx="8">
                  <c:v>-9.42943247624628E-3</c:v>
                </c:pt>
                <c:pt idx="9">
                  <c:v>1.1051491141641232</c:v>
                </c:pt>
                <c:pt idx="10">
                  <c:v>-0.41212946533039269</c:v>
                </c:pt>
                <c:pt idx="11">
                  <c:v>-0.90126790144939428</c:v>
                </c:pt>
                <c:pt idx="12">
                  <c:v>-0.22101441977118291</c:v>
                </c:pt>
                <c:pt idx="13">
                  <c:v>-0.444646543802802</c:v>
                </c:pt>
                <c:pt idx="14">
                  <c:v>1.0059297542582812</c:v>
                </c:pt>
                <c:pt idx="15">
                  <c:v>0.88837803573517016</c:v>
                </c:pt>
                <c:pt idx="16">
                  <c:v>-0.83186562385181495</c:v>
                </c:pt>
                <c:pt idx="17">
                  <c:v>0.48331452868110109</c:v>
                </c:pt>
                <c:pt idx="18">
                  <c:v>-1.0427161921709334</c:v>
                </c:pt>
                <c:pt idx="19">
                  <c:v>-1.7166507307418029</c:v>
                </c:pt>
                <c:pt idx="20">
                  <c:v>-1.1819507801918585</c:v>
                </c:pt>
                <c:pt idx="21">
                  <c:v>1.7361712568092256</c:v>
                </c:pt>
                <c:pt idx="22">
                  <c:v>-0.80896310516013925</c:v>
                </c:pt>
                <c:pt idx="23">
                  <c:v>0.3018522131138181</c:v>
                </c:pt>
                <c:pt idx="24">
                  <c:v>-0.11716813231812062</c:v>
                </c:pt>
                <c:pt idx="25">
                  <c:v>1.3064799656496224</c:v>
                </c:pt>
                <c:pt idx="26">
                  <c:v>-4.5789333921446879E-2</c:v>
                </c:pt>
                <c:pt idx="27">
                  <c:v>0.58346000958608413</c:v>
                </c:pt>
                <c:pt idx="28">
                  <c:v>-7.2839909657798352E-2</c:v>
                </c:pt>
                <c:pt idx="29">
                  <c:v>0.99281017228578183</c:v>
                </c:pt>
                <c:pt idx="30">
                  <c:v>-1.5968497851213126E-2</c:v>
                </c:pt>
                <c:pt idx="31">
                  <c:v>1.5525486943127942</c:v>
                </c:pt>
                <c:pt idx="32">
                  <c:v>-1.2422478438253008</c:v>
                </c:pt>
                <c:pt idx="33">
                  <c:v>-0.46534774030378229</c:v>
                </c:pt>
                <c:pt idx="34">
                  <c:v>-1.8351649643788424</c:v>
                </c:pt>
                <c:pt idx="35">
                  <c:v>0.84726438308926566</c:v>
                </c:pt>
                <c:pt idx="36">
                  <c:v>6.8410425311030365E-2</c:v>
                </c:pt>
                <c:pt idx="37">
                  <c:v>-2.2814862172257522</c:v>
                </c:pt>
                <c:pt idx="38">
                  <c:v>0.2731971972591154</c:v>
                </c:pt>
                <c:pt idx="39">
                  <c:v>-0.32253048415779823</c:v>
                </c:pt>
                <c:pt idx="40">
                  <c:v>-1.2022011449210972</c:v>
                </c:pt>
                <c:pt idx="41">
                  <c:v>-1.1452493078917956</c:v>
                </c:pt>
                <c:pt idx="42">
                  <c:v>0.71948947560306542</c:v>
                </c:pt>
                <c:pt idx="43">
                  <c:v>-1.858045282663745</c:v>
                </c:pt>
                <c:pt idx="44">
                  <c:v>0.21828151228305812</c:v>
                </c:pt>
                <c:pt idx="45">
                  <c:v>0.18333179567349378</c:v>
                </c:pt>
                <c:pt idx="46">
                  <c:v>1.2390311586419944</c:v>
                </c:pt>
                <c:pt idx="47">
                  <c:v>0.97371895906000694</c:v>
                </c:pt>
                <c:pt idx="48">
                  <c:v>9.3101537234603404E-2</c:v>
                </c:pt>
                <c:pt idx="49">
                  <c:v>-0.27853285638824049</c:v>
                </c:pt>
                <c:pt idx="50">
                  <c:v>2.0830369745528019</c:v>
                </c:pt>
                <c:pt idx="51">
                  <c:v>-1.0835168922916356</c:v>
                </c:pt>
                <c:pt idx="52">
                  <c:v>-0.50811897298605979</c:v>
                </c:pt>
                <c:pt idx="53">
                  <c:v>-0.66145396978460569</c:v>
                </c:pt>
                <c:pt idx="54">
                  <c:v>-0.20865914040159575</c:v>
                </c:pt>
                <c:pt idx="55">
                  <c:v>0.10546079210393777</c:v>
                </c:pt>
                <c:pt idx="56">
                  <c:v>1.318169261223151</c:v>
                </c:pt>
                <c:pt idx="57">
                  <c:v>-0.14741118272577358</c:v>
                </c:pt>
                <c:pt idx="58">
                  <c:v>-0.67577783335314101</c:v>
                </c:pt>
                <c:pt idx="59">
                  <c:v>0.13285561861025663</c:v>
                </c:pt>
                <c:pt idx="60">
                  <c:v>-1.441673742423351</c:v>
                </c:pt>
                <c:pt idx="61">
                  <c:v>1.6536179675281175</c:v>
                </c:pt>
                <c:pt idx="62">
                  <c:v>0.45222298167314756</c:v>
                </c:pt>
                <c:pt idx="63">
                  <c:v>-0.87483118314686981</c:v>
                </c:pt>
                <c:pt idx="64">
                  <c:v>-1.6783757705830105</c:v>
                </c:pt>
                <c:pt idx="65">
                  <c:v>-0.33067123657844449</c:v>
                </c:pt>
                <c:pt idx="66">
                  <c:v>-0.90072556356039746</c:v>
                </c:pt>
                <c:pt idx="67">
                  <c:v>0.26500531970412672</c:v>
                </c:pt>
                <c:pt idx="68">
                  <c:v>-0.39340815974083965</c:v>
                </c:pt>
                <c:pt idx="69">
                  <c:v>-0.93982177462394623</c:v>
                </c:pt>
                <c:pt idx="70">
                  <c:v>0.49241910729876331</c:v>
                </c:pt>
                <c:pt idx="71">
                  <c:v>0.13638217588738916</c:v>
                </c:pt>
                <c:pt idx="72">
                  <c:v>1.693417123318075E-2</c:v>
                </c:pt>
                <c:pt idx="73">
                  <c:v>0.29234640287703556</c:v>
                </c:pt>
                <c:pt idx="74">
                  <c:v>0.84309585014295962</c:v>
                </c:pt>
                <c:pt idx="75">
                  <c:v>-2.6991010444440883E-2</c:v>
                </c:pt>
                <c:pt idx="76">
                  <c:v>0.51155100691283184</c:v>
                </c:pt>
                <c:pt idx="77">
                  <c:v>0.13706260433419892</c:v>
                </c:pt>
                <c:pt idx="78">
                  <c:v>-2.5984705234970225</c:v>
                </c:pt>
                <c:pt idx="79">
                  <c:v>1.5975322940774803</c:v>
                </c:pt>
                <c:pt idx="80">
                  <c:v>1.7869386987293017</c:v>
                </c:pt>
                <c:pt idx="81">
                  <c:v>-0.58911988095126544</c:v>
                </c:pt>
                <c:pt idx="82">
                  <c:v>-0.29764443291652265</c:v>
                </c:pt>
                <c:pt idx="83">
                  <c:v>1.1838528477432484</c:v>
                </c:pt>
                <c:pt idx="84">
                  <c:v>-0.46559965076857357</c:v>
                </c:pt>
                <c:pt idx="85">
                  <c:v>0.23229839217718082</c:v>
                </c:pt>
                <c:pt idx="86">
                  <c:v>1.3860465138029672</c:v>
                </c:pt>
                <c:pt idx="87">
                  <c:v>2.2395483511349794</c:v>
                </c:pt>
                <c:pt idx="88">
                  <c:v>1.8277260212575426</c:v>
                </c:pt>
                <c:pt idx="89">
                  <c:v>1.2683558863060842</c:v>
                </c:pt>
                <c:pt idx="90">
                  <c:v>-0.6066379141706052</c:v>
                </c:pt>
                <c:pt idx="91">
                  <c:v>-0.99795378811191504</c:v>
                </c:pt>
                <c:pt idx="92">
                  <c:v>-0.91222561289443094</c:v>
                </c:pt>
                <c:pt idx="93">
                  <c:v>1.0644734133750982</c:v>
                </c:pt>
                <c:pt idx="94">
                  <c:v>0.3578979682796567</c:v>
                </c:pt>
                <c:pt idx="95">
                  <c:v>-0.34946369168592339</c:v>
                </c:pt>
                <c:pt idx="96">
                  <c:v>1.1626192190299194</c:v>
                </c:pt>
                <c:pt idx="97">
                  <c:v>-1.8454431365489095</c:v>
                </c:pt>
                <c:pt idx="98">
                  <c:v>1.2344751060220922</c:v>
                </c:pt>
                <c:pt idx="99">
                  <c:v>0.33875826048510899</c:v>
                </c:pt>
                <c:pt idx="100">
                  <c:v>-1.8579303943582253</c:v>
                </c:pt>
                <c:pt idx="101">
                  <c:v>-0.5759201574492806</c:v>
                </c:pt>
                <c:pt idx="102">
                  <c:v>-1.0152855123035589</c:v>
                </c:pt>
                <c:pt idx="103">
                  <c:v>0.39850417114974701</c:v>
                </c:pt>
                <c:pt idx="104">
                  <c:v>0.76667557603293146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C-4022-A4B3-3167811FD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-3"/>
        <c:crossBetween val="midCat"/>
      </c:valAx>
      <c:valAx>
        <c:axId val="465982104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Permeability vs. Porosity</a:t>
            </a:r>
          </a:p>
        </c:rich>
      </c:tx>
      <c:layout>
        <c:manualLayout>
          <c:xMode val="edge"/>
          <c:yMode val="edge"/>
          <c:x val="0.25586451078909128"/>
          <c:y val="3.4090898923019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'Por-Perm-Logs'!$M$16:$M$120</c:f>
              <c:numCache>
                <c:formatCode>0.0</c:formatCode>
                <c:ptCount val="105"/>
                <c:pt idx="0">
                  <c:v>7.1777474143331634</c:v>
                </c:pt>
                <c:pt idx="1">
                  <c:v>14.264135152877053</c:v>
                </c:pt>
                <c:pt idx="2">
                  <c:v>14.17703263224279</c:v>
                </c:pt>
                <c:pt idx="3">
                  <c:v>15.345735482773108</c:v>
                </c:pt>
                <c:pt idx="4">
                  <c:v>9.5658754012346119</c:v>
                </c:pt>
                <c:pt idx="5">
                  <c:v>7.3038926830094306</c:v>
                </c:pt>
                <c:pt idx="6">
                  <c:v>9.9905837990440141</c:v>
                </c:pt>
                <c:pt idx="7">
                  <c:v>17.021131694665094</c:v>
                </c:pt>
                <c:pt idx="8">
                  <c:v>11.966996986333138</c:v>
                </c:pt>
                <c:pt idx="9">
                  <c:v>15.868021899574432</c:v>
                </c:pt>
                <c:pt idx="10">
                  <c:v>10.557546871343625</c:v>
                </c:pt>
                <c:pt idx="11">
                  <c:v>8.8455623449271208</c:v>
                </c:pt>
                <c:pt idx="12">
                  <c:v>11.22644953080086</c:v>
                </c:pt>
                <c:pt idx="13">
                  <c:v>10.443737096690192</c:v>
                </c:pt>
                <c:pt idx="14">
                  <c:v>15.520754139903985</c:v>
                </c:pt>
                <c:pt idx="15">
                  <c:v>15.109323125073097</c:v>
                </c:pt>
                <c:pt idx="16">
                  <c:v>9.0884703165186487</c:v>
                </c:pt>
                <c:pt idx="17">
                  <c:v>13.691600850383853</c:v>
                </c:pt>
                <c:pt idx="18">
                  <c:v>8.3504933274017326</c:v>
                </c:pt>
                <c:pt idx="19">
                  <c:v>5.9917224424036899</c:v>
                </c:pt>
                <c:pt idx="20">
                  <c:v>7.8631722693284951</c:v>
                </c:pt>
                <c:pt idx="21">
                  <c:v>18.07659939883229</c:v>
                </c:pt>
                <c:pt idx="22">
                  <c:v>9.1686291319395128</c:v>
                </c:pt>
                <c:pt idx="23">
                  <c:v>13.056482745898364</c:v>
                </c:pt>
                <c:pt idx="24">
                  <c:v>11.589911536886579</c:v>
                </c:pt>
                <c:pt idx="25">
                  <c:v>16.572679879773681</c:v>
                </c:pt>
                <c:pt idx="26">
                  <c:v>11.839737331274936</c:v>
                </c:pt>
                <c:pt idx="27">
                  <c:v>14.042110033551294</c:v>
                </c:pt>
                <c:pt idx="28">
                  <c:v>11.745060316197705</c:v>
                </c:pt>
                <c:pt idx="29">
                  <c:v>15.474835603000237</c:v>
                </c:pt>
                <c:pt idx="30">
                  <c:v>11.944110257520753</c:v>
                </c:pt>
                <c:pt idx="31">
                  <c:v>17.43392043009478</c:v>
                </c:pt>
                <c:pt idx="32">
                  <c:v>7.6521325466114467</c:v>
                </c:pt>
                <c:pt idx="33">
                  <c:v>10.371282908936761</c:v>
                </c:pt>
                <c:pt idx="34">
                  <c:v>5.5769226246740518</c:v>
                </c:pt>
                <c:pt idx="35">
                  <c:v>14.96542534081243</c:v>
                </c:pt>
                <c:pt idx="36">
                  <c:v>12.239436488588606</c:v>
                </c:pt>
                <c:pt idx="37">
                  <c:v>4.0147982397098669</c:v>
                </c:pt>
                <c:pt idx="38">
                  <c:v>12.956190190406904</c:v>
                </c:pt>
                <c:pt idx="39">
                  <c:v>10.871143305447706</c:v>
                </c:pt>
                <c:pt idx="40">
                  <c:v>7.7922959927761601</c:v>
                </c:pt>
                <c:pt idx="41">
                  <c:v>7.9916274223787154</c:v>
                </c:pt>
                <c:pt idx="42">
                  <c:v>14.518213164610728</c:v>
                </c:pt>
                <c:pt idx="43">
                  <c:v>5.4968415106768926</c:v>
                </c:pt>
                <c:pt idx="44">
                  <c:v>12.763985292990704</c:v>
                </c:pt>
                <c:pt idx="45">
                  <c:v>12.641661284857229</c:v>
                </c:pt>
                <c:pt idx="46">
                  <c:v>16.336609055246981</c:v>
                </c:pt>
                <c:pt idx="47">
                  <c:v>15.408016356710025</c:v>
                </c:pt>
                <c:pt idx="48">
                  <c:v>12.325855380321112</c:v>
                </c:pt>
                <c:pt idx="49">
                  <c:v>11.025135002641159</c:v>
                </c:pt>
                <c:pt idx="50">
                  <c:v>19.290629410934805</c:v>
                </c:pt>
                <c:pt idx="51">
                  <c:v>8.2076908769792745</c:v>
                </c:pt>
                <c:pt idx="52">
                  <c:v>10.221583594548791</c:v>
                </c:pt>
                <c:pt idx="53">
                  <c:v>9.6849111057538799</c:v>
                </c:pt>
                <c:pt idx="54">
                  <c:v>11.269693008594414</c:v>
                </c:pt>
                <c:pt idx="55">
                  <c:v>12.369112772363783</c:v>
                </c:pt>
                <c:pt idx="56">
                  <c:v>16.61359241428103</c:v>
                </c:pt>
                <c:pt idx="57">
                  <c:v>11.484060860459792</c:v>
                </c:pt>
                <c:pt idx="58">
                  <c:v>9.6347775832640075</c:v>
                </c:pt>
                <c:pt idx="59">
                  <c:v>12.464994665135897</c:v>
                </c:pt>
                <c:pt idx="60">
                  <c:v>6.9541419015182715</c:v>
                </c:pt>
                <c:pt idx="61">
                  <c:v>17.787662886348411</c:v>
                </c:pt>
                <c:pt idx="62">
                  <c:v>13.582780435856016</c:v>
                </c:pt>
                <c:pt idx="63">
                  <c:v>8.9380908589859551</c:v>
                </c:pt>
                <c:pt idx="64">
                  <c:v>6.125684802959463</c:v>
                </c:pt>
                <c:pt idx="65">
                  <c:v>10.842650671975445</c:v>
                </c:pt>
                <c:pt idx="66">
                  <c:v>8.8474605275386082</c:v>
                </c:pt>
                <c:pt idx="67">
                  <c:v>12.927518618964443</c:v>
                </c:pt>
                <c:pt idx="68">
                  <c:v>10.623071440907061</c:v>
                </c:pt>
                <c:pt idx="69">
                  <c:v>8.7106237888161893</c:v>
                </c:pt>
                <c:pt idx="70">
                  <c:v>13.723466875545672</c:v>
                </c:pt>
                <c:pt idx="71">
                  <c:v>12.477337615605862</c:v>
                </c:pt>
                <c:pt idx="72">
                  <c:v>12.059269599316133</c:v>
                </c:pt>
                <c:pt idx="73">
                  <c:v>13.023212410069625</c:v>
                </c:pt>
                <c:pt idx="74">
                  <c:v>14.950835475500359</c:v>
                </c:pt>
                <c:pt idx="75">
                  <c:v>11.905531463444458</c:v>
                </c:pt>
                <c:pt idx="76">
                  <c:v>13.790428524194912</c:v>
                </c:pt>
                <c:pt idx="77">
                  <c:v>12.479719115169697</c:v>
                </c:pt>
                <c:pt idx="78">
                  <c:v>2.9053531677604205</c:v>
                </c:pt>
                <c:pt idx="79">
                  <c:v>17.591363029271182</c:v>
                </c:pt>
                <c:pt idx="80">
                  <c:v>18.254285445552554</c:v>
                </c:pt>
                <c:pt idx="81">
                  <c:v>9.9380804166705712</c:v>
                </c:pt>
                <c:pt idx="82">
                  <c:v>10.958244484792171</c:v>
                </c:pt>
                <c:pt idx="83">
                  <c:v>16.143484967101369</c:v>
                </c:pt>
                <c:pt idx="84">
                  <c:v>10.370401222309992</c:v>
                </c:pt>
                <c:pt idx="85">
                  <c:v>12.813044372620134</c:v>
                </c:pt>
                <c:pt idx="86">
                  <c:v>16.851162798310384</c:v>
                </c:pt>
                <c:pt idx="87">
                  <c:v>19.838419228972427</c:v>
                </c:pt>
                <c:pt idx="88">
                  <c:v>18.3970410744014</c:v>
                </c:pt>
                <c:pt idx="89">
                  <c:v>16.439245602071296</c:v>
                </c:pt>
                <c:pt idx="90">
                  <c:v>9.8767673004028822</c:v>
                </c:pt>
                <c:pt idx="91">
                  <c:v>8.5071617416082965</c:v>
                </c:pt>
                <c:pt idx="92">
                  <c:v>8.8072103548694916</c:v>
                </c:pt>
                <c:pt idx="93">
                  <c:v>15.725656946812844</c:v>
                </c:pt>
                <c:pt idx="94">
                  <c:v>13.252642888978798</c:v>
                </c:pt>
                <c:pt idx="95">
                  <c:v>10.776877079099268</c:v>
                </c:pt>
                <c:pt idx="96">
                  <c:v>16.069167266604719</c:v>
                </c:pt>
                <c:pt idx="97">
                  <c:v>5.5409490220788165</c:v>
                </c:pt>
                <c:pt idx="98">
                  <c:v>16.320662871077324</c:v>
                </c:pt>
                <c:pt idx="99">
                  <c:v>13.185653911697882</c:v>
                </c:pt>
                <c:pt idx="100">
                  <c:v>5.4972436197462118</c:v>
                </c:pt>
                <c:pt idx="101">
                  <c:v>9.9842794489275182</c:v>
                </c:pt>
                <c:pt idx="102">
                  <c:v>8.4465007069375435</c:v>
                </c:pt>
                <c:pt idx="103">
                  <c:v>13.394764599024114</c:v>
                </c:pt>
                <c:pt idx="104">
                  <c:v>14.68336451611526</c:v>
                </c:pt>
              </c:numCache>
            </c:numRef>
          </c:xVal>
          <c:yVal>
            <c:numRef>
              <c:f>'Por-Perm-Logs'!$O$16:$O$120</c:f>
              <c:numCache>
                <c:formatCode>0.0</c:formatCode>
                <c:ptCount val="105"/>
                <c:pt idx="0">
                  <c:v>88.405809550853547</c:v>
                </c:pt>
                <c:pt idx="1">
                  <c:v>260.26328321735355</c:v>
                </c:pt>
                <c:pt idx="2">
                  <c:v>148.86465528780261</c:v>
                </c:pt>
                <c:pt idx="3">
                  <c:v>216.02938912900541</c:v>
                </c:pt>
                <c:pt idx="4">
                  <c:v>137.31108641685006</c:v>
                </c:pt>
                <c:pt idx="5">
                  <c:v>120.05242835522837</c:v>
                </c:pt>
                <c:pt idx="6">
                  <c:v>121.20665186258347</c:v>
                </c:pt>
                <c:pt idx="7">
                  <c:v>298.0235968178967</c:v>
                </c:pt>
                <c:pt idx="8">
                  <c:v>73.879165502823014</c:v>
                </c:pt>
                <c:pt idx="9">
                  <c:v>235.34109181335188</c:v>
                </c:pt>
                <c:pt idx="10">
                  <c:v>89.362883571579204</c:v>
                </c:pt>
                <c:pt idx="11">
                  <c:v>100.04939102732874</c:v>
                </c:pt>
                <c:pt idx="12">
                  <c:v>88.256274241001549</c:v>
                </c:pt>
                <c:pt idx="13">
                  <c:v>87.223532501733956</c:v>
                </c:pt>
                <c:pt idx="14">
                  <c:v>159.65877474654991</c:v>
                </c:pt>
                <c:pt idx="15">
                  <c:v>202.12248299066394</c:v>
                </c:pt>
                <c:pt idx="16">
                  <c:v>110.71994679087133</c:v>
                </c:pt>
                <c:pt idx="17">
                  <c:v>107.10341818590592</c:v>
                </c:pt>
                <c:pt idx="18">
                  <c:v>184.27225624246807</c:v>
                </c:pt>
                <c:pt idx="19">
                  <c:v>86.056153718650535</c:v>
                </c:pt>
                <c:pt idx="20">
                  <c:v>96.803816555655033</c:v>
                </c:pt>
                <c:pt idx="21">
                  <c:v>380.08592149334186</c:v>
                </c:pt>
                <c:pt idx="22">
                  <c:v>107.86870235187619</c:v>
                </c:pt>
                <c:pt idx="23">
                  <c:v>175.05522626656114</c:v>
                </c:pt>
                <c:pt idx="24">
                  <c:v>255.24255770938689</c:v>
                </c:pt>
                <c:pt idx="25">
                  <c:v>329.35337709445548</c:v>
                </c:pt>
                <c:pt idx="26">
                  <c:v>127.91722839545172</c:v>
                </c:pt>
                <c:pt idx="27">
                  <c:v>265.43302184508536</c:v>
                </c:pt>
                <c:pt idx="28">
                  <c:v>170.63755158097263</c:v>
                </c:pt>
                <c:pt idx="29">
                  <c:v>312.15628181865384</c:v>
                </c:pt>
                <c:pt idx="30">
                  <c:v>270.08582573920756</c:v>
                </c:pt>
                <c:pt idx="31">
                  <c:v>333.73978846699936</c:v>
                </c:pt>
                <c:pt idx="32">
                  <c:v>137.61123662393231</c:v>
                </c:pt>
                <c:pt idx="33">
                  <c:v>142.47111377090997</c:v>
                </c:pt>
                <c:pt idx="34">
                  <c:v>113.65107412331939</c:v>
                </c:pt>
                <c:pt idx="35">
                  <c:v>423.34818592500551</c:v>
                </c:pt>
                <c:pt idx="36">
                  <c:v>93.213462318191674</c:v>
                </c:pt>
                <c:pt idx="37">
                  <c:v>66.717521633968644</c:v>
                </c:pt>
                <c:pt idx="38">
                  <c:v>83.817048111192364</c:v>
                </c:pt>
                <c:pt idx="39">
                  <c:v>219.69768987858319</c:v>
                </c:pt>
                <c:pt idx="40">
                  <c:v>57.321759868278036</c:v>
                </c:pt>
                <c:pt idx="41">
                  <c:v>139.08218062528513</c:v>
                </c:pt>
                <c:pt idx="42">
                  <c:v>203.15719562799063</c:v>
                </c:pt>
                <c:pt idx="43">
                  <c:v>137.48117482817133</c:v>
                </c:pt>
                <c:pt idx="44">
                  <c:v>155.3753544938036</c:v>
                </c:pt>
                <c:pt idx="45">
                  <c:v>148.63318200325935</c:v>
                </c:pt>
                <c:pt idx="46">
                  <c:v>265.8012446639114</c:v>
                </c:pt>
                <c:pt idx="47">
                  <c:v>340.24849487525483</c:v>
                </c:pt>
                <c:pt idx="48">
                  <c:v>117.02671067033437</c:v>
                </c:pt>
                <c:pt idx="49">
                  <c:v>93.189652504409779</c:v>
                </c:pt>
                <c:pt idx="50">
                  <c:v>324.82191441437436</c:v>
                </c:pt>
                <c:pt idx="51">
                  <c:v>163.38569179495326</c:v>
                </c:pt>
                <c:pt idx="52">
                  <c:v>74.106408258617535</c:v>
                </c:pt>
                <c:pt idx="53">
                  <c:v>136.84152061993939</c:v>
                </c:pt>
                <c:pt idx="54">
                  <c:v>153.63319440364134</c:v>
                </c:pt>
                <c:pt idx="55">
                  <c:v>224.50267778173125</c:v>
                </c:pt>
                <c:pt idx="56">
                  <c:v>369.09659573930816</c:v>
                </c:pt>
                <c:pt idx="57">
                  <c:v>113.47289581582358</c:v>
                </c:pt>
                <c:pt idx="58">
                  <c:v>182.12549612107966</c:v>
                </c:pt>
                <c:pt idx="59">
                  <c:v>81.440018748650175</c:v>
                </c:pt>
                <c:pt idx="60">
                  <c:v>92.652502990141585</c:v>
                </c:pt>
                <c:pt idx="61">
                  <c:v>168.33719593503855</c:v>
                </c:pt>
                <c:pt idx="62">
                  <c:v>349.30673908149913</c:v>
                </c:pt>
                <c:pt idx="63">
                  <c:v>202.74153104049785</c:v>
                </c:pt>
                <c:pt idx="64">
                  <c:v>66.251672035381503</c:v>
                </c:pt>
                <c:pt idx="65">
                  <c:v>153.77423296026117</c:v>
                </c:pt>
                <c:pt idx="66">
                  <c:v>240.59193341997315</c:v>
                </c:pt>
                <c:pt idx="67">
                  <c:v>135.8774905386548</c:v>
                </c:pt>
                <c:pt idx="68">
                  <c:v>276.35326501140145</c:v>
                </c:pt>
                <c:pt idx="69">
                  <c:v>72.008062622736503</c:v>
                </c:pt>
                <c:pt idx="70">
                  <c:v>113.69754664778688</c:v>
                </c:pt>
                <c:pt idx="71">
                  <c:v>243.03468179363966</c:v>
                </c:pt>
                <c:pt idx="72">
                  <c:v>126.05224384011018</c:v>
                </c:pt>
                <c:pt idx="73">
                  <c:v>202.24460566602161</c:v>
                </c:pt>
                <c:pt idx="74">
                  <c:v>200.29708810110893</c:v>
                </c:pt>
                <c:pt idx="75">
                  <c:v>155.54397718891275</c:v>
                </c:pt>
                <c:pt idx="76">
                  <c:v>107.94630694556369</c:v>
                </c:pt>
                <c:pt idx="77">
                  <c:v>89.709970395671419</c:v>
                </c:pt>
                <c:pt idx="78">
                  <c:v>60.96022014611416</c:v>
                </c:pt>
                <c:pt idx="79">
                  <c:v>168.74357769650774</c:v>
                </c:pt>
                <c:pt idx="80">
                  <c:v>227.57989145200634</c:v>
                </c:pt>
                <c:pt idx="81">
                  <c:v>275.63168395100382</c:v>
                </c:pt>
                <c:pt idx="82">
                  <c:v>131.83315301576212</c:v>
                </c:pt>
                <c:pt idx="83">
                  <c:v>198.88240345577404</c:v>
                </c:pt>
                <c:pt idx="84">
                  <c:v>100.56751554099145</c:v>
                </c:pt>
                <c:pt idx="85">
                  <c:v>156.80083660272311</c:v>
                </c:pt>
                <c:pt idx="86">
                  <c:v>231.77910991884039</c:v>
                </c:pt>
                <c:pt idx="87">
                  <c:v>638.18002036045755</c:v>
                </c:pt>
                <c:pt idx="88">
                  <c:v>227.68939099416426</c:v>
                </c:pt>
                <c:pt idx="89">
                  <c:v>204.05986234741926</c:v>
                </c:pt>
                <c:pt idx="90">
                  <c:v>150.68924015745253</c:v>
                </c:pt>
                <c:pt idx="91">
                  <c:v>198.22599932994262</c:v>
                </c:pt>
                <c:pt idx="92">
                  <c:v>176.42064602729249</c:v>
                </c:pt>
                <c:pt idx="93">
                  <c:v>156.26979304677693</c:v>
                </c:pt>
                <c:pt idx="94">
                  <c:v>124.24507383145219</c:v>
                </c:pt>
                <c:pt idx="95">
                  <c:v>59.921502118198134</c:v>
                </c:pt>
                <c:pt idx="96">
                  <c:v>224.09776849374938</c:v>
                </c:pt>
                <c:pt idx="97">
                  <c:v>83.145946978307734</c:v>
                </c:pt>
                <c:pt idx="98">
                  <c:v>217.74006089398583</c:v>
                </c:pt>
                <c:pt idx="99">
                  <c:v>249.69654249289982</c:v>
                </c:pt>
                <c:pt idx="100">
                  <c:v>114.82594635737827</c:v>
                </c:pt>
                <c:pt idx="101">
                  <c:v>117.69640419211466</c:v>
                </c:pt>
                <c:pt idx="102">
                  <c:v>125.43619833033547</c:v>
                </c:pt>
                <c:pt idx="103">
                  <c:v>64.812201307215929</c:v>
                </c:pt>
                <c:pt idx="104">
                  <c:v>92.748546144106754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C-4908-99CC-C7FFDE4E2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Porosity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-3"/>
        <c:crossBetween val="midCat"/>
      </c:valAx>
      <c:valAx>
        <c:axId val="46598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Permeability (mD)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Porosity Well Log</a:t>
            </a:r>
          </a:p>
        </c:rich>
      </c:tx>
      <c:layout>
        <c:manualLayout>
          <c:xMode val="edge"/>
          <c:yMode val="edge"/>
          <c:x val="0.17790350948399491"/>
          <c:y val="1.55267403117856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5838724005653141"/>
          <c:y val="6.9068911431093047E-2"/>
          <c:w val="0.61186943939699845"/>
          <c:h val="0.84596223492459344"/>
        </c:manualLayout>
      </c:layout>
      <c:scatterChart>
        <c:scatterStyle val="smoothMarker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'Por-Perm-Logs'!$N$16:$N$120</c:f>
              <c:numCache>
                <c:formatCode>0.0</c:formatCode>
                <c:ptCount val="105"/>
                <c:pt idx="0">
                  <c:v>7.1777474143331634</c:v>
                </c:pt>
                <c:pt idx="1">
                  <c:v>14.264135152877053</c:v>
                </c:pt>
                <c:pt idx="2">
                  <c:v>14.17703263224279</c:v>
                </c:pt>
                <c:pt idx="3">
                  <c:v>15.345735482773108</c:v>
                </c:pt>
                <c:pt idx="4">
                  <c:v>9.5658754012346119</c:v>
                </c:pt>
                <c:pt idx="5">
                  <c:v>7.3038926830094306</c:v>
                </c:pt>
                <c:pt idx="6">
                  <c:v>9.9905837990440141</c:v>
                </c:pt>
                <c:pt idx="7">
                  <c:v>17.021131694665094</c:v>
                </c:pt>
                <c:pt idx="8">
                  <c:v>11.966996986333138</c:v>
                </c:pt>
                <c:pt idx="9">
                  <c:v>15.868021899574432</c:v>
                </c:pt>
                <c:pt idx="10">
                  <c:v>10.557546871343625</c:v>
                </c:pt>
                <c:pt idx="11">
                  <c:v>8.8455623449271208</c:v>
                </c:pt>
                <c:pt idx="12">
                  <c:v>11.22644953080086</c:v>
                </c:pt>
                <c:pt idx="13">
                  <c:v>10.443737096690192</c:v>
                </c:pt>
                <c:pt idx="14">
                  <c:v>15.520754139903985</c:v>
                </c:pt>
                <c:pt idx="15">
                  <c:v>15.109323125073097</c:v>
                </c:pt>
                <c:pt idx="16">
                  <c:v>9.0884703165186487</c:v>
                </c:pt>
                <c:pt idx="17">
                  <c:v>13.691600850383853</c:v>
                </c:pt>
                <c:pt idx="18">
                  <c:v>8.3504933274017326</c:v>
                </c:pt>
                <c:pt idx="19">
                  <c:v>5.9917224424036899</c:v>
                </c:pt>
                <c:pt idx="20">
                  <c:v>7.8631722693284951</c:v>
                </c:pt>
                <c:pt idx="21">
                  <c:v>18.07659939883229</c:v>
                </c:pt>
                <c:pt idx="22">
                  <c:v>9.1686291319395128</c:v>
                </c:pt>
                <c:pt idx="23">
                  <c:v>13.056482745898364</c:v>
                </c:pt>
                <c:pt idx="24">
                  <c:v>11.589911536886579</c:v>
                </c:pt>
                <c:pt idx="25">
                  <c:v>16.572679879773681</c:v>
                </c:pt>
                <c:pt idx="26">
                  <c:v>11.839737331274936</c:v>
                </c:pt>
                <c:pt idx="27">
                  <c:v>14.042110033551294</c:v>
                </c:pt>
                <c:pt idx="28">
                  <c:v>11.745060316197705</c:v>
                </c:pt>
                <c:pt idx="29">
                  <c:v>15.474835603000237</c:v>
                </c:pt>
                <c:pt idx="30">
                  <c:v>11.944110257520753</c:v>
                </c:pt>
                <c:pt idx="31">
                  <c:v>17.43392043009478</c:v>
                </c:pt>
                <c:pt idx="32">
                  <c:v>7.6521325466114467</c:v>
                </c:pt>
                <c:pt idx="33">
                  <c:v>10.371282908936761</c:v>
                </c:pt>
                <c:pt idx="34">
                  <c:v>5.5769226246740518</c:v>
                </c:pt>
                <c:pt idx="35">
                  <c:v>14.96542534081243</c:v>
                </c:pt>
                <c:pt idx="36">
                  <c:v>12.239436488588606</c:v>
                </c:pt>
                <c:pt idx="37">
                  <c:v>4.0147982397098669</c:v>
                </c:pt>
                <c:pt idx="38">
                  <c:v>12.956190190406904</c:v>
                </c:pt>
                <c:pt idx="39">
                  <c:v>10.871143305447706</c:v>
                </c:pt>
                <c:pt idx="40">
                  <c:v>7.7922959927761601</c:v>
                </c:pt>
                <c:pt idx="41">
                  <c:v>7.9916274223787154</c:v>
                </c:pt>
                <c:pt idx="42">
                  <c:v>14.518213164610728</c:v>
                </c:pt>
                <c:pt idx="43">
                  <c:v>5.4968415106768926</c:v>
                </c:pt>
                <c:pt idx="44">
                  <c:v>12.763985292990704</c:v>
                </c:pt>
                <c:pt idx="45">
                  <c:v>12.641661284857229</c:v>
                </c:pt>
                <c:pt idx="46">
                  <c:v>16.336609055246981</c:v>
                </c:pt>
                <c:pt idx="47">
                  <c:v>15.408016356710025</c:v>
                </c:pt>
                <c:pt idx="48">
                  <c:v>12.325855380321112</c:v>
                </c:pt>
                <c:pt idx="49">
                  <c:v>11.025135002641159</c:v>
                </c:pt>
                <c:pt idx="50">
                  <c:v>19.290629410934805</c:v>
                </c:pt>
                <c:pt idx="51">
                  <c:v>8.2076908769792745</c:v>
                </c:pt>
                <c:pt idx="52">
                  <c:v>10.221583594548791</c:v>
                </c:pt>
                <c:pt idx="53">
                  <c:v>9.6849111057538799</c:v>
                </c:pt>
                <c:pt idx="54">
                  <c:v>11.269693008594414</c:v>
                </c:pt>
                <c:pt idx="55">
                  <c:v>12.369112772363783</c:v>
                </c:pt>
                <c:pt idx="56">
                  <c:v>16.61359241428103</c:v>
                </c:pt>
                <c:pt idx="57">
                  <c:v>11.484060860459792</c:v>
                </c:pt>
                <c:pt idx="58">
                  <c:v>9.6347775832640075</c:v>
                </c:pt>
                <c:pt idx="59">
                  <c:v>12.464994665135897</c:v>
                </c:pt>
                <c:pt idx="60">
                  <c:v>6.9541419015182715</c:v>
                </c:pt>
                <c:pt idx="61">
                  <c:v>17.787662886348411</c:v>
                </c:pt>
                <c:pt idx="62">
                  <c:v>13.582780435856016</c:v>
                </c:pt>
                <c:pt idx="63">
                  <c:v>8.9380908589859551</c:v>
                </c:pt>
                <c:pt idx="64">
                  <c:v>6.125684802959463</c:v>
                </c:pt>
                <c:pt idx="65">
                  <c:v>10.842650671975445</c:v>
                </c:pt>
                <c:pt idx="66">
                  <c:v>8.8474605275386082</c:v>
                </c:pt>
                <c:pt idx="67">
                  <c:v>12.927518618964443</c:v>
                </c:pt>
                <c:pt idx="68">
                  <c:v>10.623071440907061</c:v>
                </c:pt>
                <c:pt idx="69">
                  <c:v>8.7106237888161893</c:v>
                </c:pt>
                <c:pt idx="70">
                  <c:v>13.723466875545672</c:v>
                </c:pt>
                <c:pt idx="71">
                  <c:v>12.477337615605862</c:v>
                </c:pt>
                <c:pt idx="72">
                  <c:v>12.059269599316133</c:v>
                </c:pt>
                <c:pt idx="73">
                  <c:v>13.023212410069625</c:v>
                </c:pt>
                <c:pt idx="74">
                  <c:v>14.950835475500359</c:v>
                </c:pt>
                <c:pt idx="75">
                  <c:v>11.905531463444458</c:v>
                </c:pt>
                <c:pt idx="76">
                  <c:v>13.790428524194912</c:v>
                </c:pt>
                <c:pt idx="77">
                  <c:v>12.479719115169697</c:v>
                </c:pt>
                <c:pt idx="78">
                  <c:v>2.9053531677604205</c:v>
                </c:pt>
                <c:pt idx="79">
                  <c:v>17.591363029271182</c:v>
                </c:pt>
                <c:pt idx="80">
                  <c:v>18.254285445552554</c:v>
                </c:pt>
                <c:pt idx="81">
                  <c:v>9.9380804166705712</c:v>
                </c:pt>
                <c:pt idx="82">
                  <c:v>10.958244484792171</c:v>
                </c:pt>
                <c:pt idx="83">
                  <c:v>16.143484967101369</c:v>
                </c:pt>
                <c:pt idx="84">
                  <c:v>10.370401222309992</c:v>
                </c:pt>
                <c:pt idx="85">
                  <c:v>12.813044372620134</c:v>
                </c:pt>
                <c:pt idx="86">
                  <c:v>16.851162798310384</c:v>
                </c:pt>
                <c:pt idx="87">
                  <c:v>19.838419228972427</c:v>
                </c:pt>
                <c:pt idx="88">
                  <c:v>18.3970410744014</c:v>
                </c:pt>
                <c:pt idx="89">
                  <c:v>16.439245602071296</c:v>
                </c:pt>
                <c:pt idx="90">
                  <c:v>9.8767673004028822</c:v>
                </c:pt>
                <c:pt idx="91">
                  <c:v>8.5071617416082965</c:v>
                </c:pt>
                <c:pt idx="92">
                  <c:v>8.8072103548694916</c:v>
                </c:pt>
                <c:pt idx="93">
                  <c:v>15.725656946812844</c:v>
                </c:pt>
                <c:pt idx="94">
                  <c:v>13.252642888978798</c:v>
                </c:pt>
                <c:pt idx="95">
                  <c:v>10.776877079099268</c:v>
                </c:pt>
                <c:pt idx="96">
                  <c:v>16.069167266604719</c:v>
                </c:pt>
                <c:pt idx="97">
                  <c:v>5.5409490220788165</c:v>
                </c:pt>
                <c:pt idx="98">
                  <c:v>16.320662871077324</c:v>
                </c:pt>
                <c:pt idx="99">
                  <c:v>13.185653911697882</c:v>
                </c:pt>
                <c:pt idx="100">
                  <c:v>5.4972436197462118</c:v>
                </c:pt>
                <c:pt idx="101">
                  <c:v>9.9842794489275182</c:v>
                </c:pt>
                <c:pt idx="102">
                  <c:v>8.4465007069375435</c:v>
                </c:pt>
                <c:pt idx="103">
                  <c:v>13.394764599024114</c:v>
                </c:pt>
                <c:pt idx="104">
                  <c:v>14.68336451611526</c:v>
                </c:pt>
              </c:numCache>
            </c:numRef>
          </c:xVal>
          <c:yVal>
            <c:numRef>
              <c:f>'Por-Perm-Logs'!$C$16:$C$120</c:f>
              <c:numCache>
                <c:formatCode>0.00</c:formatCode>
                <c:ptCount val="10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88-4A57-8015-53144243C2F2}"/>
            </c:ext>
          </c:extLst>
        </c:ser>
        <c:ser>
          <c:idx val="0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'Por-Perm-Logs'!$O$16:$O$120</c:f>
              <c:numCache>
                <c:formatCode>0.0</c:formatCode>
                <c:ptCount val="105"/>
                <c:pt idx="0">
                  <c:v>88.405809550853547</c:v>
                </c:pt>
                <c:pt idx="1">
                  <c:v>260.26328321735355</c:v>
                </c:pt>
                <c:pt idx="2">
                  <c:v>148.86465528780261</c:v>
                </c:pt>
                <c:pt idx="3">
                  <c:v>216.02938912900541</c:v>
                </c:pt>
                <c:pt idx="4">
                  <c:v>137.31108641685006</c:v>
                </c:pt>
                <c:pt idx="5">
                  <c:v>120.05242835522837</c:v>
                </c:pt>
                <c:pt idx="6">
                  <c:v>121.20665186258347</c:v>
                </c:pt>
                <c:pt idx="7">
                  <c:v>298.0235968178967</c:v>
                </c:pt>
                <c:pt idx="8">
                  <c:v>73.879165502823014</c:v>
                </c:pt>
                <c:pt idx="9">
                  <c:v>235.34109181335188</c:v>
                </c:pt>
                <c:pt idx="10">
                  <c:v>89.362883571579204</c:v>
                </c:pt>
                <c:pt idx="11">
                  <c:v>100.04939102732874</c:v>
                </c:pt>
                <c:pt idx="12">
                  <c:v>88.256274241001549</c:v>
                </c:pt>
                <c:pt idx="13">
                  <c:v>87.223532501733956</c:v>
                </c:pt>
                <c:pt idx="14">
                  <c:v>159.65877474654991</c:v>
                </c:pt>
                <c:pt idx="15">
                  <c:v>202.12248299066394</c:v>
                </c:pt>
                <c:pt idx="16">
                  <c:v>110.71994679087133</c:v>
                </c:pt>
                <c:pt idx="17">
                  <c:v>107.10341818590592</c:v>
                </c:pt>
                <c:pt idx="18">
                  <c:v>184.27225624246807</c:v>
                </c:pt>
                <c:pt idx="19">
                  <c:v>86.056153718650535</c:v>
                </c:pt>
                <c:pt idx="20">
                  <c:v>96.803816555655033</c:v>
                </c:pt>
                <c:pt idx="21">
                  <c:v>380.08592149334186</c:v>
                </c:pt>
                <c:pt idx="22">
                  <c:v>107.86870235187619</c:v>
                </c:pt>
                <c:pt idx="23">
                  <c:v>175.05522626656114</c:v>
                </c:pt>
                <c:pt idx="24">
                  <c:v>255.24255770938689</c:v>
                </c:pt>
                <c:pt idx="25">
                  <c:v>329.35337709445548</c:v>
                </c:pt>
                <c:pt idx="26">
                  <c:v>127.91722839545172</c:v>
                </c:pt>
                <c:pt idx="27">
                  <c:v>265.43302184508536</c:v>
                </c:pt>
                <c:pt idx="28">
                  <c:v>170.63755158097263</c:v>
                </c:pt>
                <c:pt idx="29">
                  <c:v>312.15628181865384</c:v>
                </c:pt>
                <c:pt idx="30">
                  <c:v>270.08582573920756</c:v>
                </c:pt>
                <c:pt idx="31">
                  <c:v>333.73978846699936</c:v>
                </c:pt>
                <c:pt idx="32">
                  <c:v>137.61123662393231</c:v>
                </c:pt>
                <c:pt idx="33">
                  <c:v>142.47111377090997</c:v>
                </c:pt>
                <c:pt idx="34">
                  <c:v>113.65107412331939</c:v>
                </c:pt>
                <c:pt idx="35">
                  <c:v>423.34818592500551</c:v>
                </c:pt>
                <c:pt idx="36">
                  <c:v>93.213462318191674</c:v>
                </c:pt>
                <c:pt idx="37">
                  <c:v>66.717521633968644</c:v>
                </c:pt>
                <c:pt idx="38">
                  <c:v>83.817048111192364</c:v>
                </c:pt>
                <c:pt idx="39">
                  <c:v>219.69768987858319</c:v>
                </c:pt>
                <c:pt idx="40">
                  <c:v>57.321759868278036</c:v>
                </c:pt>
                <c:pt idx="41">
                  <c:v>139.08218062528513</c:v>
                </c:pt>
                <c:pt idx="42">
                  <c:v>203.15719562799063</c:v>
                </c:pt>
                <c:pt idx="43">
                  <c:v>137.48117482817133</c:v>
                </c:pt>
                <c:pt idx="44">
                  <c:v>155.3753544938036</c:v>
                </c:pt>
                <c:pt idx="45">
                  <c:v>148.63318200325935</c:v>
                </c:pt>
                <c:pt idx="46">
                  <c:v>265.8012446639114</c:v>
                </c:pt>
                <c:pt idx="47">
                  <c:v>340.24849487525483</c:v>
                </c:pt>
                <c:pt idx="48">
                  <c:v>117.02671067033437</c:v>
                </c:pt>
                <c:pt idx="49">
                  <c:v>93.189652504409779</c:v>
                </c:pt>
                <c:pt idx="50">
                  <c:v>324.82191441437436</c:v>
                </c:pt>
                <c:pt idx="51">
                  <c:v>163.38569179495326</c:v>
                </c:pt>
                <c:pt idx="52">
                  <c:v>74.106408258617535</c:v>
                </c:pt>
                <c:pt idx="53">
                  <c:v>136.84152061993939</c:v>
                </c:pt>
                <c:pt idx="54">
                  <c:v>153.63319440364134</c:v>
                </c:pt>
                <c:pt idx="55">
                  <c:v>224.50267778173125</c:v>
                </c:pt>
                <c:pt idx="56">
                  <c:v>369.09659573930816</c:v>
                </c:pt>
                <c:pt idx="57">
                  <c:v>113.47289581582358</c:v>
                </c:pt>
                <c:pt idx="58">
                  <c:v>182.12549612107966</c:v>
                </c:pt>
                <c:pt idx="59">
                  <c:v>81.440018748650175</c:v>
                </c:pt>
                <c:pt idx="60">
                  <c:v>92.652502990141585</c:v>
                </c:pt>
                <c:pt idx="61">
                  <c:v>168.33719593503855</c:v>
                </c:pt>
                <c:pt idx="62">
                  <c:v>349.30673908149913</c:v>
                </c:pt>
                <c:pt idx="63">
                  <c:v>202.74153104049785</c:v>
                </c:pt>
                <c:pt idx="64">
                  <c:v>66.251672035381503</c:v>
                </c:pt>
                <c:pt idx="65">
                  <c:v>153.77423296026117</c:v>
                </c:pt>
                <c:pt idx="66">
                  <c:v>240.59193341997315</c:v>
                </c:pt>
                <c:pt idx="67">
                  <c:v>135.8774905386548</c:v>
                </c:pt>
                <c:pt idx="68">
                  <c:v>276.35326501140145</c:v>
                </c:pt>
                <c:pt idx="69">
                  <c:v>72.008062622736503</c:v>
                </c:pt>
                <c:pt idx="70">
                  <c:v>113.69754664778688</c:v>
                </c:pt>
                <c:pt idx="71">
                  <c:v>243.03468179363966</c:v>
                </c:pt>
                <c:pt idx="72">
                  <c:v>126.05224384011018</c:v>
                </c:pt>
                <c:pt idx="73">
                  <c:v>202.24460566602161</c:v>
                </c:pt>
                <c:pt idx="74">
                  <c:v>200.29708810110893</c:v>
                </c:pt>
                <c:pt idx="75">
                  <c:v>155.54397718891275</c:v>
                </c:pt>
                <c:pt idx="76">
                  <c:v>107.94630694556369</c:v>
                </c:pt>
                <c:pt idx="77">
                  <c:v>89.709970395671419</c:v>
                </c:pt>
                <c:pt idx="78">
                  <c:v>60.96022014611416</c:v>
                </c:pt>
                <c:pt idx="79">
                  <c:v>168.74357769650774</c:v>
                </c:pt>
                <c:pt idx="80">
                  <c:v>227.57989145200634</c:v>
                </c:pt>
                <c:pt idx="81">
                  <c:v>275.63168395100382</c:v>
                </c:pt>
                <c:pt idx="82">
                  <c:v>131.83315301576212</c:v>
                </c:pt>
                <c:pt idx="83">
                  <c:v>198.88240345577404</c:v>
                </c:pt>
                <c:pt idx="84">
                  <c:v>100.56751554099145</c:v>
                </c:pt>
                <c:pt idx="85">
                  <c:v>156.80083660272311</c:v>
                </c:pt>
                <c:pt idx="86">
                  <c:v>231.77910991884039</c:v>
                </c:pt>
                <c:pt idx="87">
                  <c:v>638.18002036045755</c:v>
                </c:pt>
                <c:pt idx="88">
                  <c:v>227.68939099416426</c:v>
                </c:pt>
                <c:pt idx="89">
                  <c:v>204.05986234741926</c:v>
                </c:pt>
                <c:pt idx="90">
                  <c:v>150.68924015745253</c:v>
                </c:pt>
                <c:pt idx="91">
                  <c:v>198.22599932994262</c:v>
                </c:pt>
                <c:pt idx="92">
                  <c:v>176.42064602729249</c:v>
                </c:pt>
                <c:pt idx="93">
                  <c:v>156.26979304677693</c:v>
                </c:pt>
                <c:pt idx="94">
                  <c:v>124.24507383145219</c:v>
                </c:pt>
                <c:pt idx="95">
                  <c:v>59.921502118198134</c:v>
                </c:pt>
                <c:pt idx="96">
                  <c:v>224.09776849374938</c:v>
                </c:pt>
                <c:pt idx="97">
                  <c:v>83.145946978307734</c:v>
                </c:pt>
                <c:pt idx="98">
                  <c:v>217.74006089398583</c:v>
                </c:pt>
                <c:pt idx="99">
                  <c:v>249.69654249289982</c:v>
                </c:pt>
                <c:pt idx="100">
                  <c:v>114.82594635737827</c:v>
                </c:pt>
                <c:pt idx="101">
                  <c:v>117.69640419211466</c:v>
                </c:pt>
                <c:pt idx="102">
                  <c:v>125.43619833033547</c:v>
                </c:pt>
                <c:pt idx="103">
                  <c:v>64.812201307215929</c:v>
                </c:pt>
                <c:pt idx="104">
                  <c:v>92.748546144106754</c:v>
                </c:pt>
              </c:numCache>
            </c:numRef>
          </c:xVal>
          <c:yVal>
            <c:numRef>
              <c:f>'Por-Perm-Logs'!$C$16:$C$120</c:f>
              <c:numCache>
                <c:formatCode>0.00</c:formatCode>
                <c:ptCount val="10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88-4A57-8015-53144243C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  <c:max val="25"/>
          <c:min val="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Porosity (%)</a:t>
                </a:r>
              </a:p>
            </c:rich>
          </c:tx>
          <c:layout>
            <c:manualLayout>
              <c:xMode val="edge"/>
              <c:yMode val="edge"/>
              <c:x val="0.36045871189178275"/>
              <c:y val="0.95094986010789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27"/>
        <c:crossBetween val="midCat"/>
        <c:majorUnit val="5"/>
      </c:valAx>
      <c:valAx>
        <c:axId val="465982104"/>
        <c:scaling>
          <c:orientation val="maxMin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  <c:majorUnit val="3"/>
      </c:valAx>
      <c:spPr>
        <a:ln>
          <a:solidFill>
            <a:schemeClr val="tx1"/>
          </a:solidFill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Well-based</a:t>
            </a:r>
            <a:r>
              <a:rPr lang="en-US" baseline="0"/>
              <a:t> Permeability</a:t>
            </a:r>
            <a:endParaRPr lang="en-US"/>
          </a:p>
        </c:rich>
      </c:tx>
      <c:layout>
        <c:manualLayout>
          <c:xMode val="edge"/>
          <c:yMode val="edge"/>
          <c:x val="0.25662039667721948"/>
          <c:y val="7.8359250171628554E-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5838724005653141"/>
          <c:y val="6.9068911431093047E-2"/>
          <c:w val="0.61186943939699845"/>
          <c:h val="0.84596223492459344"/>
        </c:manualLayout>
      </c:layout>
      <c:scatterChart>
        <c:scatterStyle val="smoothMarker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'Por-Perm-Logs'!$O$16:$O$120</c:f>
              <c:numCache>
                <c:formatCode>0.0</c:formatCode>
                <c:ptCount val="105"/>
                <c:pt idx="0">
                  <c:v>88.405809550853547</c:v>
                </c:pt>
                <c:pt idx="1">
                  <c:v>260.26328321735355</c:v>
                </c:pt>
                <c:pt idx="2">
                  <c:v>148.86465528780261</c:v>
                </c:pt>
                <c:pt idx="3">
                  <c:v>216.02938912900541</c:v>
                </c:pt>
                <c:pt idx="4">
                  <c:v>137.31108641685006</c:v>
                </c:pt>
                <c:pt idx="5">
                  <c:v>120.05242835522837</c:v>
                </c:pt>
                <c:pt idx="6">
                  <c:v>121.20665186258347</c:v>
                </c:pt>
                <c:pt idx="7">
                  <c:v>298.0235968178967</c:v>
                </c:pt>
                <c:pt idx="8">
                  <c:v>73.879165502823014</c:v>
                </c:pt>
                <c:pt idx="9">
                  <c:v>235.34109181335188</c:v>
                </c:pt>
                <c:pt idx="10">
                  <c:v>89.362883571579204</c:v>
                </c:pt>
                <c:pt idx="11">
                  <c:v>100.04939102732874</c:v>
                </c:pt>
                <c:pt idx="12">
                  <c:v>88.256274241001549</c:v>
                </c:pt>
                <c:pt idx="13">
                  <c:v>87.223532501733956</c:v>
                </c:pt>
                <c:pt idx="14">
                  <c:v>159.65877474654991</c:v>
                </c:pt>
                <c:pt idx="15">
                  <c:v>202.12248299066394</c:v>
                </c:pt>
                <c:pt idx="16">
                  <c:v>110.71994679087133</c:v>
                </c:pt>
                <c:pt idx="17">
                  <c:v>107.10341818590592</c:v>
                </c:pt>
                <c:pt idx="18">
                  <c:v>184.27225624246807</c:v>
                </c:pt>
                <c:pt idx="19">
                  <c:v>86.056153718650535</c:v>
                </c:pt>
                <c:pt idx="20">
                  <c:v>96.803816555655033</c:v>
                </c:pt>
                <c:pt idx="21">
                  <c:v>380.08592149334186</c:v>
                </c:pt>
                <c:pt idx="22">
                  <c:v>107.86870235187619</c:v>
                </c:pt>
                <c:pt idx="23">
                  <c:v>175.05522626656114</c:v>
                </c:pt>
                <c:pt idx="24">
                  <c:v>255.24255770938689</c:v>
                </c:pt>
                <c:pt idx="25">
                  <c:v>329.35337709445548</c:v>
                </c:pt>
                <c:pt idx="26">
                  <c:v>127.91722839545172</c:v>
                </c:pt>
                <c:pt idx="27">
                  <c:v>265.43302184508536</c:v>
                </c:pt>
                <c:pt idx="28">
                  <c:v>170.63755158097263</c:v>
                </c:pt>
                <c:pt idx="29">
                  <c:v>312.15628181865384</c:v>
                </c:pt>
                <c:pt idx="30">
                  <c:v>270.08582573920756</c:v>
                </c:pt>
                <c:pt idx="31">
                  <c:v>333.73978846699936</c:v>
                </c:pt>
                <c:pt idx="32">
                  <c:v>137.61123662393231</c:v>
                </c:pt>
                <c:pt idx="33">
                  <c:v>142.47111377090997</c:v>
                </c:pt>
                <c:pt idx="34">
                  <c:v>113.65107412331939</c:v>
                </c:pt>
                <c:pt idx="35">
                  <c:v>423.34818592500551</c:v>
                </c:pt>
                <c:pt idx="36">
                  <c:v>93.213462318191674</c:v>
                </c:pt>
                <c:pt idx="37">
                  <c:v>66.717521633968644</c:v>
                </c:pt>
                <c:pt idx="38">
                  <c:v>83.817048111192364</c:v>
                </c:pt>
                <c:pt idx="39">
                  <c:v>219.69768987858319</c:v>
                </c:pt>
                <c:pt idx="40">
                  <c:v>57.321759868278036</c:v>
                </c:pt>
                <c:pt idx="41">
                  <c:v>139.08218062528513</c:v>
                </c:pt>
                <c:pt idx="42">
                  <c:v>203.15719562799063</c:v>
                </c:pt>
                <c:pt idx="43">
                  <c:v>137.48117482817133</c:v>
                </c:pt>
                <c:pt idx="44">
                  <c:v>155.3753544938036</c:v>
                </c:pt>
                <c:pt idx="45">
                  <c:v>148.63318200325935</c:v>
                </c:pt>
                <c:pt idx="46">
                  <c:v>265.8012446639114</c:v>
                </c:pt>
                <c:pt idx="47">
                  <c:v>340.24849487525483</c:v>
                </c:pt>
                <c:pt idx="48">
                  <c:v>117.02671067033437</c:v>
                </c:pt>
                <c:pt idx="49">
                  <c:v>93.189652504409779</c:v>
                </c:pt>
                <c:pt idx="50">
                  <c:v>324.82191441437436</c:v>
                </c:pt>
                <c:pt idx="51">
                  <c:v>163.38569179495326</c:v>
                </c:pt>
                <c:pt idx="52">
                  <c:v>74.106408258617535</c:v>
                </c:pt>
                <c:pt idx="53">
                  <c:v>136.84152061993939</c:v>
                </c:pt>
                <c:pt idx="54">
                  <c:v>153.63319440364134</c:v>
                </c:pt>
                <c:pt idx="55">
                  <c:v>224.50267778173125</c:v>
                </c:pt>
                <c:pt idx="56">
                  <c:v>369.09659573930816</c:v>
                </c:pt>
                <c:pt idx="57">
                  <c:v>113.47289581582358</c:v>
                </c:pt>
                <c:pt idx="58">
                  <c:v>182.12549612107966</c:v>
                </c:pt>
                <c:pt idx="59">
                  <c:v>81.440018748650175</c:v>
                </c:pt>
                <c:pt idx="60">
                  <c:v>92.652502990141585</c:v>
                </c:pt>
                <c:pt idx="61">
                  <c:v>168.33719593503855</c:v>
                </c:pt>
                <c:pt idx="62">
                  <c:v>349.30673908149913</c:v>
                </c:pt>
                <c:pt idx="63">
                  <c:v>202.74153104049785</c:v>
                </c:pt>
                <c:pt idx="64">
                  <c:v>66.251672035381503</c:v>
                </c:pt>
                <c:pt idx="65">
                  <c:v>153.77423296026117</c:v>
                </c:pt>
                <c:pt idx="66">
                  <c:v>240.59193341997315</c:v>
                </c:pt>
                <c:pt idx="67">
                  <c:v>135.8774905386548</c:v>
                </c:pt>
                <c:pt idx="68">
                  <c:v>276.35326501140145</c:v>
                </c:pt>
                <c:pt idx="69">
                  <c:v>72.008062622736503</c:v>
                </c:pt>
                <c:pt idx="70">
                  <c:v>113.69754664778688</c:v>
                </c:pt>
                <c:pt idx="71">
                  <c:v>243.03468179363966</c:v>
                </c:pt>
                <c:pt idx="72">
                  <c:v>126.05224384011018</c:v>
                </c:pt>
                <c:pt idx="73">
                  <c:v>202.24460566602161</c:v>
                </c:pt>
                <c:pt idx="74">
                  <c:v>200.29708810110893</c:v>
                </c:pt>
                <c:pt idx="75">
                  <c:v>155.54397718891275</c:v>
                </c:pt>
                <c:pt idx="76">
                  <c:v>107.94630694556369</c:v>
                </c:pt>
                <c:pt idx="77">
                  <c:v>89.709970395671419</c:v>
                </c:pt>
                <c:pt idx="78">
                  <c:v>60.96022014611416</c:v>
                </c:pt>
                <c:pt idx="79">
                  <c:v>168.74357769650774</c:v>
                </c:pt>
                <c:pt idx="80">
                  <c:v>227.57989145200634</c:v>
                </c:pt>
                <c:pt idx="81">
                  <c:v>275.63168395100382</c:v>
                </c:pt>
                <c:pt idx="82">
                  <c:v>131.83315301576212</c:v>
                </c:pt>
                <c:pt idx="83">
                  <c:v>198.88240345577404</c:v>
                </c:pt>
                <c:pt idx="84">
                  <c:v>100.56751554099145</c:v>
                </c:pt>
                <c:pt idx="85">
                  <c:v>156.80083660272311</c:v>
                </c:pt>
                <c:pt idx="86">
                  <c:v>231.77910991884039</c:v>
                </c:pt>
                <c:pt idx="87">
                  <c:v>638.18002036045755</c:v>
                </c:pt>
                <c:pt idx="88">
                  <c:v>227.68939099416426</c:v>
                </c:pt>
                <c:pt idx="89">
                  <c:v>204.05986234741926</c:v>
                </c:pt>
                <c:pt idx="90">
                  <c:v>150.68924015745253</c:v>
                </c:pt>
                <c:pt idx="91">
                  <c:v>198.22599932994262</c:v>
                </c:pt>
                <c:pt idx="92">
                  <c:v>176.42064602729249</c:v>
                </c:pt>
                <c:pt idx="93">
                  <c:v>156.26979304677693</c:v>
                </c:pt>
                <c:pt idx="94">
                  <c:v>124.24507383145219</c:v>
                </c:pt>
                <c:pt idx="95">
                  <c:v>59.921502118198134</c:v>
                </c:pt>
                <c:pt idx="96">
                  <c:v>224.09776849374938</c:v>
                </c:pt>
                <c:pt idx="97">
                  <c:v>83.145946978307734</c:v>
                </c:pt>
                <c:pt idx="98">
                  <c:v>217.74006089398583</c:v>
                </c:pt>
                <c:pt idx="99">
                  <c:v>249.69654249289982</c:v>
                </c:pt>
                <c:pt idx="100">
                  <c:v>114.82594635737827</c:v>
                </c:pt>
                <c:pt idx="101">
                  <c:v>117.69640419211466</c:v>
                </c:pt>
                <c:pt idx="102">
                  <c:v>125.43619833033547</c:v>
                </c:pt>
                <c:pt idx="103">
                  <c:v>64.812201307215929</c:v>
                </c:pt>
                <c:pt idx="104">
                  <c:v>92.748546144106754</c:v>
                </c:pt>
              </c:numCache>
            </c:numRef>
          </c:xVal>
          <c:yVal>
            <c:numRef>
              <c:f>'Por-Perm-Logs'!$C$16:$C$120</c:f>
              <c:numCache>
                <c:formatCode>0.00</c:formatCode>
                <c:ptCount val="10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10-4543-A799-B623F91E47DD}"/>
            </c:ext>
          </c:extLst>
        </c:ser>
        <c:ser>
          <c:idx val="0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'Por-Perm-Logs'!$O$16:$O$120</c:f>
              <c:numCache>
                <c:formatCode>0.0</c:formatCode>
                <c:ptCount val="105"/>
                <c:pt idx="0">
                  <c:v>88.405809550853547</c:v>
                </c:pt>
                <c:pt idx="1">
                  <c:v>260.26328321735355</c:v>
                </c:pt>
                <c:pt idx="2">
                  <c:v>148.86465528780261</c:v>
                </c:pt>
                <c:pt idx="3">
                  <c:v>216.02938912900541</c:v>
                </c:pt>
                <c:pt idx="4">
                  <c:v>137.31108641685006</c:v>
                </c:pt>
                <c:pt idx="5">
                  <c:v>120.05242835522837</c:v>
                </c:pt>
                <c:pt idx="6">
                  <c:v>121.20665186258347</c:v>
                </c:pt>
                <c:pt idx="7">
                  <c:v>298.0235968178967</c:v>
                </c:pt>
                <c:pt idx="8">
                  <c:v>73.879165502823014</c:v>
                </c:pt>
                <c:pt idx="9">
                  <c:v>235.34109181335188</c:v>
                </c:pt>
                <c:pt idx="10">
                  <c:v>89.362883571579204</c:v>
                </c:pt>
                <c:pt idx="11">
                  <c:v>100.04939102732874</c:v>
                </c:pt>
                <c:pt idx="12">
                  <c:v>88.256274241001549</c:v>
                </c:pt>
                <c:pt idx="13">
                  <c:v>87.223532501733956</c:v>
                </c:pt>
                <c:pt idx="14">
                  <c:v>159.65877474654991</c:v>
                </c:pt>
                <c:pt idx="15">
                  <c:v>202.12248299066394</c:v>
                </c:pt>
                <c:pt idx="16">
                  <c:v>110.71994679087133</c:v>
                </c:pt>
                <c:pt idx="17">
                  <c:v>107.10341818590592</c:v>
                </c:pt>
                <c:pt idx="18">
                  <c:v>184.27225624246807</c:v>
                </c:pt>
                <c:pt idx="19">
                  <c:v>86.056153718650535</c:v>
                </c:pt>
                <c:pt idx="20">
                  <c:v>96.803816555655033</c:v>
                </c:pt>
                <c:pt idx="21">
                  <c:v>380.08592149334186</c:v>
                </c:pt>
                <c:pt idx="22">
                  <c:v>107.86870235187619</c:v>
                </c:pt>
                <c:pt idx="23">
                  <c:v>175.05522626656114</c:v>
                </c:pt>
                <c:pt idx="24">
                  <c:v>255.24255770938689</c:v>
                </c:pt>
                <c:pt idx="25">
                  <c:v>329.35337709445548</c:v>
                </c:pt>
                <c:pt idx="26">
                  <c:v>127.91722839545172</c:v>
                </c:pt>
                <c:pt idx="27">
                  <c:v>265.43302184508536</c:v>
                </c:pt>
                <c:pt idx="28">
                  <c:v>170.63755158097263</c:v>
                </c:pt>
                <c:pt idx="29">
                  <c:v>312.15628181865384</c:v>
                </c:pt>
                <c:pt idx="30">
                  <c:v>270.08582573920756</c:v>
                </c:pt>
                <c:pt idx="31">
                  <c:v>333.73978846699936</c:v>
                </c:pt>
                <c:pt idx="32">
                  <c:v>137.61123662393231</c:v>
                </c:pt>
                <c:pt idx="33">
                  <c:v>142.47111377090997</c:v>
                </c:pt>
                <c:pt idx="34">
                  <c:v>113.65107412331939</c:v>
                </c:pt>
                <c:pt idx="35">
                  <c:v>423.34818592500551</c:v>
                </c:pt>
                <c:pt idx="36">
                  <c:v>93.213462318191674</c:v>
                </c:pt>
                <c:pt idx="37">
                  <c:v>66.717521633968644</c:v>
                </c:pt>
                <c:pt idx="38">
                  <c:v>83.817048111192364</c:v>
                </c:pt>
                <c:pt idx="39">
                  <c:v>219.69768987858319</c:v>
                </c:pt>
                <c:pt idx="40">
                  <c:v>57.321759868278036</c:v>
                </c:pt>
                <c:pt idx="41">
                  <c:v>139.08218062528513</c:v>
                </c:pt>
                <c:pt idx="42">
                  <c:v>203.15719562799063</c:v>
                </c:pt>
                <c:pt idx="43">
                  <c:v>137.48117482817133</c:v>
                </c:pt>
                <c:pt idx="44">
                  <c:v>155.3753544938036</c:v>
                </c:pt>
                <c:pt idx="45">
                  <c:v>148.63318200325935</c:v>
                </c:pt>
                <c:pt idx="46">
                  <c:v>265.8012446639114</c:v>
                </c:pt>
                <c:pt idx="47">
                  <c:v>340.24849487525483</c:v>
                </c:pt>
                <c:pt idx="48">
                  <c:v>117.02671067033437</c:v>
                </c:pt>
                <c:pt idx="49">
                  <c:v>93.189652504409779</c:v>
                </c:pt>
                <c:pt idx="50">
                  <c:v>324.82191441437436</c:v>
                </c:pt>
                <c:pt idx="51">
                  <c:v>163.38569179495326</c:v>
                </c:pt>
                <c:pt idx="52">
                  <c:v>74.106408258617535</c:v>
                </c:pt>
                <c:pt idx="53">
                  <c:v>136.84152061993939</c:v>
                </c:pt>
                <c:pt idx="54">
                  <c:v>153.63319440364134</c:v>
                </c:pt>
                <c:pt idx="55">
                  <c:v>224.50267778173125</c:v>
                </c:pt>
                <c:pt idx="56">
                  <c:v>369.09659573930816</c:v>
                </c:pt>
                <c:pt idx="57">
                  <c:v>113.47289581582358</c:v>
                </c:pt>
                <c:pt idx="58">
                  <c:v>182.12549612107966</c:v>
                </c:pt>
                <c:pt idx="59">
                  <c:v>81.440018748650175</c:v>
                </c:pt>
                <c:pt idx="60">
                  <c:v>92.652502990141585</c:v>
                </c:pt>
                <c:pt idx="61">
                  <c:v>168.33719593503855</c:v>
                </c:pt>
                <c:pt idx="62">
                  <c:v>349.30673908149913</c:v>
                </c:pt>
                <c:pt idx="63">
                  <c:v>202.74153104049785</c:v>
                </c:pt>
                <c:pt idx="64">
                  <c:v>66.251672035381503</c:v>
                </c:pt>
                <c:pt idx="65">
                  <c:v>153.77423296026117</c:v>
                </c:pt>
                <c:pt idx="66">
                  <c:v>240.59193341997315</c:v>
                </c:pt>
                <c:pt idx="67">
                  <c:v>135.8774905386548</c:v>
                </c:pt>
                <c:pt idx="68">
                  <c:v>276.35326501140145</c:v>
                </c:pt>
                <c:pt idx="69">
                  <c:v>72.008062622736503</c:v>
                </c:pt>
                <c:pt idx="70">
                  <c:v>113.69754664778688</c:v>
                </c:pt>
                <c:pt idx="71">
                  <c:v>243.03468179363966</c:v>
                </c:pt>
                <c:pt idx="72">
                  <c:v>126.05224384011018</c:v>
                </c:pt>
                <c:pt idx="73">
                  <c:v>202.24460566602161</c:v>
                </c:pt>
                <c:pt idx="74">
                  <c:v>200.29708810110893</c:v>
                </c:pt>
                <c:pt idx="75">
                  <c:v>155.54397718891275</c:v>
                </c:pt>
                <c:pt idx="76">
                  <c:v>107.94630694556369</c:v>
                </c:pt>
                <c:pt idx="77">
                  <c:v>89.709970395671419</c:v>
                </c:pt>
                <c:pt idx="78">
                  <c:v>60.96022014611416</c:v>
                </c:pt>
                <c:pt idx="79">
                  <c:v>168.74357769650774</c:v>
                </c:pt>
                <c:pt idx="80">
                  <c:v>227.57989145200634</c:v>
                </c:pt>
                <c:pt idx="81">
                  <c:v>275.63168395100382</c:v>
                </c:pt>
                <c:pt idx="82">
                  <c:v>131.83315301576212</c:v>
                </c:pt>
                <c:pt idx="83">
                  <c:v>198.88240345577404</c:v>
                </c:pt>
                <c:pt idx="84">
                  <c:v>100.56751554099145</c:v>
                </c:pt>
                <c:pt idx="85">
                  <c:v>156.80083660272311</c:v>
                </c:pt>
                <c:pt idx="86">
                  <c:v>231.77910991884039</c:v>
                </c:pt>
                <c:pt idx="87">
                  <c:v>638.18002036045755</c:v>
                </c:pt>
                <c:pt idx="88">
                  <c:v>227.68939099416426</c:v>
                </c:pt>
                <c:pt idx="89">
                  <c:v>204.05986234741926</c:v>
                </c:pt>
                <c:pt idx="90">
                  <c:v>150.68924015745253</c:v>
                </c:pt>
                <c:pt idx="91">
                  <c:v>198.22599932994262</c:v>
                </c:pt>
                <c:pt idx="92">
                  <c:v>176.42064602729249</c:v>
                </c:pt>
                <c:pt idx="93">
                  <c:v>156.26979304677693</c:v>
                </c:pt>
                <c:pt idx="94">
                  <c:v>124.24507383145219</c:v>
                </c:pt>
                <c:pt idx="95">
                  <c:v>59.921502118198134</c:v>
                </c:pt>
                <c:pt idx="96">
                  <c:v>224.09776849374938</c:v>
                </c:pt>
                <c:pt idx="97">
                  <c:v>83.145946978307734</c:v>
                </c:pt>
                <c:pt idx="98">
                  <c:v>217.74006089398583</c:v>
                </c:pt>
                <c:pt idx="99">
                  <c:v>249.69654249289982</c:v>
                </c:pt>
                <c:pt idx="100">
                  <c:v>114.82594635737827</c:v>
                </c:pt>
                <c:pt idx="101">
                  <c:v>117.69640419211466</c:v>
                </c:pt>
                <c:pt idx="102">
                  <c:v>125.43619833033547</c:v>
                </c:pt>
                <c:pt idx="103">
                  <c:v>64.812201307215929</c:v>
                </c:pt>
                <c:pt idx="104">
                  <c:v>92.748546144106754</c:v>
                </c:pt>
              </c:numCache>
            </c:numRef>
          </c:xVal>
          <c:yVal>
            <c:numRef>
              <c:f>'Por-Perm-Logs'!$C$16:$C$120</c:f>
              <c:numCache>
                <c:formatCode>0.00</c:formatCode>
                <c:ptCount val="10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10-4543-A799-B623F91E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  <c:max val="800"/>
          <c:min val="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Permeability (mD)</a:t>
                </a:r>
              </a:p>
            </c:rich>
          </c:tx>
          <c:layout>
            <c:manualLayout>
              <c:xMode val="edge"/>
              <c:yMode val="edge"/>
              <c:x val="0.36045871189178275"/>
              <c:y val="0.95094986010789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27"/>
        <c:crossBetween val="midCat"/>
        <c:majorUnit val="200"/>
      </c:valAx>
      <c:valAx>
        <c:axId val="465982104"/>
        <c:scaling>
          <c:orientation val="maxMin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  <c:majorUnit val="3"/>
      </c:valAx>
      <c:spPr>
        <a:ln>
          <a:solidFill>
            <a:schemeClr val="tx1"/>
          </a:solidFill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Porosity 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'Por-Perm-Logs'!$AE$17:$AP$17</c:f>
              <c:numCache>
                <c:formatCode>0.00</c:formatCode>
                <c:ptCount val="12"/>
                <c:pt idx="0" formatCode="0.0">
                  <c:v>2.9053531677604205</c:v>
                </c:pt>
                <c:pt idx="1">
                  <c:v>3.752006470821021</c:v>
                </c:pt>
                <c:pt idx="2">
                  <c:v>5.445313076942222</c:v>
                </c:pt>
                <c:pt idx="3">
                  <c:v>7.138619683063423</c:v>
                </c:pt>
                <c:pt idx="4">
                  <c:v>8.831926289184624</c:v>
                </c:pt>
                <c:pt idx="5">
                  <c:v>10.525232895305825</c:v>
                </c:pt>
                <c:pt idx="6">
                  <c:v>12.218539501427026</c:v>
                </c:pt>
                <c:pt idx="7">
                  <c:v>13.911846107548227</c:v>
                </c:pt>
                <c:pt idx="8">
                  <c:v>15.605152713669428</c:v>
                </c:pt>
                <c:pt idx="9">
                  <c:v>17.298459319790627</c:v>
                </c:pt>
                <c:pt idx="10">
                  <c:v>18.991765925911828</c:v>
                </c:pt>
                <c:pt idx="11" formatCode="0.0">
                  <c:v>19.838419228972427</c:v>
                </c:pt>
              </c:numCache>
            </c:numRef>
          </c:xVal>
          <c:yVal>
            <c:numRef>
              <c:f>'Por-Perm-Logs'!$AE$18:$AP$18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1.9047619047619049E-2</c:v>
                </c:pt>
                <c:pt idx="2">
                  <c:v>7.6009070294784584E-2</c:v>
                </c:pt>
                <c:pt idx="3">
                  <c:v>3.8276643990929698E-2</c:v>
                </c:pt>
                <c:pt idx="4">
                  <c:v>0.13333333333333333</c:v>
                </c:pt>
                <c:pt idx="5">
                  <c:v>0.17142857142857143</c:v>
                </c:pt>
                <c:pt idx="6">
                  <c:v>0.19999999999999996</c:v>
                </c:pt>
                <c:pt idx="7">
                  <c:v>0.11428571428571432</c:v>
                </c:pt>
                <c:pt idx="8">
                  <c:v>0.1333333333333333</c:v>
                </c:pt>
                <c:pt idx="9">
                  <c:v>7.6190476190476253E-2</c:v>
                </c:pt>
                <c:pt idx="10">
                  <c:v>2.8571428571428581E-2</c:v>
                </c:pt>
                <c:pt idx="11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86-4B13-BEBF-F85BE2B03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Porosity</a:t>
                </a:r>
                <a:r>
                  <a:rPr lang="en-US" sz="1200" baseline="0"/>
                  <a:t> (%)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Permeability 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'Por-Perm-Logs'!$AE$39:$AP$39</c:f>
              <c:numCache>
                <c:formatCode>0.00</c:formatCode>
                <c:ptCount val="12"/>
                <c:pt idx="0" formatCode="0.0">
                  <c:v>57.321759868278036</c:v>
                </c:pt>
                <c:pt idx="1">
                  <c:v>86.364672892887015</c:v>
                </c:pt>
                <c:pt idx="2">
                  <c:v>144.45049894210496</c:v>
                </c:pt>
                <c:pt idx="3">
                  <c:v>202.53632499132294</c:v>
                </c:pt>
                <c:pt idx="4">
                  <c:v>260.62215104054087</c:v>
                </c:pt>
                <c:pt idx="5">
                  <c:v>318.70797708975886</c:v>
                </c:pt>
                <c:pt idx="6">
                  <c:v>376.79380313897673</c:v>
                </c:pt>
                <c:pt idx="7">
                  <c:v>434.87962918819471</c:v>
                </c:pt>
                <c:pt idx="8">
                  <c:v>492.96545523741258</c:v>
                </c:pt>
                <c:pt idx="9">
                  <c:v>551.05128128663057</c:v>
                </c:pt>
                <c:pt idx="10">
                  <c:v>609.13710733584855</c:v>
                </c:pt>
                <c:pt idx="11" formatCode="0.0">
                  <c:v>638.18002036045755</c:v>
                </c:pt>
              </c:numCache>
            </c:numRef>
          </c:xVal>
          <c:yVal>
            <c:numRef>
              <c:f>'Por-Perm-Logs'!$AE$40:$AP$40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0.31428571428571428</c:v>
                </c:pt>
                <c:pt idx="2">
                  <c:v>0.59700680272108841</c:v>
                </c:pt>
                <c:pt idx="3">
                  <c:v>-0.13034013605442174</c:v>
                </c:pt>
                <c:pt idx="4">
                  <c:v>0.11428571428571432</c:v>
                </c:pt>
                <c:pt idx="5">
                  <c:v>5.7142857142857051E-2</c:v>
                </c:pt>
                <c:pt idx="6">
                  <c:v>2.8571428571428581E-2</c:v>
                </c:pt>
                <c:pt idx="7">
                  <c:v>9.523809523809601E-3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8-48D9-A675-703F99DA1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Permeability</a:t>
                </a:r>
                <a:r>
                  <a:rPr lang="en-US" sz="1200" baseline="0"/>
                  <a:t> (mD)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Porosity Cumulative</a:t>
            </a:r>
            <a:r>
              <a:rPr lang="en-US" baseline="0"/>
              <a:t> D</a:t>
            </a:r>
            <a:r>
              <a:rPr lang="en-US"/>
              <a:t>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'Por-Perm-Logs'!$AE$17:$AP$17</c:f>
              <c:numCache>
                <c:formatCode>0.00</c:formatCode>
                <c:ptCount val="12"/>
                <c:pt idx="0" formatCode="0.0">
                  <c:v>2.9053531677604205</c:v>
                </c:pt>
                <c:pt idx="1">
                  <c:v>3.752006470821021</c:v>
                </c:pt>
                <c:pt idx="2">
                  <c:v>5.445313076942222</c:v>
                </c:pt>
                <c:pt idx="3">
                  <c:v>7.138619683063423</c:v>
                </c:pt>
                <c:pt idx="4">
                  <c:v>8.831926289184624</c:v>
                </c:pt>
                <c:pt idx="5">
                  <c:v>10.525232895305825</c:v>
                </c:pt>
                <c:pt idx="6">
                  <c:v>12.218539501427026</c:v>
                </c:pt>
                <c:pt idx="7">
                  <c:v>13.911846107548227</c:v>
                </c:pt>
                <c:pt idx="8">
                  <c:v>15.605152713669428</c:v>
                </c:pt>
                <c:pt idx="9">
                  <c:v>17.298459319790627</c:v>
                </c:pt>
                <c:pt idx="10">
                  <c:v>18.991765925911828</c:v>
                </c:pt>
                <c:pt idx="11" formatCode="0.0">
                  <c:v>19.838419228972427</c:v>
                </c:pt>
              </c:numCache>
            </c:numRef>
          </c:xVal>
          <c:yVal>
            <c:numRef>
              <c:f>'Por-Perm-Logs'!$AE$19:$AP$19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1.9047619047619049E-2</c:v>
                </c:pt>
                <c:pt idx="2">
                  <c:v>9.5056689342403633E-2</c:v>
                </c:pt>
                <c:pt idx="3">
                  <c:v>0.13333333333333333</c:v>
                </c:pt>
                <c:pt idx="4">
                  <c:v>0.26666666666666666</c:v>
                </c:pt>
                <c:pt idx="5">
                  <c:v>0.43809523809523809</c:v>
                </c:pt>
                <c:pt idx="6">
                  <c:v>0.63809523809523805</c:v>
                </c:pt>
                <c:pt idx="7">
                  <c:v>0.75238095238095237</c:v>
                </c:pt>
                <c:pt idx="8">
                  <c:v>0.88571428571428568</c:v>
                </c:pt>
                <c:pt idx="9">
                  <c:v>0.96190476190476193</c:v>
                </c:pt>
                <c:pt idx="10">
                  <c:v>0.99047619047619051</c:v>
                </c:pt>
                <c:pt idx="11">
                  <c:v>0.99047619047619051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C7-404A-973B-8315D28B7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Porosity</a:t>
                </a:r>
                <a:r>
                  <a:rPr lang="en-US" sz="1200" baseline="0"/>
                  <a:t> (%)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Permeability 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'Por-Perm-Logs'!$AE$39:$AP$39</c:f>
              <c:numCache>
                <c:formatCode>0.00</c:formatCode>
                <c:ptCount val="12"/>
                <c:pt idx="0" formatCode="0.0">
                  <c:v>57.321759868278036</c:v>
                </c:pt>
                <c:pt idx="1">
                  <c:v>86.364672892887015</c:v>
                </c:pt>
                <c:pt idx="2">
                  <c:v>144.45049894210496</c:v>
                </c:pt>
                <c:pt idx="3">
                  <c:v>202.53632499132294</c:v>
                </c:pt>
                <c:pt idx="4">
                  <c:v>260.62215104054087</c:v>
                </c:pt>
                <c:pt idx="5">
                  <c:v>318.70797708975886</c:v>
                </c:pt>
                <c:pt idx="6">
                  <c:v>376.79380313897673</c:v>
                </c:pt>
                <c:pt idx="7">
                  <c:v>434.87962918819471</c:v>
                </c:pt>
                <c:pt idx="8">
                  <c:v>492.96545523741258</c:v>
                </c:pt>
                <c:pt idx="9">
                  <c:v>551.05128128663057</c:v>
                </c:pt>
                <c:pt idx="10">
                  <c:v>609.13710733584855</c:v>
                </c:pt>
                <c:pt idx="11" formatCode="0.0">
                  <c:v>638.18002036045755</c:v>
                </c:pt>
              </c:numCache>
            </c:numRef>
          </c:xVal>
          <c:yVal>
            <c:numRef>
              <c:f>'Por-Perm-Logs'!$AE$41:$AP$41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0.31428571428571428</c:v>
                </c:pt>
                <c:pt idx="2">
                  <c:v>0.91129251700680269</c:v>
                </c:pt>
                <c:pt idx="3">
                  <c:v>0.78095238095238095</c:v>
                </c:pt>
                <c:pt idx="4">
                  <c:v>0.89523809523809528</c:v>
                </c:pt>
                <c:pt idx="5">
                  <c:v>0.95238095238095233</c:v>
                </c:pt>
                <c:pt idx="6">
                  <c:v>0.98095238095238091</c:v>
                </c:pt>
                <c:pt idx="7">
                  <c:v>0.99047619047619051</c:v>
                </c:pt>
                <c:pt idx="8">
                  <c:v>0.99047619047619051</c:v>
                </c:pt>
                <c:pt idx="9">
                  <c:v>0.99047619047619051</c:v>
                </c:pt>
                <c:pt idx="10">
                  <c:v>0.99047619047619051</c:v>
                </c:pt>
                <c:pt idx="11">
                  <c:v>0.99047619047619051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97-4F21-84CA-B2A33A5DA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Permeability</a:t>
                </a:r>
                <a:r>
                  <a:rPr lang="en-US" sz="1200" baseline="0"/>
                  <a:t> (mD)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Lorenz</a:t>
            </a:r>
            <a:r>
              <a:rPr lang="en-US" baseline="0"/>
              <a:t>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dash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layout>
                <c:manualLayout>
                  <c:x val="-1.2676335166133489E-2"/>
                  <c:y val="0.4557354221061792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Model of Lorenz Curve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0.369x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- 1.0999x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+ 1.743x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Lorenz!$V$10:$V$114</c:f>
              <c:numCache>
                <c:formatCode>0.0%</c:formatCode>
                <c:ptCount val="105"/>
                <c:pt idx="0">
                  <c:v>1.4029711873790728E-2</c:v>
                </c:pt>
                <c:pt idx="1">
                  <c:v>2.1547378802261284E-2</c:v>
                </c:pt>
                <c:pt idx="2">
                  <c:v>3.0517414882903618E-2</c:v>
                </c:pt>
                <c:pt idx="3">
                  <c:v>3.7775945900815372E-2</c:v>
                </c:pt>
                <c:pt idx="4">
                  <c:v>5.1792726754060707E-2</c:v>
                </c:pt>
                <c:pt idx="5">
                  <c:v>5.9139203543237685E-2</c:v>
                </c:pt>
                <c:pt idx="6">
                  <c:v>6.9737155783466356E-2</c:v>
                </c:pt>
                <c:pt idx="7">
                  <c:v>8.1261228711346403E-2</c:v>
                </c:pt>
                <c:pt idx="8">
                  <c:v>8.8294136504139517E-2</c:v>
                </c:pt>
                <c:pt idx="9">
                  <c:v>9.6884065441708953E-2</c:v>
                </c:pt>
                <c:pt idx="10">
                  <c:v>0.10777386239044706</c:v>
                </c:pt>
                <c:pt idx="11">
                  <c:v>0.11684476681031236</c:v>
                </c:pt>
                <c:pt idx="12">
                  <c:v>0.13062374114189254</c:v>
                </c:pt>
                <c:pt idx="13">
                  <c:v>0.13618841722762207</c:v>
                </c:pt>
                <c:pt idx="14">
                  <c:v>0.14761708286459968</c:v>
                </c:pt>
                <c:pt idx="15">
                  <c:v>0.15827919688033085</c:v>
                </c:pt>
                <c:pt idx="16">
                  <c:v>0.16470616088132009</c:v>
                </c:pt>
                <c:pt idx="17">
                  <c:v>0.1729489523843189</c:v>
                </c:pt>
                <c:pt idx="18">
                  <c:v>0.18124453076274066</c:v>
                </c:pt>
                <c:pt idx="19">
                  <c:v>0.18906240025630858</c:v>
                </c:pt>
                <c:pt idx="20">
                  <c:v>0.20194104194087781</c:v>
                </c:pt>
                <c:pt idx="21">
                  <c:v>0.21643301309393151</c:v>
                </c:pt>
                <c:pt idx="22">
                  <c:v>0.22612075322836528</c:v>
                </c:pt>
                <c:pt idx="23">
                  <c:v>0.23269495263537862</c:v>
                </c:pt>
                <c:pt idx="24">
                  <c:v>0.24499484123174922</c:v>
                </c:pt>
                <c:pt idx="25">
                  <c:v>0.25612493907497397</c:v>
                </c:pt>
                <c:pt idx="26">
                  <c:v>0.27039863746065262</c:v>
                </c:pt>
                <c:pt idx="27">
                  <c:v>0.27766199333801095</c:v>
                </c:pt>
                <c:pt idx="28">
                  <c:v>0.28848924151982269</c:v>
                </c:pt>
                <c:pt idx="29">
                  <c:v>0.29621196834551022</c:v>
                </c:pt>
                <c:pt idx="30">
                  <c:v>0.30582160407595649</c:v>
                </c:pt>
                <c:pt idx="31">
                  <c:v>0.3126373809095962</c:v>
                </c:pt>
                <c:pt idx="32">
                  <c:v>0.32001966724065117</c:v>
                </c:pt>
                <c:pt idx="33">
                  <c:v>0.33281724510286298</c:v>
                </c:pt>
                <c:pt idx="34">
                  <c:v>0.3450397214032182</c:v>
                </c:pt>
                <c:pt idx="35">
                  <c:v>0.35234987627607162</c:v>
                </c:pt>
                <c:pt idx="36">
                  <c:v>0.3570613453101365</c:v>
                </c:pt>
                <c:pt idx="37">
                  <c:v>0.36729875364804665</c:v>
                </c:pt>
                <c:pt idx="38">
                  <c:v>0.37471800740639949</c:v>
                </c:pt>
                <c:pt idx="39">
                  <c:v>0.38758815798926427</c:v>
                </c:pt>
                <c:pt idx="40">
                  <c:v>0.39093811745507795</c:v>
                </c:pt>
                <c:pt idx="41">
                  <c:v>0.396766495330168</c:v>
                </c:pt>
                <c:pt idx="42">
                  <c:v>0.40602944311699213</c:v>
                </c:pt>
                <c:pt idx="43">
                  <c:v>0.41380354949836839</c:v>
                </c:pt>
                <c:pt idx="44">
                  <c:v>0.41997279312590502</c:v>
                </c:pt>
                <c:pt idx="45">
                  <c:v>0.42765958648200797</c:v>
                </c:pt>
                <c:pt idx="46">
                  <c:v>0.4327121078440051</c:v>
                </c:pt>
                <c:pt idx="47">
                  <c:v>0.44856312283036981</c:v>
                </c:pt>
                <c:pt idx="48">
                  <c:v>0.45973647712974347</c:v>
                </c:pt>
                <c:pt idx="49">
                  <c:v>0.46555753906331931</c:v>
                </c:pt>
                <c:pt idx="50">
                  <c:v>0.47763720946059274</c:v>
                </c:pt>
                <c:pt idx="51">
                  <c:v>0.48781609714915236</c:v>
                </c:pt>
                <c:pt idx="52">
                  <c:v>0.49631842998095671</c:v>
                </c:pt>
                <c:pt idx="53">
                  <c:v>0.5076083336074535</c:v>
                </c:pt>
                <c:pt idx="54">
                  <c:v>0.52019870013961034</c:v>
                </c:pt>
                <c:pt idx="55">
                  <c:v>0.52976194124357801</c:v>
                </c:pt>
                <c:pt idx="56">
                  <c:v>0.53936027105185502</c:v>
                </c:pt>
                <c:pt idx="57">
                  <c:v>0.55325947560080146</c:v>
                </c:pt>
                <c:pt idx="58">
                  <c:v>0.56764295005216237</c:v>
                </c:pt>
                <c:pt idx="59">
                  <c:v>0.58146863453034481</c:v>
                </c:pt>
                <c:pt idx="60">
                  <c:v>0.58506131988242138</c:v>
                </c:pt>
                <c:pt idx="61">
                  <c:v>0.59467058214312851</c:v>
                </c:pt>
                <c:pt idx="62">
                  <c:v>0.60493563438170928</c:v>
                </c:pt>
                <c:pt idx="63">
                  <c:v>0.61081795345880141</c:v>
                </c:pt>
                <c:pt idx="64">
                  <c:v>0.62049565165544307</c:v>
                </c:pt>
                <c:pt idx="65">
                  <c:v>0.62870893365500546</c:v>
                </c:pt>
                <c:pt idx="66">
                  <c:v>0.64376606941615389</c:v>
                </c:pt>
                <c:pt idx="67">
                  <c:v>0.65333302882012612</c:v>
                </c:pt>
                <c:pt idx="68">
                  <c:v>0.66484424073099313</c:v>
                </c:pt>
                <c:pt idx="69">
                  <c:v>0.6745250889216895</c:v>
                </c:pt>
                <c:pt idx="70">
                  <c:v>0.68371400352069978</c:v>
                </c:pt>
                <c:pt idx="71">
                  <c:v>0.69445406822557054</c:v>
                </c:pt>
                <c:pt idx="72">
                  <c:v>0.70314622310837727</c:v>
                </c:pt>
                <c:pt idx="73">
                  <c:v>0.71127581689112551</c:v>
                </c:pt>
                <c:pt idx="74">
                  <c:v>0.72381347338677426</c:v>
                </c:pt>
                <c:pt idx="75">
                  <c:v>0.72813270727526191</c:v>
                </c:pt>
                <c:pt idx="76">
                  <c:v>0.7412163887296912</c:v>
                </c:pt>
                <c:pt idx="77">
                  <c:v>0.74772584839442746</c:v>
                </c:pt>
                <c:pt idx="78">
                  <c:v>0.75582091931440321</c:v>
                </c:pt>
                <c:pt idx="79">
                  <c:v>0.76591460042868997</c:v>
                </c:pt>
                <c:pt idx="80">
                  <c:v>0.77913412657398651</c:v>
                </c:pt>
                <c:pt idx="81">
                  <c:v>0.79211169952391658</c:v>
                </c:pt>
                <c:pt idx="82">
                  <c:v>0.79875693431617001</c:v>
                </c:pt>
                <c:pt idx="83">
                  <c:v>0.80969406661127519</c:v>
                </c:pt>
                <c:pt idx="84">
                  <c:v>0.81747194227950304</c:v>
                </c:pt>
                <c:pt idx="85">
                  <c:v>0.82895133502353036</c:v>
                </c:pt>
                <c:pt idx="86">
                  <c:v>0.83879824542296666</c:v>
                </c:pt>
                <c:pt idx="87">
                  <c:v>0.84749165124693726</c:v>
                </c:pt>
                <c:pt idx="88">
                  <c:v>0.85499489179396693</c:v>
                </c:pt>
                <c:pt idx="89">
                  <c:v>0.86607763362256462</c:v>
                </c:pt>
                <c:pt idx="90">
                  <c:v>0.87343147291687862</c:v>
                </c:pt>
                <c:pt idx="91">
                  <c:v>0.88699968166320486</c:v>
                </c:pt>
                <c:pt idx="92">
                  <c:v>0.89875378692336449</c:v>
                </c:pt>
                <c:pt idx="93">
                  <c:v>0.90907498092321037</c:v>
                </c:pt>
                <c:pt idx="94">
                  <c:v>0.91725301497451373</c:v>
                </c:pt>
                <c:pt idx="95">
                  <c:v>0.92615215799116291</c:v>
                </c:pt>
                <c:pt idx="96">
                  <c:v>0.93351464529134331</c:v>
                </c:pt>
                <c:pt idx="97">
                  <c:v>0.94282691287776954</c:v>
                </c:pt>
                <c:pt idx="98">
                  <c:v>0.95366359704371362</c:v>
                </c:pt>
                <c:pt idx="99">
                  <c:v>0.96092399525368377</c:v>
                </c:pt>
                <c:pt idx="100">
                  <c:v>0.96841383799871328</c:v>
                </c:pt>
                <c:pt idx="101">
                  <c:v>0.97679042637281632</c:v>
                </c:pt>
                <c:pt idx="102">
                  <c:v>0.98418557533294027</c:v>
                </c:pt>
                <c:pt idx="103">
                  <c:v>0.99350355315884131</c:v>
                </c:pt>
                <c:pt idx="104">
                  <c:v>0.99999999999999967</c:v>
                </c:pt>
              </c:numCache>
            </c:numRef>
          </c:xVal>
          <c:yVal>
            <c:numRef>
              <c:f>Lorenz!$W$10:$W$114</c:f>
              <c:numCache>
                <c:formatCode>0.0%</c:formatCode>
                <c:ptCount val="105"/>
                <c:pt idx="0">
                  <c:v>3.3920729184941614E-2</c:v>
                </c:pt>
                <c:pt idx="1">
                  <c:v>4.9506729721490443E-2</c:v>
                </c:pt>
                <c:pt idx="2">
                  <c:v>6.7555541946477712E-2</c:v>
                </c:pt>
                <c:pt idx="3">
                  <c:v>8.1991772407746202E-2</c:v>
                </c:pt>
                <c:pt idx="4">
                  <c:v>0.1044743300224554</c:v>
                </c:pt>
                <c:pt idx="5">
                  <c:v>0.11617278270244163</c:v>
                </c:pt>
                <c:pt idx="6">
                  <c:v>0.13187902000532348</c:v>
                </c:pt>
                <c:pt idx="7">
                  <c:v>0.1487571477595484</c:v>
                </c:pt>
                <c:pt idx="8">
                  <c:v>0.15889436759692208</c:v>
                </c:pt>
                <c:pt idx="9">
                  <c:v>0.17102572253996731</c:v>
                </c:pt>
                <c:pt idx="10">
                  <c:v>0.18631917794250061</c:v>
                </c:pt>
                <c:pt idx="11">
                  <c:v>0.19903187517730989</c:v>
                </c:pt>
                <c:pt idx="12">
                  <c:v>0.21802296221594314</c:v>
                </c:pt>
                <c:pt idx="13">
                  <c:v>0.22565658584224974</c:v>
                </c:pt>
                <c:pt idx="14">
                  <c:v>0.24128392564147144</c:v>
                </c:pt>
                <c:pt idx="15">
                  <c:v>0.25551325737411723</c:v>
                </c:pt>
                <c:pt idx="16">
                  <c:v>0.2640504826915942</c:v>
                </c:pt>
                <c:pt idx="17">
                  <c:v>0.27487879282689814</c:v>
                </c:pt>
                <c:pt idx="18">
                  <c:v>0.28568027846748528</c:v>
                </c:pt>
                <c:pt idx="19">
                  <c:v>0.29576510776671422</c:v>
                </c:pt>
                <c:pt idx="20">
                  <c:v>0.31231780851506474</c:v>
                </c:pt>
                <c:pt idx="21">
                  <c:v>0.33075141303170991</c:v>
                </c:pt>
                <c:pt idx="22">
                  <c:v>0.3429787559923711</c:v>
                </c:pt>
                <c:pt idx="23">
                  <c:v>0.35118987255617939</c:v>
                </c:pt>
                <c:pt idx="24">
                  <c:v>0.36641811218283482</c:v>
                </c:pt>
                <c:pt idx="25">
                  <c:v>0.37968982173938098</c:v>
                </c:pt>
                <c:pt idx="26">
                  <c:v>0.39665219048479022</c:v>
                </c:pt>
                <c:pt idx="27">
                  <c:v>0.40521237490613521</c:v>
                </c:pt>
                <c:pt idx="28">
                  <c:v>0.41787582556265629</c:v>
                </c:pt>
                <c:pt idx="29">
                  <c:v>0.42684009365189873</c:v>
                </c:pt>
                <c:pt idx="30">
                  <c:v>0.43795481665717118</c:v>
                </c:pt>
                <c:pt idx="31">
                  <c:v>0.44580457085526048</c:v>
                </c:pt>
                <c:pt idx="32">
                  <c:v>0.45430225913543426</c:v>
                </c:pt>
                <c:pt idx="33">
                  <c:v>0.46883404288371833</c:v>
                </c:pt>
                <c:pt idx="34">
                  <c:v>0.4827036255204013</c:v>
                </c:pt>
                <c:pt idx="35">
                  <c:v>0.49080255402333173</c:v>
                </c:pt>
                <c:pt idx="36">
                  <c:v>0.49593620884780737</c:v>
                </c:pt>
                <c:pt idx="37">
                  <c:v>0.50686707215361559</c:v>
                </c:pt>
                <c:pt idx="38">
                  <c:v>0.51468061445916868</c:v>
                </c:pt>
                <c:pt idx="39">
                  <c:v>0.52813223845425439</c:v>
                </c:pt>
                <c:pt idx="40">
                  <c:v>0.53162813105149342</c:v>
                </c:pt>
                <c:pt idx="41">
                  <c:v>0.53770361814454448</c:v>
                </c:pt>
                <c:pt idx="42">
                  <c:v>0.5472294631284953</c:v>
                </c:pt>
                <c:pt idx="43">
                  <c:v>0.55519938722724271</c:v>
                </c:pt>
                <c:pt idx="44">
                  <c:v>0.56149031055371312</c:v>
                </c:pt>
                <c:pt idx="45">
                  <c:v>0.56927420765048786</c:v>
                </c:pt>
                <c:pt idx="46">
                  <c:v>0.57429461714591379</c:v>
                </c:pt>
                <c:pt idx="47">
                  <c:v>0.58957887819897348</c:v>
                </c:pt>
                <c:pt idx="48">
                  <c:v>0.60021011251871814</c:v>
                </c:pt>
                <c:pt idx="49">
                  <c:v>0.60569209328330775</c:v>
                </c:pt>
                <c:pt idx="50">
                  <c:v>0.61698509196547158</c:v>
                </c:pt>
                <c:pt idx="51">
                  <c:v>0.6264802025624111</c:v>
                </c:pt>
                <c:pt idx="52">
                  <c:v>0.63435655515331679</c:v>
                </c:pt>
                <c:pt idx="53">
                  <c:v>0.64479261674187649</c:v>
                </c:pt>
                <c:pt idx="54">
                  <c:v>0.65621169600648854</c:v>
                </c:pt>
                <c:pt idx="55">
                  <c:v>0.66484995230182509</c:v>
                </c:pt>
                <c:pt idx="56">
                  <c:v>0.67346153812450915</c:v>
                </c:pt>
                <c:pt idx="57">
                  <c:v>0.68592764779998805</c:v>
                </c:pt>
                <c:pt idx="58">
                  <c:v>0.69874377054072834</c:v>
                </c:pt>
                <c:pt idx="59">
                  <c:v>0.71096190313675356</c:v>
                </c:pt>
                <c:pt idx="60">
                  <c:v>0.71412084150408939</c:v>
                </c:pt>
                <c:pt idx="61">
                  <c:v>0.72250933150211361</c:v>
                </c:pt>
                <c:pt idx="62">
                  <c:v>0.73143839771020414</c:v>
                </c:pt>
                <c:pt idx="63">
                  <c:v>0.73646770492366387</c:v>
                </c:pt>
                <c:pt idx="64">
                  <c:v>0.74467757884721553</c:v>
                </c:pt>
                <c:pt idx="65">
                  <c:v>0.75163533338052801</c:v>
                </c:pt>
                <c:pt idx="66">
                  <c:v>0.7642784827167709</c:v>
                </c:pt>
                <c:pt idx="67">
                  <c:v>0.77231019634214326</c:v>
                </c:pt>
                <c:pt idx="68">
                  <c:v>0.78194554844136333</c:v>
                </c:pt>
                <c:pt idx="69">
                  <c:v>0.78979469420001247</c:v>
                </c:pt>
                <c:pt idx="70">
                  <c:v>0.79724228024512256</c:v>
                </c:pt>
                <c:pt idx="71">
                  <c:v>0.80578286730546633</c:v>
                </c:pt>
                <c:pt idx="72">
                  <c:v>0.81267896050941435</c:v>
                </c:pt>
                <c:pt idx="73">
                  <c:v>0.81910250190305611</c:v>
                </c:pt>
                <c:pt idx="74">
                  <c:v>0.82897403591604857</c:v>
                </c:pt>
                <c:pt idx="75">
                  <c:v>0.83230588561696139</c:v>
                </c:pt>
                <c:pt idx="76">
                  <c:v>0.84226815260670063</c:v>
                </c:pt>
                <c:pt idx="77">
                  <c:v>0.84719316113071885</c:v>
                </c:pt>
                <c:pt idx="78">
                  <c:v>0.85331502811950244</c:v>
                </c:pt>
                <c:pt idx="79">
                  <c:v>0.86093857190858558</c:v>
                </c:pt>
                <c:pt idx="80">
                  <c:v>0.87054145115588932</c:v>
                </c:pt>
                <c:pt idx="81">
                  <c:v>0.87977390884426776</c:v>
                </c:pt>
                <c:pt idx="82">
                  <c:v>0.88437337212059741</c:v>
                </c:pt>
                <c:pt idx="83">
                  <c:v>0.8918419354954652</c:v>
                </c:pt>
                <c:pt idx="84">
                  <c:v>0.89714405250396279</c:v>
                </c:pt>
                <c:pt idx="85">
                  <c:v>0.90495147739492043</c:v>
                </c:pt>
                <c:pt idx="86">
                  <c:v>0.91159251654843898</c:v>
                </c:pt>
                <c:pt idx="87">
                  <c:v>0.91737106446740202</c:v>
                </c:pt>
                <c:pt idx="88">
                  <c:v>0.92233347824197143</c:v>
                </c:pt>
                <c:pt idx="89">
                  <c:v>0.92924768743520458</c:v>
                </c:pt>
                <c:pt idx="90">
                  <c:v>0.93383398017172747</c:v>
                </c:pt>
                <c:pt idx="91">
                  <c:v>0.94227320773101664</c:v>
                </c:pt>
                <c:pt idx="92">
                  <c:v>0.94956806669702642</c:v>
                </c:pt>
                <c:pt idx="93">
                  <c:v>0.95571848469538934</c:v>
                </c:pt>
                <c:pt idx="94">
                  <c:v>0.96047698159173445</c:v>
                </c:pt>
                <c:pt idx="95">
                  <c:v>0.96548454191824962</c:v>
                </c:pt>
                <c:pt idx="96">
                  <c:v>0.9694429875206293</c:v>
                </c:pt>
                <c:pt idx="97">
                  <c:v>0.97413983904315804</c:v>
                </c:pt>
                <c:pt idx="98">
                  <c:v>0.97958566077018727</c:v>
                </c:pt>
                <c:pt idx="99">
                  <c:v>0.98319343001465365</c:v>
                </c:pt>
                <c:pt idx="100">
                  <c:v>0.98667216970123373</c:v>
                </c:pt>
                <c:pt idx="101">
                  <c:v>0.99033456856296542</c:v>
                </c:pt>
                <c:pt idx="102">
                  <c:v>0.99354753445540456</c:v>
                </c:pt>
                <c:pt idx="103">
                  <c:v>0.9974249203600527</c:v>
                </c:pt>
                <c:pt idx="10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13-4EEF-9094-105B5E20A0AF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Lorenz!$Y$32:$Y$33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Lorenz!$Z$32:$Z$33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13-4EEF-9094-105B5E20A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936992"/>
        <c:axId val="745517136"/>
      </c:scatterChart>
      <c:valAx>
        <c:axId val="6129369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Storage Capacity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517136"/>
        <c:crosses val="autoZero"/>
        <c:crossBetween val="midCat"/>
        <c:majorUnit val="0.1"/>
        <c:minorUnit val="2.5000000000000005E-2"/>
      </c:valAx>
      <c:valAx>
        <c:axId val="745517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Flow Capacity (mD</a:t>
                </a:r>
                <a:r>
                  <a:rPr lang="en-US" baseline="0"/>
                  <a:t> 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36992"/>
        <c:crosses val="autoZero"/>
        <c:crossBetween val="midCat"/>
        <c:minorUnit val="2.5000000000000005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13</xdr:row>
      <xdr:rowOff>9524</xdr:rowOff>
    </xdr:from>
    <xdr:to>
      <xdr:col>26</xdr:col>
      <xdr:colOff>284162</xdr:colOff>
      <xdr:row>30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600075</xdr:colOff>
      <xdr:row>31</xdr:row>
      <xdr:rowOff>9525</xdr:rowOff>
    </xdr:from>
    <xdr:to>
      <xdr:col>26</xdr:col>
      <xdr:colOff>274637</xdr:colOff>
      <xdr:row>48</xdr:row>
      <xdr:rowOff>123826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428625</xdr:colOff>
      <xdr:row>12</xdr:row>
      <xdr:rowOff>161925</xdr:rowOff>
    </xdr:from>
    <xdr:to>
      <xdr:col>17</xdr:col>
      <xdr:colOff>704850</xdr:colOff>
      <xdr:row>48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12</xdr:row>
      <xdr:rowOff>161925</xdr:rowOff>
    </xdr:from>
    <xdr:to>
      <xdr:col>20</xdr:col>
      <xdr:colOff>276225</xdr:colOff>
      <xdr:row>48</xdr:row>
      <xdr:rowOff>123824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561577</xdr:colOff>
      <xdr:row>19</xdr:row>
      <xdr:rowOff>128587</xdr:rowOff>
    </xdr:from>
    <xdr:to>
      <xdr:col>35</xdr:col>
      <xdr:colOff>17586</xdr:colOff>
      <xdr:row>35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19845</xdr:colOff>
      <xdr:row>42</xdr:row>
      <xdr:rowOff>75406</xdr:rowOff>
    </xdr:from>
    <xdr:to>
      <xdr:col>35</xdr:col>
      <xdr:colOff>32787</xdr:colOff>
      <xdr:row>57</xdr:row>
      <xdr:rowOff>139056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111125</xdr:colOff>
      <xdr:row>19</xdr:row>
      <xdr:rowOff>127000</xdr:rowOff>
    </xdr:from>
    <xdr:to>
      <xdr:col>43</xdr:col>
      <xdr:colOff>408509</xdr:colOff>
      <xdr:row>35</xdr:row>
      <xdr:rowOff>30163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142875</xdr:colOff>
      <xdr:row>42</xdr:row>
      <xdr:rowOff>79375</xdr:rowOff>
    </xdr:from>
    <xdr:to>
      <xdr:col>43</xdr:col>
      <xdr:colOff>393942</xdr:colOff>
      <xdr:row>57</xdr:row>
      <xdr:rowOff>143025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409575</xdr:colOff>
      <xdr:row>23</xdr:row>
      <xdr:rowOff>57150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8582025" y="3314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24</xdr:col>
      <xdr:colOff>293915</xdr:colOff>
      <xdr:row>9</xdr:row>
      <xdr:rowOff>146956</xdr:rowOff>
    </xdr:from>
    <xdr:to>
      <xdr:col>27</xdr:col>
      <xdr:colOff>1427390</xdr:colOff>
      <xdr:row>28</xdr:row>
      <xdr:rowOff>175531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25</xdr:col>
      <xdr:colOff>439681</xdr:colOff>
      <xdr:row>18</xdr:row>
      <xdr:rowOff>136070</xdr:rowOff>
    </xdr:from>
    <xdr:ext cx="1382943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 rot="19469481">
          <a:off x="16550538" y="3850820"/>
          <a:ext cx="13829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Homogeneous Curve</a:t>
          </a:r>
        </a:p>
      </xdr:txBody>
    </xdr:sp>
    <xdr:clientData/>
  </xdr:oneCellAnchor>
  <xdr:twoCellAnchor editAs="oneCell">
    <xdr:from>
      <xdr:col>24</xdr:col>
      <xdr:colOff>225206</xdr:colOff>
      <xdr:row>40</xdr:row>
      <xdr:rowOff>93083</xdr:rowOff>
    </xdr:from>
    <xdr:to>
      <xdr:col>27</xdr:col>
      <xdr:colOff>1601843</xdr:colOff>
      <xdr:row>55</xdr:row>
      <xdr:rowOff>122464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80099" y="8080476"/>
          <a:ext cx="4832852" cy="28868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46"/>
  <sheetViews>
    <sheetView topLeftCell="A49" zoomScale="60" zoomScaleNormal="60" workbookViewId="0">
      <selection activeCell="C15" sqref="C15:C120"/>
    </sheetView>
  </sheetViews>
  <sheetFormatPr defaultRowHeight="15" x14ac:dyDescent="0.25"/>
  <cols>
    <col min="1" max="1" width="9.140625" style="1"/>
    <col min="2" max="3" width="9.140625" style="9"/>
    <col min="4" max="5" width="9.5703125" style="9" bestFit="1" customWidth="1"/>
    <col min="6" max="7" width="9.140625" style="9"/>
    <col min="8" max="8" width="11.7109375" style="9" customWidth="1"/>
    <col min="9" max="9" width="12.140625" style="9" customWidth="1"/>
    <col min="10" max="10" width="9.140625" style="9"/>
    <col min="12" max="12" width="9.140625" style="9"/>
    <col min="14" max="14" width="14.5703125" style="9" customWidth="1"/>
    <col min="15" max="15" width="16" customWidth="1"/>
    <col min="16" max="20" width="11.85546875" customWidth="1"/>
    <col min="21" max="29" width="9.140625" style="9"/>
    <col min="30" max="30" width="12.7109375" style="9" customWidth="1"/>
    <col min="31" max="31" width="9.140625" style="9"/>
    <col min="44" max="44" width="15.140625" customWidth="1"/>
    <col min="45" max="46" width="9.140625" style="1"/>
  </cols>
  <sheetData>
    <row r="1" spans="1:46" s="1" customFormat="1" ht="15.75" thickBot="1" x14ac:dyDescent="0.3"/>
    <row r="2" spans="1:46" s="1" customFormat="1" x14ac:dyDescent="0.25"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9"/>
    </row>
    <row r="3" spans="1:46" s="1" customFormat="1" ht="21" x14ac:dyDescent="0.35">
      <c r="B3" s="40"/>
      <c r="C3" s="60" t="s">
        <v>28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2"/>
    </row>
    <row r="4" spans="1:46" s="9" customFormat="1" x14ac:dyDescent="0.25">
      <c r="A4" s="1"/>
      <c r="B4" s="40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2"/>
      <c r="AS4" s="1"/>
      <c r="AT4" s="1"/>
    </row>
    <row r="5" spans="1:46" s="9" customFormat="1" ht="15.75" x14ac:dyDescent="0.25">
      <c r="A5" s="1"/>
      <c r="B5" s="40"/>
      <c r="C5" s="41"/>
      <c r="D5" s="41"/>
      <c r="E5" s="41"/>
      <c r="F5" s="41"/>
      <c r="G5" s="41"/>
      <c r="H5" s="41"/>
      <c r="I5" s="41"/>
      <c r="J5" s="136" t="s">
        <v>7</v>
      </c>
      <c r="K5" s="137"/>
      <c r="L5" s="136" t="s">
        <v>8</v>
      </c>
      <c r="M5" s="137"/>
      <c r="N5" s="41"/>
      <c r="O5" s="41"/>
      <c r="P5" s="41"/>
      <c r="Q5" s="57" t="s">
        <v>42</v>
      </c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2"/>
      <c r="AS5" s="1"/>
      <c r="AT5" s="1"/>
    </row>
    <row r="6" spans="1:46" s="9" customFormat="1" ht="15.75" thickBot="1" x14ac:dyDescent="0.3">
      <c r="A6" s="1"/>
      <c r="B6" s="40"/>
      <c r="C6" s="41"/>
      <c r="D6" s="41"/>
      <c r="E6" s="41"/>
      <c r="F6" s="134" t="s">
        <v>17</v>
      </c>
      <c r="G6" s="135"/>
      <c r="H6" s="134" t="s">
        <v>36</v>
      </c>
      <c r="I6" s="135"/>
      <c r="J6" s="134" t="s">
        <v>3</v>
      </c>
      <c r="K6" s="135"/>
      <c r="L6" s="134" t="s">
        <v>6</v>
      </c>
      <c r="M6" s="135"/>
      <c r="N6" s="134" t="s">
        <v>11</v>
      </c>
      <c r="O6" s="135"/>
      <c r="P6" s="43"/>
      <c r="Q6" s="43"/>
      <c r="R6" s="43"/>
      <c r="S6" s="43"/>
      <c r="T6" s="43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5"/>
      <c r="AS6" s="36"/>
      <c r="AT6" s="36"/>
    </row>
    <row r="7" spans="1:46" ht="15.75" x14ac:dyDescent="0.25">
      <c r="B7" s="40"/>
      <c r="C7" s="41"/>
      <c r="D7" s="41"/>
      <c r="E7" s="41"/>
      <c r="F7" s="46" t="s">
        <v>13</v>
      </c>
      <c r="G7" s="10">
        <f>MIN(F16:F120)</f>
        <v>0.35790785905071931</v>
      </c>
      <c r="H7" s="46" t="s">
        <v>13</v>
      </c>
      <c r="I7" s="10">
        <f>MIN(H16:H120)</f>
        <v>0</v>
      </c>
      <c r="J7" s="46" t="s">
        <v>1</v>
      </c>
      <c r="K7" s="2">
        <v>0</v>
      </c>
      <c r="L7" s="46" t="s">
        <v>1</v>
      </c>
      <c r="M7" s="5">
        <v>5</v>
      </c>
      <c r="N7" s="46" t="s">
        <v>1</v>
      </c>
      <c r="O7" s="7">
        <f ca="1">AVERAGE(N16:N120)</f>
        <v>11.969725672600729</v>
      </c>
      <c r="P7" s="12"/>
      <c r="Q7" s="57" t="s">
        <v>43</v>
      </c>
      <c r="R7" s="12"/>
      <c r="S7" s="12"/>
      <c r="T7" s="12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5"/>
      <c r="AS7" s="36"/>
      <c r="AT7" s="36"/>
    </row>
    <row r="8" spans="1:46" ht="16.5" thickBot="1" x14ac:dyDescent="0.3">
      <c r="B8" s="40"/>
      <c r="C8" s="41"/>
      <c r="D8" s="41"/>
      <c r="E8" s="41"/>
      <c r="F8" s="46" t="s">
        <v>14</v>
      </c>
      <c r="G8" s="11">
        <f>MAX(F16:F120)</f>
        <v>0.69854345469434143</v>
      </c>
      <c r="H8" s="46" t="s">
        <v>14</v>
      </c>
      <c r="I8" s="11">
        <f>MAX(H16:H120)</f>
        <v>1</v>
      </c>
      <c r="J8" s="46" t="s">
        <v>2</v>
      </c>
      <c r="K8" s="3">
        <v>1</v>
      </c>
      <c r="L8" s="46" t="s">
        <v>2</v>
      </c>
      <c r="M8" s="6">
        <v>0.5</v>
      </c>
      <c r="N8" s="46" t="s">
        <v>2</v>
      </c>
      <c r="O8" s="8">
        <f ca="1">STDEV(N16:N120)</f>
        <v>3.6194132028463288</v>
      </c>
      <c r="P8" s="12"/>
      <c r="Q8" s="58" t="s">
        <v>38</v>
      </c>
      <c r="R8" s="12"/>
      <c r="S8" s="12"/>
      <c r="T8" s="12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5"/>
      <c r="AS8" s="36"/>
      <c r="AT8" s="36"/>
    </row>
    <row r="9" spans="1:46" ht="16.5" thickBot="1" x14ac:dyDescent="0.3">
      <c r="B9" s="40"/>
      <c r="C9" s="41"/>
      <c r="D9" s="41"/>
      <c r="E9" s="41"/>
      <c r="F9" s="134" t="s">
        <v>18</v>
      </c>
      <c r="G9" s="135"/>
      <c r="H9" s="134" t="s">
        <v>37</v>
      </c>
      <c r="I9" s="135"/>
      <c r="J9" s="134" t="s">
        <v>4</v>
      </c>
      <c r="K9" s="135"/>
      <c r="L9" s="134" t="s">
        <v>5</v>
      </c>
      <c r="M9" s="135"/>
      <c r="N9" s="134" t="s">
        <v>12</v>
      </c>
      <c r="O9" s="135"/>
      <c r="P9" s="43"/>
      <c r="Q9" s="59" t="s">
        <v>39</v>
      </c>
      <c r="R9" s="43"/>
      <c r="S9" s="43"/>
      <c r="T9" s="43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5"/>
      <c r="AS9" s="36"/>
      <c r="AT9" s="36"/>
    </row>
    <row r="10" spans="1:46" ht="15.75" x14ac:dyDescent="0.25">
      <c r="B10" s="40"/>
      <c r="C10" s="41"/>
      <c r="D10" s="41"/>
      <c r="E10" s="41"/>
      <c r="F10" s="46" t="s">
        <v>13</v>
      </c>
      <c r="G10" s="10">
        <f>MIN(G16:G120)</f>
        <v>0.32460314368273324</v>
      </c>
      <c r="H10" s="46" t="s">
        <v>13</v>
      </c>
      <c r="I10" s="10">
        <f>MIN(I16:I120)</f>
        <v>0</v>
      </c>
      <c r="J10" s="46" t="s">
        <v>1</v>
      </c>
      <c r="K10" s="2">
        <v>0</v>
      </c>
      <c r="L10" s="46" t="s">
        <v>1</v>
      </c>
      <c r="M10" s="5">
        <v>12</v>
      </c>
      <c r="N10" s="46" t="s">
        <v>1</v>
      </c>
      <c r="O10" s="7">
        <f ca="1">AVERAGE(O16:O120)</f>
        <v>174.04716998980419</v>
      </c>
      <c r="P10" s="12"/>
      <c r="Q10" s="58" t="s">
        <v>40</v>
      </c>
      <c r="R10" s="12"/>
      <c r="S10" s="12"/>
      <c r="T10" s="12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5"/>
      <c r="AS10" s="36"/>
      <c r="AT10" s="36"/>
    </row>
    <row r="11" spans="1:46" ht="15.75" thickBot="1" x14ac:dyDescent="0.3">
      <c r="B11" s="40"/>
      <c r="C11" s="41"/>
      <c r="D11" s="41"/>
      <c r="E11" s="41"/>
      <c r="F11" s="46" t="s">
        <v>14</v>
      </c>
      <c r="G11" s="11">
        <f>MAX(G16:G120)</f>
        <v>0.7162729599289146</v>
      </c>
      <c r="H11" s="46" t="s">
        <v>14</v>
      </c>
      <c r="I11" s="11">
        <f>MAX(I16:I120)</f>
        <v>1</v>
      </c>
      <c r="J11" s="46" t="s">
        <v>2</v>
      </c>
      <c r="K11" s="3">
        <v>1</v>
      </c>
      <c r="L11" s="46" t="s">
        <v>2</v>
      </c>
      <c r="M11" s="6">
        <v>3.5</v>
      </c>
      <c r="N11" s="46" t="s">
        <v>2</v>
      </c>
      <c r="O11" s="8">
        <f ca="1">STDEV(O16:O120)</f>
        <v>93.769208079304235</v>
      </c>
      <c r="P11" s="12"/>
      <c r="Q11" s="12"/>
      <c r="R11" s="12"/>
      <c r="S11" s="12"/>
      <c r="T11" s="12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5"/>
      <c r="AS11" s="36"/>
      <c r="AT11" s="36"/>
    </row>
    <row r="12" spans="1:46" ht="15.75" thickBot="1" x14ac:dyDescent="0.3">
      <c r="B12" s="40"/>
      <c r="C12" s="41"/>
      <c r="D12" s="41"/>
      <c r="E12" s="41"/>
      <c r="F12" s="41"/>
      <c r="G12" s="41"/>
      <c r="H12" s="41"/>
      <c r="I12" s="41"/>
      <c r="J12" s="46" t="s">
        <v>10</v>
      </c>
      <c r="K12" s="4">
        <v>0.6</v>
      </c>
      <c r="L12" s="41"/>
      <c r="M12" s="47"/>
      <c r="N12" s="41"/>
      <c r="O12" s="47">
        <f ca="1">LN(O10)</f>
        <v>5.1593263543711867</v>
      </c>
      <c r="P12" s="41"/>
      <c r="Q12" s="41" t="s">
        <v>44</v>
      </c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5"/>
      <c r="AS12" s="36"/>
      <c r="AT12" s="36"/>
    </row>
    <row r="13" spans="1:46" s="9" customFormat="1" x14ac:dyDescent="0.25">
      <c r="A13" s="1"/>
      <c r="B13" s="40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5"/>
      <c r="AS13" s="36"/>
      <c r="AT13" s="36"/>
    </row>
    <row r="14" spans="1:46" s="9" customFormat="1" ht="76.5" customHeight="1" thickBot="1" x14ac:dyDescent="0.3">
      <c r="A14" s="1"/>
      <c r="B14" s="40"/>
      <c r="C14" s="41"/>
      <c r="D14" s="131" t="s">
        <v>31</v>
      </c>
      <c r="E14" s="132"/>
      <c r="F14" s="131" t="s">
        <v>30</v>
      </c>
      <c r="G14" s="132"/>
      <c r="H14" s="131" t="s">
        <v>29</v>
      </c>
      <c r="I14" s="132"/>
      <c r="J14" s="131" t="s">
        <v>32</v>
      </c>
      <c r="K14" s="132"/>
      <c r="L14" s="131" t="s">
        <v>33</v>
      </c>
      <c r="M14" s="132"/>
      <c r="N14" s="48" t="s">
        <v>34</v>
      </c>
      <c r="O14" s="48" t="s">
        <v>35</v>
      </c>
      <c r="P14" s="49"/>
      <c r="Q14" s="49"/>
      <c r="R14" s="49"/>
      <c r="S14" s="49"/>
      <c r="T14" s="49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2"/>
      <c r="AS14" s="1"/>
      <c r="AT14" s="1"/>
    </row>
    <row r="15" spans="1:46" s="9" customFormat="1" x14ac:dyDescent="0.25">
      <c r="A15" s="1"/>
      <c r="B15" s="40"/>
      <c r="C15" s="61" t="s">
        <v>23</v>
      </c>
      <c r="D15" s="61" t="s">
        <v>15</v>
      </c>
      <c r="E15" s="61" t="s">
        <v>16</v>
      </c>
      <c r="F15" s="61" t="s">
        <v>21</v>
      </c>
      <c r="G15" s="61" t="s">
        <v>20</v>
      </c>
      <c r="H15" s="61" t="s">
        <v>19</v>
      </c>
      <c r="I15" s="61" t="s">
        <v>22</v>
      </c>
      <c r="J15" s="61" t="s">
        <v>3</v>
      </c>
      <c r="K15" s="61" t="s">
        <v>4</v>
      </c>
      <c r="L15" s="61" t="s">
        <v>6</v>
      </c>
      <c r="M15" s="61" t="s">
        <v>5</v>
      </c>
      <c r="N15" s="61" t="s">
        <v>0</v>
      </c>
      <c r="O15" s="61" t="s">
        <v>9</v>
      </c>
      <c r="P15" s="49"/>
      <c r="Q15" s="49"/>
      <c r="R15" s="49"/>
      <c r="S15" s="49"/>
      <c r="T15" s="49"/>
      <c r="U15" s="41"/>
      <c r="V15" s="41"/>
      <c r="W15" s="41"/>
      <c r="X15" s="41"/>
      <c r="Y15" s="41"/>
      <c r="Z15" s="41"/>
      <c r="AA15" s="41"/>
      <c r="AB15" s="50" t="s">
        <v>25</v>
      </c>
      <c r="AC15" s="41"/>
      <c r="AD15" s="41"/>
      <c r="AE15" s="129" t="s">
        <v>26</v>
      </c>
      <c r="AF15" s="16">
        <f ca="1">AC17</f>
        <v>2.9053531677604205</v>
      </c>
      <c r="AG15" s="17">
        <f t="shared" ref="AG15:AO15" ca="1" si="0">AF15+($AC$18-$AC$17)/10</f>
        <v>4.5986597738816215</v>
      </c>
      <c r="AH15" s="17">
        <f t="shared" ca="1" si="0"/>
        <v>6.2919663800028225</v>
      </c>
      <c r="AI15" s="17">
        <f t="shared" ca="1" si="0"/>
        <v>7.9852729861240235</v>
      </c>
      <c r="AJ15" s="17">
        <f t="shared" ca="1" si="0"/>
        <v>9.6785795922452245</v>
      </c>
      <c r="AK15" s="17">
        <f t="shared" ca="1" si="0"/>
        <v>11.371886198366425</v>
      </c>
      <c r="AL15" s="17">
        <f t="shared" ca="1" si="0"/>
        <v>13.065192804487626</v>
      </c>
      <c r="AM15" s="17">
        <f t="shared" ca="1" si="0"/>
        <v>14.758499410608827</v>
      </c>
      <c r="AN15" s="17">
        <f t="shared" ca="1" si="0"/>
        <v>16.451806016730028</v>
      </c>
      <c r="AO15" s="18">
        <f t="shared" ca="1" si="0"/>
        <v>18.145112622851229</v>
      </c>
      <c r="AP15" s="41"/>
      <c r="AQ15" s="41"/>
      <c r="AR15" s="42"/>
      <c r="AS15" s="1"/>
      <c r="AT15" s="1"/>
    </row>
    <row r="16" spans="1:46" s="9" customFormat="1" ht="15.75" thickBot="1" x14ac:dyDescent="0.3">
      <c r="A16" s="1"/>
      <c r="B16" s="40"/>
      <c r="C16" s="51">
        <v>0.25</v>
      </c>
      <c r="D16" s="51">
        <v>0.39072650334348147</v>
      </c>
      <c r="E16" s="51">
        <v>0.86078463124370719</v>
      </c>
      <c r="F16" s="51">
        <f>AVERAGE(D16:D20)</f>
        <v>0.62221247550496395</v>
      </c>
      <c r="G16" s="51">
        <f>AVERAGE(E16:E20)</f>
        <v>0.61793154299764441</v>
      </c>
      <c r="H16" s="51">
        <f>(F16-$G$7)/($G$8-$G$7)</f>
        <v>0.77591602238411972</v>
      </c>
      <c r="I16" s="51">
        <f>(G16-$G$10)/($G$11-$G$10)</f>
        <v>0.74891755031371021</v>
      </c>
      <c r="J16" s="51">
        <f ca="1">_xlfn.NORM.INV(RAND(),$K$7,$K$8)</f>
        <v>-1.0361246272294726</v>
      </c>
      <c r="K16" s="51">
        <f t="shared" ref="K16:K47" ca="1" si="1">_xlfn.NORM.INV(RAND(),$K$10+$K$12*($K$11/$K$8)*(J16-$K$7),SQRT($K$12*$K$8*$K$11))</f>
        <v>-1.3777864530476676</v>
      </c>
      <c r="L16" s="12">
        <f ca="1">J16*$M$8+$M$7</f>
        <v>4.4819376863852636</v>
      </c>
      <c r="M16" s="12">
        <f ca="1">K16*$M$11+$M$10</f>
        <v>7.1777474143331634</v>
      </c>
      <c r="N16" s="12">
        <f ca="1">IF(M16&lt;0,0,M16)</f>
        <v>7.1777474143331634</v>
      </c>
      <c r="O16" s="12">
        <f ca="1">EXP(L16)</f>
        <v>88.405809550853547</v>
      </c>
      <c r="P16" s="12"/>
      <c r="Q16" s="12"/>
      <c r="R16" s="12"/>
      <c r="S16" s="12"/>
      <c r="T16" s="12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133"/>
      <c r="AF16" s="19">
        <f t="shared" ref="AF16:AO16" ca="1" si="2">AF15+($AC$18-$AC$17)/10</f>
        <v>4.5986597738816215</v>
      </c>
      <c r="AG16" s="20">
        <f t="shared" ca="1" si="2"/>
        <v>6.2919663800028225</v>
      </c>
      <c r="AH16" s="20">
        <f t="shared" ca="1" si="2"/>
        <v>7.9852729861240235</v>
      </c>
      <c r="AI16" s="20">
        <f t="shared" ca="1" si="2"/>
        <v>9.6785795922452245</v>
      </c>
      <c r="AJ16" s="20">
        <f t="shared" ca="1" si="2"/>
        <v>11.371886198366425</v>
      </c>
      <c r="AK16" s="20">
        <f t="shared" ca="1" si="2"/>
        <v>13.065192804487626</v>
      </c>
      <c r="AL16" s="20">
        <f t="shared" ca="1" si="2"/>
        <v>14.758499410608827</v>
      </c>
      <c r="AM16" s="20">
        <f t="shared" ca="1" si="2"/>
        <v>16.451806016730028</v>
      </c>
      <c r="AN16" s="20">
        <f t="shared" ca="1" si="2"/>
        <v>18.145112622851229</v>
      </c>
      <c r="AO16" s="21">
        <f t="shared" ca="1" si="2"/>
        <v>19.83841922897243</v>
      </c>
      <c r="AP16" s="41"/>
      <c r="AQ16" s="41"/>
      <c r="AR16" s="42"/>
      <c r="AS16" s="1"/>
      <c r="AT16" s="1"/>
    </row>
    <row r="17" spans="1:46" s="9" customFormat="1" x14ac:dyDescent="0.25">
      <c r="A17" s="1"/>
      <c r="B17" s="40"/>
      <c r="C17" s="51">
        <f>C16+0.25</f>
        <v>0.5</v>
      </c>
      <c r="D17" s="51">
        <v>0.14073501787558729</v>
      </c>
      <c r="E17" s="51">
        <v>0.53765553076353778</v>
      </c>
      <c r="F17" s="51">
        <f>AVERAGE(D16:D21)</f>
        <v>0.55316751535472741</v>
      </c>
      <c r="G17" s="51">
        <f>AVERAGE(E16:E21)</f>
        <v>0.67500770666820797</v>
      </c>
      <c r="H17" s="51">
        <f t="shared" ref="H17:H80" si="3">(F17-$G$7)/($G$8-$G$7)</f>
        <v>0.57322152705465224</v>
      </c>
      <c r="I17" s="51">
        <f t="shared" ref="I17:I80" si="4">(G17-$G$10)/($G$11-$G$10)</f>
        <v>0.89464275379655589</v>
      </c>
      <c r="J17" s="51">
        <f t="shared" ref="J17:J80" ca="1" si="5">_xlfn.NORM.INV(RAND(),$K$7,$K$8)</f>
        <v>1.123387492825898</v>
      </c>
      <c r="K17" s="51">
        <f t="shared" ca="1" si="1"/>
        <v>0.6468957579648722</v>
      </c>
      <c r="L17" s="12">
        <f t="shared" ref="L17:L80" ca="1" si="6">J17*$M$8+$M$7</f>
        <v>5.5616937464129492</v>
      </c>
      <c r="M17" s="12">
        <f t="shared" ref="M17:M80" ca="1" si="7">K17*$M$11+$M$10</f>
        <v>14.264135152877053</v>
      </c>
      <c r="N17" s="12">
        <f t="shared" ref="N17:N80" ca="1" si="8">IF(M17&lt;0,0,M17)</f>
        <v>14.264135152877053</v>
      </c>
      <c r="O17" s="12">
        <f t="shared" ref="O17:O47" ca="1" si="9">EXP(L17)</f>
        <v>260.26328321735355</v>
      </c>
      <c r="P17" s="12"/>
      <c r="Q17" s="12"/>
      <c r="R17" s="12"/>
      <c r="S17" s="12"/>
      <c r="T17" s="12"/>
      <c r="U17" s="41"/>
      <c r="V17" s="41"/>
      <c r="W17" s="41"/>
      <c r="X17" s="41"/>
      <c r="Y17" s="41"/>
      <c r="Z17" s="41"/>
      <c r="AA17" s="41"/>
      <c r="AB17" s="26" t="s">
        <v>13</v>
      </c>
      <c r="AC17" s="22">
        <f ca="1">MIN(N16:N120)</f>
        <v>2.9053531677604205</v>
      </c>
      <c r="AD17" s="46" t="s">
        <v>0</v>
      </c>
      <c r="AE17" s="34">
        <f ca="1">MIN(N16:N120)</f>
        <v>2.9053531677604205</v>
      </c>
      <c r="AF17" s="17">
        <f ca="1">$AC$17+($AC$18-$AC$17)/20</f>
        <v>3.752006470821021</v>
      </c>
      <c r="AG17" s="17">
        <f t="shared" ref="AG17:AO17" ca="1" si="10">AF17+($AC$18-$AC$17)/10</f>
        <v>5.445313076942222</v>
      </c>
      <c r="AH17" s="17">
        <f t="shared" ca="1" si="10"/>
        <v>7.138619683063423</v>
      </c>
      <c r="AI17" s="17">
        <f t="shared" ca="1" si="10"/>
        <v>8.831926289184624</v>
      </c>
      <c r="AJ17" s="17">
        <f t="shared" ca="1" si="10"/>
        <v>10.525232895305825</v>
      </c>
      <c r="AK17" s="17">
        <f t="shared" ca="1" si="10"/>
        <v>12.218539501427026</v>
      </c>
      <c r="AL17" s="17">
        <f t="shared" ca="1" si="10"/>
        <v>13.911846107548227</v>
      </c>
      <c r="AM17" s="17">
        <f t="shared" ca="1" si="10"/>
        <v>15.605152713669428</v>
      </c>
      <c r="AN17" s="17">
        <f t="shared" ca="1" si="10"/>
        <v>17.298459319790627</v>
      </c>
      <c r="AO17" s="17">
        <f t="shared" ca="1" si="10"/>
        <v>18.991765925911828</v>
      </c>
      <c r="AP17" s="24">
        <f ca="1">AC18</f>
        <v>19.838419228972427</v>
      </c>
      <c r="AQ17" s="41"/>
      <c r="AR17" s="42"/>
      <c r="AS17" s="1"/>
      <c r="AT17" s="1"/>
    </row>
    <row r="18" spans="1:46" s="9" customFormat="1" ht="15.75" thickBot="1" x14ac:dyDescent="0.3">
      <c r="A18" s="1"/>
      <c r="B18" s="40"/>
      <c r="C18" s="51">
        <f t="shared" ref="C18:C81" si="11">C17+0.25</f>
        <v>0.75</v>
      </c>
      <c r="D18" s="51">
        <v>0.94461871739603664</v>
      </c>
      <c r="E18" s="51">
        <v>0.96440269808982293</v>
      </c>
      <c r="F18" s="51">
        <f>AVERAGE(D16:D22)</f>
        <v>0.58691554256352585</v>
      </c>
      <c r="G18" s="51">
        <f>AVERAGE(E16:E22)</f>
        <v>0.66425513528502156</v>
      </c>
      <c r="H18" s="51">
        <f t="shared" si="3"/>
        <v>0.67229522234780681</v>
      </c>
      <c r="I18" s="51">
        <f t="shared" si="4"/>
        <v>0.86718960081622021</v>
      </c>
      <c r="J18" s="51">
        <f t="shared" ca="1" si="5"/>
        <v>6.0750787380675682E-3</v>
      </c>
      <c r="K18" s="51">
        <f t="shared" ca="1" si="1"/>
        <v>0.62200932349794014</v>
      </c>
      <c r="L18" s="12">
        <f t="shared" ca="1" si="6"/>
        <v>5.0030375393690338</v>
      </c>
      <c r="M18" s="12">
        <f t="shared" ca="1" si="7"/>
        <v>14.17703263224279</v>
      </c>
      <c r="N18" s="12">
        <f t="shared" ca="1" si="8"/>
        <v>14.17703263224279</v>
      </c>
      <c r="O18" s="12">
        <f t="shared" ca="1" si="9"/>
        <v>148.86465528780261</v>
      </c>
      <c r="P18" s="12"/>
      <c r="Q18" s="12"/>
      <c r="R18" s="12"/>
      <c r="S18" s="12"/>
      <c r="T18" s="12"/>
      <c r="U18" s="41"/>
      <c r="V18" s="41"/>
      <c r="W18" s="41"/>
      <c r="X18" s="41"/>
      <c r="Y18" s="41"/>
      <c r="Z18" s="41"/>
      <c r="AA18" s="41"/>
      <c r="AB18" s="27" t="s">
        <v>14</v>
      </c>
      <c r="AC18" s="23">
        <f ca="1">MAX(N16:N120)</f>
        <v>19.838419228972427</v>
      </c>
      <c r="AD18" s="46" t="s">
        <v>24</v>
      </c>
      <c r="AE18" s="35">
        <v>0</v>
      </c>
      <c r="AF18" s="20">
        <f ca="1">COUNTIF($N$16:$N$120,"&lt;"&amp;AF16)/COUNT($N$16:$N$120)</f>
        <v>1.9047619047619049E-2</v>
      </c>
      <c r="AG18" s="20">
        <f ca="1">(COUNTIF($N$16:$N$120,"&lt;"&amp;AG16)-AF18)/COUNT(N16:N120)</f>
        <v>7.6009070294784584E-2</v>
      </c>
      <c r="AH18" s="20">
        <f ca="1">(COUNTIF($N$16:$N$120,"&lt;"&amp;AH16)/COUNT($N$16:$N$120))-SUM($AF$18:AG18)</f>
        <v>3.8276643990929698E-2</v>
      </c>
      <c r="AI18" s="20">
        <f ca="1">(COUNTIF($N$16:$N$120,"&lt;"&amp;AI16)/COUNT($N$16:$N$120))-SUM($AF$18:AH18)</f>
        <v>0.13333333333333333</v>
      </c>
      <c r="AJ18" s="20">
        <f ca="1">(COUNTIF($N$16:$N$120,"&lt;"&amp;AJ16)/COUNT($N$16:$N$120))-SUM($AF$18:AI18)</f>
        <v>0.17142857142857143</v>
      </c>
      <c r="AK18" s="20">
        <f ca="1">(COUNTIF($N$16:$N$120,"&lt;"&amp;AK16)/COUNT($N$16:$N$120))-SUM($AF$18:AJ18)</f>
        <v>0.19999999999999996</v>
      </c>
      <c r="AL18" s="20">
        <f ca="1">(COUNTIF($N$16:$N$120,"&lt;"&amp;AL16)/COUNT($N$16:$N$120))-SUM($AF$18:AK18)</f>
        <v>0.11428571428571432</v>
      </c>
      <c r="AM18" s="20">
        <f ca="1">(COUNTIF($N$16:$N$120,"&lt;"&amp;AM16)/COUNT($N$16:$N$120))-SUM($AF$18:AL18)</f>
        <v>0.1333333333333333</v>
      </c>
      <c r="AN18" s="20">
        <f ca="1">(COUNTIF($N$16:$N$120,"&lt;"&amp;AN16)/COUNT($N$16:$N$120))-SUM($AF$18:AM18)</f>
        <v>7.6190476190476253E-2</v>
      </c>
      <c r="AO18" s="20">
        <f ca="1">(COUNTIF($N$16:$N$120,"&lt;"&amp;AO16)/COUNT($N$16:$N$120))-SUM($AF$18:AN18)</f>
        <v>2.8571428571428581E-2</v>
      </c>
      <c r="AP18" s="25">
        <v>0</v>
      </c>
      <c r="AQ18" s="41"/>
      <c r="AR18" s="42"/>
      <c r="AS18" s="1"/>
      <c r="AT18" s="1"/>
    </row>
    <row r="19" spans="1:46" s="9" customFormat="1" ht="15.75" thickBot="1" x14ac:dyDescent="0.3">
      <c r="A19" s="1"/>
      <c r="B19" s="40"/>
      <c r="C19" s="51">
        <f t="shared" si="11"/>
        <v>1</v>
      </c>
      <c r="D19" s="51">
        <v>0.89327094862242729</v>
      </c>
      <c r="E19" s="51">
        <v>4.3732906092854074E-2</v>
      </c>
      <c r="F19" s="51">
        <f>AVERAGE(D16:D23)</f>
        <v>0.63340511840518743</v>
      </c>
      <c r="G19" s="51">
        <f>AVERAGE(E16:E23)</f>
        <v>0.68364522997944233</v>
      </c>
      <c r="H19" s="51">
        <f t="shared" si="3"/>
        <v>0.80877413540391518</v>
      </c>
      <c r="I19" s="51">
        <f t="shared" si="4"/>
        <v>0.91669582746462053</v>
      </c>
      <c r="J19" s="51">
        <f t="shared" ca="1" si="5"/>
        <v>0.75082891842233779</v>
      </c>
      <c r="K19" s="51">
        <f t="shared" ca="1" si="1"/>
        <v>0.95592442364945973</v>
      </c>
      <c r="L19" s="12">
        <f t="shared" ca="1" si="6"/>
        <v>5.3754144592111688</v>
      </c>
      <c r="M19" s="12">
        <f t="shared" ca="1" si="7"/>
        <v>15.345735482773108</v>
      </c>
      <c r="N19" s="12">
        <f t="shared" ca="1" si="8"/>
        <v>15.345735482773108</v>
      </c>
      <c r="O19" s="12">
        <f t="shared" ca="1" si="9"/>
        <v>216.02938912900541</v>
      </c>
      <c r="P19" s="12"/>
      <c r="Q19" s="12"/>
      <c r="R19" s="12"/>
      <c r="S19" s="12"/>
      <c r="T19" s="12"/>
      <c r="U19" s="41"/>
      <c r="V19" s="41"/>
      <c r="W19" s="41"/>
      <c r="X19" s="41"/>
      <c r="Y19" s="41"/>
      <c r="Z19" s="41"/>
      <c r="AA19" s="41"/>
      <c r="AB19" s="41"/>
      <c r="AC19" s="41"/>
      <c r="AD19" s="46" t="s">
        <v>41</v>
      </c>
      <c r="AE19" s="28">
        <f>AE18</f>
        <v>0</v>
      </c>
      <c r="AF19" s="29">
        <f ca="1">AF18+AE19</f>
        <v>1.9047619047619049E-2</v>
      </c>
      <c r="AG19" s="29">
        <f t="shared" ref="AG19:AP19" ca="1" si="12">AG18+AF19</f>
        <v>9.5056689342403633E-2</v>
      </c>
      <c r="AH19" s="29">
        <f t="shared" ca="1" si="12"/>
        <v>0.13333333333333333</v>
      </c>
      <c r="AI19" s="29">
        <f t="shared" ca="1" si="12"/>
        <v>0.26666666666666666</v>
      </c>
      <c r="AJ19" s="29">
        <f t="shared" ca="1" si="12"/>
        <v>0.43809523809523809</v>
      </c>
      <c r="AK19" s="29">
        <f t="shared" ca="1" si="12"/>
        <v>0.63809523809523805</v>
      </c>
      <c r="AL19" s="29">
        <f t="shared" ca="1" si="12"/>
        <v>0.75238095238095237</v>
      </c>
      <c r="AM19" s="29">
        <f t="shared" ca="1" si="12"/>
        <v>0.88571428571428568</v>
      </c>
      <c r="AN19" s="29">
        <f t="shared" ca="1" si="12"/>
        <v>0.96190476190476193</v>
      </c>
      <c r="AO19" s="29">
        <f t="shared" ca="1" si="12"/>
        <v>0.99047619047619051</v>
      </c>
      <c r="AP19" s="30">
        <f t="shared" ca="1" si="12"/>
        <v>0.99047619047619051</v>
      </c>
      <c r="AQ19" s="41"/>
      <c r="AR19" s="42"/>
      <c r="AS19" s="1"/>
      <c r="AT19" s="1"/>
    </row>
    <row r="20" spans="1:46" s="9" customFormat="1" x14ac:dyDescent="0.25">
      <c r="A20" s="1"/>
      <c r="B20" s="40"/>
      <c r="C20" s="51">
        <f t="shared" si="11"/>
        <v>1.25</v>
      </c>
      <c r="D20" s="51">
        <v>0.74171119028728694</v>
      </c>
      <c r="E20" s="51">
        <v>0.68308194879829998</v>
      </c>
      <c r="F20" s="51">
        <f>AVERAGE(D16:D24)</f>
        <v>0.67140764321379776</v>
      </c>
      <c r="G20" s="51">
        <f>AVERAGE(E16:E24)</f>
        <v>0.7162729599289146</v>
      </c>
      <c r="H20" s="51">
        <f t="shared" si="3"/>
        <v>0.92033771036385303</v>
      </c>
      <c r="I20" s="51">
        <f t="shared" si="4"/>
        <v>1</v>
      </c>
      <c r="J20" s="51">
        <f t="shared" ca="1" si="5"/>
        <v>-0.15550188910207405</v>
      </c>
      <c r="K20" s="51">
        <f t="shared" ca="1" si="1"/>
        <v>-0.69546417107582525</v>
      </c>
      <c r="L20" s="12">
        <f t="shared" ca="1" si="6"/>
        <v>4.9222490554489626</v>
      </c>
      <c r="M20" s="12">
        <f t="shared" ca="1" si="7"/>
        <v>9.5658754012346119</v>
      </c>
      <c r="N20" s="12">
        <f t="shared" ca="1" si="8"/>
        <v>9.5658754012346119</v>
      </c>
      <c r="O20" s="12">
        <f t="shared" ca="1" si="9"/>
        <v>137.31108641685006</v>
      </c>
      <c r="P20" s="12"/>
      <c r="Q20" s="12"/>
      <c r="R20" s="12"/>
      <c r="S20" s="12"/>
      <c r="T20" s="12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52"/>
      <c r="AN20" s="41"/>
      <c r="AO20" s="41"/>
      <c r="AP20" s="41"/>
      <c r="AQ20" s="41"/>
      <c r="AR20" s="42"/>
      <c r="AS20" s="1"/>
      <c r="AT20" s="1"/>
    </row>
    <row r="21" spans="1:46" s="9" customFormat="1" x14ac:dyDescent="0.25">
      <c r="A21" s="1"/>
      <c r="B21" s="40"/>
      <c r="C21" s="51">
        <f t="shared" si="11"/>
        <v>1.5</v>
      </c>
      <c r="D21" s="51">
        <v>0.2079427146035443</v>
      </c>
      <c r="E21" s="51">
        <v>0.96038852502102601</v>
      </c>
      <c r="F21" s="51">
        <f t="shared" ref="F21:G21" si="13">AVERAGE(D17:D25)</f>
        <v>0.68296542788798187</v>
      </c>
      <c r="G21" s="51">
        <f t="shared" si="13"/>
        <v>0.67603653456821378</v>
      </c>
      <c r="H21" s="51">
        <f t="shared" si="3"/>
        <v>0.95426776588945361</v>
      </c>
      <c r="I21" s="51">
        <f t="shared" si="4"/>
        <v>0.89726952731172294</v>
      </c>
      <c r="J21" s="51">
        <f t="shared" ca="1" si="5"/>
        <v>-0.42414289934405197</v>
      </c>
      <c r="K21" s="51">
        <f t="shared" ca="1" si="1"/>
        <v>-1.3417449477115913</v>
      </c>
      <c r="L21" s="12">
        <f t="shared" ca="1" si="6"/>
        <v>4.7879285503279743</v>
      </c>
      <c r="M21" s="12">
        <f t="shared" ca="1" si="7"/>
        <v>7.3038926830094306</v>
      </c>
      <c r="N21" s="12">
        <f t="shared" ca="1" si="8"/>
        <v>7.3038926830094306</v>
      </c>
      <c r="O21" s="12">
        <f t="shared" ca="1" si="9"/>
        <v>120.05242835522837</v>
      </c>
      <c r="P21" s="12"/>
      <c r="Q21" s="12"/>
      <c r="R21" s="12"/>
      <c r="S21" s="12"/>
      <c r="T21" s="12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2"/>
      <c r="AS21" s="1"/>
      <c r="AT21" s="1"/>
    </row>
    <row r="22" spans="1:46" s="9" customFormat="1" x14ac:dyDescent="0.25">
      <c r="A22" s="1"/>
      <c r="B22" s="40"/>
      <c r="C22" s="51">
        <f t="shared" si="11"/>
        <v>1.75</v>
      </c>
      <c r="D22" s="51">
        <v>0.78940370581631647</v>
      </c>
      <c r="E22" s="51">
        <v>0.59973970698590295</v>
      </c>
      <c r="F22" s="51">
        <f t="shared" ref="F22:G22" si="14">AVERAGE(D18:D26)</f>
        <v>0.67198024332651896</v>
      </c>
      <c r="G22" s="51">
        <f t="shared" si="14"/>
        <v>0.69523746262815178</v>
      </c>
      <c r="H22" s="51">
        <f t="shared" si="3"/>
        <v>0.92201868592848624</v>
      </c>
      <c r="I22" s="51">
        <f t="shared" si="4"/>
        <v>0.94629277920272237</v>
      </c>
      <c r="J22" s="51">
        <f t="shared" ca="1" si="5"/>
        <v>-0.40500608903234636</v>
      </c>
      <c r="K22" s="51">
        <f t="shared" ca="1" si="1"/>
        <v>-0.57411891455885322</v>
      </c>
      <c r="L22" s="12">
        <f t="shared" ca="1" si="6"/>
        <v>4.7974969554838269</v>
      </c>
      <c r="M22" s="12">
        <f t="shared" ca="1" si="7"/>
        <v>9.9905837990440141</v>
      </c>
      <c r="N22" s="12">
        <f t="shared" ca="1" si="8"/>
        <v>9.9905837990440141</v>
      </c>
      <c r="O22" s="12">
        <f t="shared" ca="1" si="9"/>
        <v>121.20665186258347</v>
      </c>
      <c r="P22" s="12"/>
      <c r="Q22" s="12"/>
      <c r="R22" s="12"/>
      <c r="S22" s="12"/>
      <c r="T22" s="12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2"/>
      <c r="AS22" s="1"/>
      <c r="AT22" s="1"/>
    </row>
    <row r="23" spans="1:46" s="9" customFormat="1" x14ac:dyDescent="0.25">
      <c r="A23" s="1"/>
      <c r="B23" s="40"/>
      <c r="C23" s="51">
        <f t="shared" si="11"/>
        <v>2</v>
      </c>
      <c r="D23" s="51">
        <v>0.95883214929681893</v>
      </c>
      <c r="E23" s="51">
        <v>0.81937589284038725</v>
      </c>
      <c r="F23" s="51">
        <f t="shared" ref="F23:G23" si="15">AVERAGE(D19:D27)</f>
        <v>0.57916619705619377</v>
      </c>
      <c r="G23" s="51">
        <f t="shared" si="15"/>
        <v>0.58816063435683141</v>
      </c>
      <c r="H23" s="51">
        <f t="shared" si="3"/>
        <v>0.6495455578780972</v>
      </c>
      <c r="I23" s="51">
        <f t="shared" si="4"/>
        <v>0.67290733097605082</v>
      </c>
      <c r="J23" s="51">
        <f t="shared" ca="1" si="5"/>
        <v>1.3943453346463881</v>
      </c>
      <c r="K23" s="51">
        <f t="shared" ca="1" si="1"/>
        <v>1.4346090556185978</v>
      </c>
      <c r="L23" s="12">
        <f t="shared" ca="1" si="6"/>
        <v>5.6971726673231942</v>
      </c>
      <c r="M23" s="12">
        <f t="shared" ca="1" si="7"/>
        <v>17.021131694665094</v>
      </c>
      <c r="N23" s="12">
        <f t="shared" ca="1" si="8"/>
        <v>17.021131694665094</v>
      </c>
      <c r="O23" s="12">
        <f t="shared" ca="1" si="9"/>
        <v>298.0235968178967</v>
      </c>
      <c r="P23" s="12"/>
      <c r="Q23" s="12"/>
      <c r="R23" s="12"/>
      <c r="S23" s="12"/>
      <c r="T23" s="12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2"/>
      <c r="AS23" s="1"/>
      <c r="AT23" s="1"/>
    </row>
    <row r="24" spans="1:46" s="9" customFormat="1" x14ac:dyDescent="0.25">
      <c r="A24" s="1"/>
      <c r="B24" s="40"/>
      <c r="C24" s="51">
        <f t="shared" si="11"/>
        <v>2.25</v>
      </c>
      <c r="D24" s="51">
        <v>0.9754278416826806</v>
      </c>
      <c r="E24" s="51">
        <v>0.97729479952469245</v>
      </c>
      <c r="F24" s="51">
        <f t="shared" ref="F24:G24" si="16">AVERAGE(D20:D28)</f>
        <v>0.53796252440478753</v>
      </c>
      <c r="G24" s="51">
        <f t="shared" si="16"/>
        <v>0.60554621882695592</v>
      </c>
      <c r="H24" s="51">
        <f t="shared" si="3"/>
        <v>0.52858441001698486</v>
      </c>
      <c r="I24" s="51">
        <f t="shared" si="4"/>
        <v>0.71729570033458445</v>
      </c>
      <c r="J24" s="51">
        <f t="shared" ca="1" si="5"/>
        <v>-1.3951382800766867</v>
      </c>
      <c r="K24" s="51">
        <f t="shared" ca="1" si="1"/>
        <v>-9.42943247624628E-3</v>
      </c>
      <c r="L24" s="12">
        <f t="shared" ca="1" si="6"/>
        <v>4.3024308599616568</v>
      </c>
      <c r="M24" s="12">
        <f t="shared" ca="1" si="7"/>
        <v>11.966996986333138</v>
      </c>
      <c r="N24" s="12">
        <f t="shared" ca="1" si="8"/>
        <v>11.966996986333138</v>
      </c>
      <c r="O24" s="12">
        <f t="shared" ca="1" si="9"/>
        <v>73.879165502823014</v>
      </c>
      <c r="P24" s="12"/>
      <c r="Q24" s="12"/>
      <c r="R24" s="12"/>
      <c r="S24" s="12"/>
      <c r="T24" s="12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2"/>
      <c r="AS24" s="1"/>
      <c r="AT24" s="1"/>
    </row>
    <row r="25" spans="1:46" s="9" customFormat="1" x14ac:dyDescent="0.25">
      <c r="A25" s="1"/>
      <c r="B25" s="40"/>
      <c r="C25" s="51">
        <f t="shared" si="11"/>
        <v>2.5</v>
      </c>
      <c r="D25" s="51">
        <v>0.49474656541113882</v>
      </c>
      <c r="E25" s="51">
        <v>0.49865680299740034</v>
      </c>
      <c r="F25" s="51">
        <f t="shared" ref="F25:G25" si="17">AVERAGE(D21:D29)</f>
        <v>0.55249773803699431</v>
      </c>
      <c r="G25" s="51">
        <f t="shared" si="17"/>
        <v>0.54384085725316378</v>
      </c>
      <c r="H25" s="51">
        <f t="shared" si="3"/>
        <v>0.57125526948703786</v>
      </c>
      <c r="I25" s="51">
        <f t="shared" si="4"/>
        <v>0.55975136320596675</v>
      </c>
      <c r="J25" s="51">
        <f t="shared" ca="1" si="5"/>
        <v>0.92207183265420611</v>
      </c>
      <c r="K25" s="51">
        <f t="shared" ca="1" si="1"/>
        <v>1.1051491141641232</v>
      </c>
      <c r="L25" s="12">
        <f t="shared" ca="1" si="6"/>
        <v>5.4610359163271029</v>
      </c>
      <c r="M25" s="12">
        <f t="shared" ca="1" si="7"/>
        <v>15.868021899574432</v>
      </c>
      <c r="N25" s="12">
        <f t="shared" ca="1" si="8"/>
        <v>15.868021899574432</v>
      </c>
      <c r="O25" s="12">
        <f t="shared" ca="1" si="9"/>
        <v>235.34109181335188</v>
      </c>
      <c r="P25" s="12"/>
      <c r="Q25" s="12"/>
      <c r="R25" s="12"/>
      <c r="S25" s="12"/>
      <c r="T25" s="12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2"/>
      <c r="AS25" s="1"/>
      <c r="AT25" s="1"/>
    </row>
    <row r="26" spans="1:46" s="9" customFormat="1" x14ac:dyDescent="0.25">
      <c r="A26" s="1"/>
      <c r="B26" s="40"/>
      <c r="C26" s="51">
        <f t="shared" si="11"/>
        <v>2.75</v>
      </c>
      <c r="D26" s="51">
        <v>4.1868356822420627E-2</v>
      </c>
      <c r="E26" s="51">
        <v>0.71046388330297916</v>
      </c>
      <c r="F26" s="51">
        <f t="shared" ref="F26:G26" si="18">AVERAGE(D22:D30)</f>
        <v>0.59757012023679756</v>
      </c>
      <c r="G26" s="51">
        <f t="shared" si="18"/>
        <v>0.51216018317577505</v>
      </c>
      <c r="H26" s="51">
        <f t="shared" si="3"/>
        <v>0.70357374346988788</v>
      </c>
      <c r="I26" s="51">
        <f t="shared" si="4"/>
        <v>0.47886518621887914</v>
      </c>
      <c r="J26" s="51">
        <f t="shared" ca="1" si="5"/>
        <v>-1.0145891532118834</v>
      </c>
      <c r="K26" s="51">
        <f t="shared" ca="1" si="1"/>
        <v>-0.41212946533039269</v>
      </c>
      <c r="L26" s="12">
        <f t="shared" ca="1" si="6"/>
        <v>4.4927054233940584</v>
      </c>
      <c r="M26" s="12">
        <f t="shared" ca="1" si="7"/>
        <v>10.557546871343625</v>
      </c>
      <c r="N26" s="12">
        <f t="shared" ca="1" si="8"/>
        <v>10.557546871343625</v>
      </c>
      <c r="O26" s="12">
        <f t="shared" ca="1" si="9"/>
        <v>89.362883571579204</v>
      </c>
      <c r="P26" s="12"/>
      <c r="Q26" s="12"/>
      <c r="R26" s="12"/>
      <c r="S26" s="12"/>
      <c r="T26" s="12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2"/>
      <c r="AS26" s="1"/>
      <c r="AT26" s="1"/>
    </row>
    <row r="27" spans="1:46" s="9" customFormat="1" x14ac:dyDescent="0.25">
      <c r="A27" s="1"/>
      <c r="B27" s="40"/>
      <c r="C27" s="51">
        <f t="shared" si="11"/>
        <v>3</v>
      </c>
      <c r="D27" s="51">
        <v>0.10929230096310982</v>
      </c>
      <c r="E27" s="51">
        <v>7.1124364793972994E-4</v>
      </c>
      <c r="F27" s="51">
        <f t="shared" ref="F27:G27" si="19">AVERAGE(D23:D31)</f>
        <v>0.56182986608865315</v>
      </c>
      <c r="G27" s="51">
        <f t="shared" si="19"/>
        <v>0.47196682489160591</v>
      </c>
      <c r="H27" s="51">
        <f t="shared" si="3"/>
        <v>0.5986514904663105</v>
      </c>
      <c r="I27" s="51">
        <f t="shared" si="4"/>
        <v>0.3762446711396526</v>
      </c>
      <c r="J27" s="51">
        <f t="shared" ca="1" si="5"/>
        <v>-0.78867205134430451</v>
      </c>
      <c r="K27" s="51">
        <f t="shared" ca="1" si="1"/>
        <v>-0.90126790144939428</v>
      </c>
      <c r="L27" s="12">
        <f t="shared" ca="1" si="6"/>
        <v>4.6056639743278476</v>
      </c>
      <c r="M27" s="12">
        <f t="shared" ca="1" si="7"/>
        <v>8.8455623449271208</v>
      </c>
      <c r="N27" s="12">
        <f t="shared" ca="1" si="8"/>
        <v>8.8455623449271208</v>
      </c>
      <c r="O27" s="12">
        <f t="shared" ca="1" si="9"/>
        <v>100.04939102732874</v>
      </c>
      <c r="P27" s="12"/>
      <c r="Q27" s="12"/>
      <c r="R27" s="12"/>
      <c r="S27" s="12"/>
      <c r="T27" s="12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2"/>
      <c r="AS27" s="1"/>
      <c r="AT27" s="1"/>
    </row>
    <row r="28" spans="1:46" s="9" customFormat="1" x14ac:dyDescent="0.25">
      <c r="A28" s="1"/>
      <c r="B28" s="40"/>
      <c r="C28" s="51">
        <f t="shared" si="11"/>
        <v>3.25</v>
      </c>
      <c r="D28" s="51">
        <v>0.52243789475977143</v>
      </c>
      <c r="E28" s="51">
        <v>0.20020316632397495</v>
      </c>
      <c r="F28" s="51">
        <f t="shared" ref="F28:G28" si="20">AVERAGE(D24:D32)</f>
        <v>0.49148418383260506</v>
      </c>
      <c r="G28" s="51">
        <f t="shared" si="20"/>
        <v>0.48987053400674907</v>
      </c>
      <c r="H28" s="51">
        <f t="shared" si="3"/>
        <v>0.39213848021225367</v>
      </c>
      <c r="I28" s="51">
        <f t="shared" si="4"/>
        <v>0.42195590129451832</v>
      </c>
      <c r="J28" s="51">
        <f t="shared" ca="1" si="5"/>
        <v>-1.0395104209969896</v>
      </c>
      <c r="K28" s="51">
        <f t="shared" ca="1" si="1"/>
        <v>-0.22101441977118291</v>
      </c>
      <c r="L28" s="12">
        <f t="shared" ca="1" si="6"/>
        <v>4.480244789501505</v>
      </c>
      <c r="M28" s="12">
        <f t="shared" ca="1" si="7"/>
        <v>11.22644953080086</v>
      </c>
      <c r="N28" s="12">
        <f t="shared" ca="1" si="8"/>
        <v>11.22644953080086</v>
      </c>
      <c r="O28" s="12">
        <f t="shared" ca="1" si="9"/>
        <v>88.256274241001549</v>
      </c>
      <c r="P28" s="12"/>
      <c r="Q28" s="12"/>
      <c r="R28" s="12"/>
      <c r="S28" s="12"/>
      <c r="T28" s="12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2"/>
      <c r="AS28" s="1"/>
      <c r="AT28" s="1"/>
    </row>
    <row r="29" spans="1:46" s="9" customFormat="1" x14ac:dyDescent="0.25">
      <c r="A29" s="1"/>
      <c r="B29" s="40"/>
      <c r="C29" s="51">
        <f t="shared" si="11"/>
        <v>3.5</v>
      </c>
      <c r="D29" s="51">
        <v>0.87252811297714727</v>
      </c>
      <c r="E29" s="51">
        <v>0.1277336946341705</v>
      </c>
      <c r="F29" s="51">
        <f t="shared" ref="F29:G29" si="21">AVERAGE(D25:D33)</f>
        <v>0.45176821751323953</v>
      </c>
      <c r="G29" s="51">
        <f t="shared" si="21"/>
        <v>0.44537274703375729</v>
      </c>
      <c r="H29" s="51">
        <f t="shared" si="3"/>
        <v>0.27554477471790201</v>
      </c>
      <c r="I29" s="51">
        <f t="shared" si="4"/>
        <v>0.30834544389582258</v>
      </c>
      <c r="J29" s="51">
        <f t="shared" ca="1" si="5"/>
        <v>-1.0630516747075431</v>
      </c>
      <c r="K29" s="51">
        <f t="shared" ca="1" si="1"/>
        <v>-0.444646543802802</v>
      </c>
      <c r="L29" s="12">
        <f t="shared" ca="1" si="6"/>
        <v>4.4684741626462285</v>
      </c>
      <c r="M29" s="12">
        <f t="shared" ca="1" si="7"/>
        <v>10.443737096690192</v>
      </c>
      <c r="N29" s="12">
        <f t="shared" ca="1" si="8"/>
        <v>10.443737096690192</v>
      </c>
      <c r="O29" s="12">
        <f t="shared" ca="1" si="9"/>
        <v>87.223532501733956</v>
      </c>
      <c r="P29" s="12"/>
      <c r="Q29" s="12"/>
      <c r="R29" s="12"/>
      <c r="S29" s="12"/>
      <c r="T29" s="12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2"/>
      <c r="AS29" s="1"/>
      <c r="AT29" s="1"/>
    </row>
    <row r="30" spans="1:46" s="9" customFormat="1" x14ac:dyDescent="0.25">
      <c r="A30" s="1"/>
      <c r="B30" s="40"/>
      <c r="C30" s="51">
        <f t="shared" si="11"/>
        <v>3.75</v>
      </c>
      <c r="D30" s="51">
        <v>0.61359415440177389</v>
      </c>
      <c r="E30" s="51">
        <v>0.67526245832452747</v>
      </c>
      <c r="F30" s="51">
        <f t="shared" ref="F30:G30" si="22">AVERAGE(D26:D34)</f>
        <v>0.46754096804509904</v>
      </c>
      <c r="G30" s="51">
        <f t="shared" si="22"/>
        <v>0.44253708217010668</v>
      </c>
      <c r="H30" s="51">
        <f t="shared" si="3"/>
        <v>0.32184865702960613</v>
      </c>
      <c r="I30" s="51">
        <f t="shared" si="4"/>
        <v>0.30110550671907499</v>
      </c>
      <c r="J30" s="51">
        <f t="shared" ca="1" si="5"/>
        <v>0.14607776009318416</v>
      </c>
      <c r="K30" s="51">
        <f t="shared" ca="1" si="1"/>
        <v>1.0059297542582812</v>
      </c>
      <c r="L30" s="12">
        <f t="shared" ca="1" si="6"/>
        <v>5.0730388800465924</v>
      </c>
      <c r="M30" s="12">
        <f t="shared" ca="1" si="7"/>
        <v>15.520754139903985</v>
      </c>
      <c r="N30" s="12">
        <f t="shared" ca="1" si="8"/>
        <v>15.520754139903985</v>
      </c>
      <c r="O30" s="12">
        <f t="shared" ca="1" si="9"/>
        <v>159.65877474654991</v>
      </c>
      <c r="P30" s="12"/>
      <c r="Q30" s="12"/>
      <c r="R30" s="12"/>
      <c r="S30" s="12"/>
      <c r="T30" s="12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2"/>
      <c r="AS30" s="1"/>
      <c r="AT30" s="1"/>
    </row>
    <row r="31" spans="1:46" s="9" customFormat="1" x14ac:dyDescent="0.25">
      <c r="A31" s="1"/>
      <c r="B31" s="40"/>
      <c r="C31" s="51">
        <f t="shared" si="11"/>
        <v>4</v>
      </c>
      <c r="D31" s="51">
        <v>0.46774141848301842</v>
      </c>
      <c r="E31" s="51">
        <v>0.23799948242837998</v>
      </c>
      <c r="F31" s="51">
        <f t="shared" ref="F31:G31" si="23">AVERAGE(D27:D35)</f>
        <v>0.46837629463996561</v>
      </c>
      <c r="G31" s="51">
        <f t="shared" si="23"/>
        <v>0.41258521326639419</v>
      </c>
      <c r="H31" s="51">
        <f t="shared" si="3"/>
        <v>0.32430091570588521</v>
      </c>
      <c r="I31" s="51">
        <f t="shared" si="4"/>
        <v>0.22463326489361241</v>
      </c>
      <c r="J31" s="51">
        <f t="shared" ca="1" si="5"/>
        <v>0.61774773016675744</v>
      </c>
      <c r="K31" s="51">
        <f t="shared" ca="1" si="1"/>
        <v>0.88837803573517016</v>
      </c>
      <c r="L31" s="12">
        <f t="shared" ca="1" si="6"/>
        <v>5.3088738650833784</v>
      </c>
      <c r="M31" s="12">
        <f t="shared" ca="1" si="7"/>
        <v>15.109323125073097</v>
      </c>
      <c r="N31" s="12">
        <f t="shared" ca="1" si="8"/>
        <v>15.109323125073097</v>
      </c>
      <c r="O31" s="12">
        <f t="shared" ca="1" si="9"/>
        <v>202.12248299066394</v>
      </c>
      <c r="P31" s="12"/>
      <c r="Q31" s="12"/>
      <c r="R31" s="12"/>
      <c r="S31" s="12"/>
      <c r="T31" s="12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2"/>
      <c r="AS31" s="1"/>
      <c r="AT31" s="1"/>
    </row>
    <row r="32" spans="1:46" s="9" customFormat="1" x14ac:dyDescent="0.25">
      <c r="A32" s="1"/>
      <c r="B32" s="40"/>
      <c r="C32" s="51">
        <f t="shared" si="11"/>
        <v>4.25</v>
      </c>
      <c r="D32" s="51">
        <v>0.32572100899238421</v>
      </c>
      <c r="E32" s="51">
        <v>0.98050927487667594</v>
      </c>
      <c r="F32" s="51">
        <f t="shared" ref="F32:G32" si="24">AVERAGE(D28:D36)</f>
        <v>0.51594112195569253</v>
      </c>
      <c r="G32" s="51">
        <f t="shared" si="24"/>
        <v>0.49883496733655086</v>
      </c>
      <c r="H32" s="51">
        <f t="shared" si="3"/>
        <v>0.46393643214642166</v>
      </c>
      <c r="I32" s="51">
        <f t="shared" si="4"/>
        <v>0.44484363212789779</v>
      </c>
      <c r="J32" s="51">
        <f t="shared" ca="1" si="5"/>
        <v>-0.58599197740906672</v>
      </c>
      <c r="K32" s="51">
        <f t="shared" ca="1" si="1"/>
        <v>-0.83186562385181495</v>
      </c>
      <c r="L32" s="12">
        <f t="shared" ca="1" si="6"/>
        <v>4.7070040112954663</v>
      </c>
      <c r="M32" s="12">
        <f t="shared" ca="1" si="7"/>
        <v>9.0884703165186487</v>
      </c>
      <c r="N32" s="12">
        <f t="shared" ca="1" si="8"/>
        <v>9.0884703165186487</v>
      </c>
      <c r="O32" s="12">
        <f t="shared" ca="1" si="9"/>
        <v>110.71994679087133</v>
      </c>
      <c r="P32" s="12"/>
      <c r="Q32" s="12"/>
      <c r="R32" s="12"/>
      <c r="S32" s="12"/>
      <c r="T32" s="12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2"/>
      <c r="AS32" s="1"/>
      <c r="AT32" s="1"/>
    </row>
    <row r="33" spans="1:46" s="9" customFormat="1" x14ac:dyDescent="0.25">
      <c r="A33" s="1"/>
      <c r="B33" s="40"/>
      <c r="C33" s="51">
        <f t="shared" si="11"/>
        <v>4.5</v>
      </c>
      <c r="D33" s="51">
        <v>0.61798414480839081</v>
      </c>
      <c r="E33" s="51">
        <v>0.57681471676776774</v>
      </c>
      <c r="F33" s="51">
        <f t="shared" ref="F33:G33" si="25">AVERAGE(D29:D37)</f>
        <v>0.53217760973053507</v>
      </c>
      <c r="G33" s="51">
        <f t="shared" si="25"/>
        <v>0.55257320193037407</v>
      </c>
      <c r="H33" s="51">
        <f t="shared" si="3"/>
        <v>0.51160170254825421</v>
      </c>
      <c r="I33" s="51">
        <f t="shared" si="4"/>
        <v>0.58204653203184753</v>
      </c>
      <c r="J33" s="51">
        <f t="shared" ca="1" si="5"/>
        <v>-0.65241021444161451</v>
      </c>
      <c r="K33" s="51">
        <f t="shared" ca="1" si="1"/>
        <v>0.48331452868110109</v>
      </c>
      <c r="L33" s="12">
        <f t="shared" ca="1" si="6"/>
        <v>4.6737948927791928</v>
      </c>
      <c r="M33" s="12">
        <f t="shared" ca="1" si="7"/>
        <v>13.691600850383853</v>
      </c>
      <c r="N33" s="12">
        <f t="shared" ca="1" si="8"/>
        <v>13.691600850383853</v>
      </c>
      <c r="O33" s="12">
        <f t="shared" ca="1" si="9"/>
        <v>107.10341818590592</v>
      </c>
      <c r="P33" s="12"/>
      <c r="Q33" s="12"/>
      <c r="R33" s="12"/>
      <c r="S33" s="12"/>
      <c r="T33" s="12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2"/>
      <c r="AS33" s="1"/>
      <c r="AT33" s="1"/>
    </row>
    <row r="34" spans="1:46" s="9" customFormat="1" x14ac:dyDescent="0.25">
      <c r="A34" s="1"/>
      <c r="B34" s="40"/>
      <c r="C34" s="51">
        <f t="shared" si="11"/>
        <v>4.75</v>
      </c>
      <c r="D34" s="51">
        <v>0.63670132019787429</v>
      </c>
      <c r="E34" s="51">
        <v>0.4731358192245454</v>
      </c>
      <c r="F34" s="51">
        <f t="shared" ref="F34:G34" si="26">AVERAGE(D30:D38)</f>
        <v>0.4890487330762443</v>
      </c>
      <c r="G34" s="51">
        <f t="shared" si="26"/>
        <v>0.63623487207725082</v>
      </c>
      <c r="H34" s="51">
        <f t="shared" si="3"/>
        <v>0.38498875544036354</v>
      </c>
      <c r="I34" s="51">
        <f t="shared" si="4"/>
        <v>0.79564907855611633</v>
      </c>
      <c r="J34" s="51">
        <f t="shared" ca="1" si="5"/>
        <v>0.43282863498414764</v>
      </c>
      <c r="K34" s="51">
        <f t="shared" ca="1" si="1"/>
        <v>-1.0427161921709334</v>
      </c>
      <c r="L34" s="12">
        <f t="shared" ca="1" si="6"/>
        <v>5.2164143174920738</v>
      </c>
      <c r="M34" s="12">
        <f t="shared" ca="1" si="7"/>
        <v>8.3504933274017326</v>
      </c>
      <c r="N34" s="12">
        <f t="shared" ca="1" si="8"/>
        <v>8.3504933274017326</v>
      </c>
      <c r="O34" s="12">
        <f t="shared" ca="1" si="9"/>
        <v>184.27225624246807</v>
      </c>
      <c r="P34" s="12"/>
      <c r="Q34" s="12"/>
      <c r="R34" s="12"/>
      <c r="S34" s="12"/>
      <c r="T34" s="12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2"/>
      <c r="AS34" s="1"/>
      <c r="AT34" s="1"/>
    </row>
    <row r="35" spans="1:46" s="9" customFormat="1" x14ac:dyDescent="0.25">
      <c r="A35" s="1"/>
      <c r="B35" s="40"/>
      <c r="C35" s="51">
        <f t="shared" si="11"/>
        <v>5</v>
      </c>
      <c r="D35" s="51">
        <v>4.9386296176220146E-2</v>
      </c>
      <c r="E35" s="51">
        <v>0.44089706316956656</v>
      </c>
      <c r="F35" s="51">
        <f t="shared" ref="F35:G35" si="27">AVERAGE(D31:D39)</f>
        <v>0.43915536702445968</v>
      </c>
      <c r="G35" s="51">
        <f t="shared" si="27"/>
        <v>0.60220110213482358</v>
      </c>
      <c r="H35" s="51">
        <f t="shared" si="3"/>
        <v>0.23851737461619449</v>
      </c>
      <c r="I35" s="51">
        <f t="shared" si="4"/>
        <v>0.70875504554481183</v>
      </c>
      <c r="J35" s="51">
        <f t="shared" ca="1" si="5"/>
        <v>-1.0899999332177401</v>
      </c>
      <c r="K35" s="51">
        <f t="shared" ca="1" si="1"/>
        <v>-1.7166507307418029</v>
      </c>
      <c r="L35" s="12">
        <f t="shared" ca="1" si="6"/>
        <v>4.4550000333911299</v>
      </c>
      <c r="M35" s="12">
        <f t="shared" ca="1" si="7"/>
        <v>5.9917224424036899</v>
      </c>
      <c r="N35" s="12">
        <f t="shared" ca="1" si="8"/>
        <v>5.9917224424036899</v>
      </c>
      <c r="O35" s="12">
        <f t="shared" ca="1" si="9"/>
        <v>86.056153718650535</v>
      </c>
      <c r="P35" s="12"/>
      <c r="Q35" s="12"/>
      <c r="R35" s="12"/>
      <c r="S35" s="12"/>
      <c r="T35" s="12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2"/>
      <c r="AS35" s="1"/>
      <c r="AT35" s="1"/>
    </row>
    <row r="36" spans="1:46" s="9" customFormat="1" ht="15.75" thickBot="1" x14ac:dyDescent="0.3">
      <c r="A36" s="1"/>
      <c r="B36" s="40"/>
      <c r="C36" s="51">
        <f t="shared" si="11"/>
        <v>5.25</v>
      </c>
      <c r="D36" s="51">
        <v>0.53737574680465239</v>
      </c>
      <c r="E36" s="51">
        <v>0.77695903027934987</v>
      </c>
      <c r="F36" s="51">
        <f t="shared" ref="F36:G36" si="28">AVERAGE(D32:D40)</f>
        <v>0.39779558378736146</v>
      </c>
      <c r="G36" s="51">
        <f t="shared" si="28"/>
        <v>0.61924396394574488</v>
      </c>
      <c r="H36" s="51">
        <f t="shared" si="3"/>
        <v>0.11709793470431452</v>
      </c>
      <c r="I36" s="51">
        <f t="shared" si="4"/>
        <v>0.75226838536318863</v>
      </c>
      <c r="J36" s="51">
        <f t="shared" ca="1" si="5"/>
        <v>-0.85462715853372095</v>
      </c>
      <c r="K36" s="51">
        <f t="shared" ca="1" si="1"/>
        <v>-1.1819507801918585</v>
      </c>
      <c r="L36" s="12">
        <f t="shared" ca="1" si="6"/>
        <v>4.5726864207331399</v>
      </c>
      <c r="M36" s="12">
        <f t="shared" ca="1" si="7"/>
        <v>7.8631722693284951</v>
      </c>
      <c r="N36" s="12">
        <f t="shared" ca="1" si="8"/>
        <v>7.8631722693284951</v>
      </c>
      <c r="O36" s="12">
        <f t="shared" ca="1" si="9"/>
        <v>96.803816555655033</v>
      </c>
      <c r="P36" s="12"/>
      <c r="Q36" s="12"/>
      <c r="R36" s="12"/>
      <c r="S36" s="12"/>
      <c r="T36" s="12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2"/>
      <c r="AS36" s="1"/>
      <c r="AT36" s="1"/>
    </row>
    <row r="37" spans="1:46" s="9" customFormat="1" x14ac:dyDescent="0.25">
      <c r="A37" s="1"/>
      <c r="B37" s="40"/>
      <c r="C37" s="51">
        <f t="shared" si="11"/>
        <v>5.5</v>
      </c>
      <c r="D37" s="51">
        <v>0.66856628473335422</v>
      </c>
      <c r="E37" s="51">
        <v>0.68384727766838371</v>
      </c>
      <c r="F37" s="51">
        <f t="shared" ref="F37:G37" si="29">AVERAGE(D33:D41)</f>
        <v>0.38122502480603571</v>
      </c>
      <c r="G37" s="51">
        <f t="shared" si="29"/>
        <v>0.53296026443243816</v>
      </c>
      <c r="H37" s="51">
        <f t="shared" si="3"/>
        <v>6.845193530423388E-2</v>
      </c>
      <c r="I37" s="51">
        <f t="shared" si="4"/>
        <v>0.53197134960929304</v>
      </c>
      <c r="J37" s="51">
        <f t="shared" ca="1" si="5"/>
        <v>1.8807946727092102</v>
      </c>
      <c r="K37" s="51">
        <f t="shared" ca="1" si="1"/>
        <v>1.7361712568092256</v>
      </c>
      <c r="L37" s="12">
        <f t="shared" ca="1" si="6"/>
        <v>5.9403973363546054</v>
      </c>
      <c r="M37" s="12">
        <f t="shared" ca="1" si="7"/>
        <v>18.07659939883229</v>
      </c>
      <c r="N37" s="12">
        <f t="shared" ca="1" si="8"/>
        <v>18.07659939883229</v>
      </c>
      <c r="O37" s="12">
        <f t="shared" ca="1" si="9"/>
        <v>380.08592149334186</v>
      </c>
      <c r="P37" s="12"/>
      <c r="Q37" s="12"/>
      <c r="R37" s="12"/>
      <c r="S37" s="12"/>
      <c r="T37" s="12"/>
      <c r="U37" s="41"/>
      <c r="V37" s="41"/>
      <c r="W37" s="41"/>
      <c r="X37" s="41"/>
      <c r="Y37" s="41"/>
      <c r="Z37" s="41"/>
      <c r="AA37" s="41"/>
      <c r="AB37" s="50" t="s">
        <v>27</v>
      </c>
      <c r="AC37" s="41"/>
      <c r="AD37" s="41"/>
      <c r="AE37" s="129" t="s">
        <v>26</v>
      </c>
      <c r="AF37" s="16">
        <f ca="1">AC39</f>
        <v>57.321759868278036</v>
      </c>
      <c r="AG37" s="17">
        <f ca="1">AF37+($AC$40-$AC$39)/10</f>
        <v>115.40758591749599</v>
      </c>
      <c r="AH37" s="17">
        <f t="shared" ref="AH37:AO37" ca="1" si="30">AG37+($AC$40-$AC$39)/10</f>
        <v>173.49341196671395</v>
      </c>
      <c r="AI37" s="17">
        <f t="shared" ca="1" si="30"/>
        <v>231.57923801593191</v>
      </c>
      <c r="AJ37" s="17">
        <f t="shared" ca="1" si="30"/>
        <v>289.66506406514986</v>
      </c>
      <c r="AK37" s="17">
        <f t="shared" ca="1" si="30"/>
        <v>347.75089011436779</v>
      </c>
      <c r="AL37" s="17">
        <f t="shared" ca="1" si="30"/>
        <v>405.83671616358572</v>
      </c>
      <c r="AM37" s="17">
        <f t="shared" ca="1" si="30"/>
        <v>463.92254221280365</v>
      </c>
      <c r="AN37" s="17">
        <f t="shared" ca="1" si="30"/>
        <v>522.00836826202158</v>
      </c>
      <c r="AO37" s="17">
        <f t="shared" ca="1" si="30"/>
        <v>580.09419431123956</v>
      </c>
      <c r="AP37" s="41"/>
      <c r="AQ37" s="41"/>
      <c r="AR37" s="42"/>
      <c r="AS37" s="1"/>
      <c r="AT37" s="1"/>
    </row>
    <row r="38" spans="1:46" s="9" customFormat="1" ht="15.75" thickBot="1" x14ac:dyDescent="0.3">
      <c r="A38" s="1"/>
      <c r="B38" s="40"/>
      <c r="C38" s="51">
        <f t="shared" si="11"/>
        <v>5.75</v>
      </c>
      <c r="D38" s="51">
        <v>0.48436822308853045</v>
      </c>
      <c r="E38" s="51">
        <v>0.88068872595606118</v>
      </c>
      <c r="F38" s="51">
        <f t="shared" ref="F38:G38" si="31">AVERAGE(D34:D42)</f>
        <v>0.36117570968893054</v>
      </c>
      <c r="G38" s="51">
        <f t="shared" si="31"/>
        <v>0.57394219373420496</v>
      </c>
      <c r="H38" s="51">
        <f t="shared" si="3"/>
        <v>9.5933915304321146E-3</v>
      </c>
      <c r="I38" s="51">
        <f t="shared" si="4"/>
        <v>0.63660522130904107</v>
      </c>
      <c r="J38" s="51">
        <f t="shared" ca="1" si="5"/>
        <v>-0.63817046285133905</v>
      </c>
      <c r="K38" s="51">
        <f t="shared" ca="1" si="1"/>
        <v>-0.80896310516013925</v>
      </c>
      <c r="L38" s="12">
        <f t="shared" ca="1" si="6"/>
        <v>4.6809147685743309</v>
      </c>
      <c r="M38" s="12">
        <f t="shared" ca="1" si="7"/>
        <v>9.1686291319395128</v>
      </c>
      <c r="N38" s="12">
        <f t="shared" ca="1" si="8"/>
        <v>9.1686291319395128</v>
      </c>
      <c r="O38" s="12">
        <f t="shared" ca="1" si="9"/>
        <v>107.86870235187619</v>
      </c>
      <c r="P38" s="12"/>
      <c r="Q38" s="12"/>
      <c r="R38" s="12"/>
      <c r="S38" s="12"/>
      <c r="T38" s="12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130"/>
      <c r="AF38" s="19">
        <f ca="1">AF37+($AC$40-$AC$39)/10</f>
        <v>115.40758591749599</v>
      </c>
      <c r="AG38" s="20">
        <f ca="1">AG37+($AC$40-$AC$39)/10</f>
        <v>173.49341196671395</v>
      </c>
      <c r="AH38" s="20">
        <f t="shared" ref="AH38:AO38" ca="1" si="32">AH37+($AC$40-$AC$39)/10</f>
        <v>231.57923801593191</v>
      </c>
      <c r="AI38" s="20">
        <f t="shared" ca="1" si="32"/>
        <v>289.66506406514986</v>
      </c>
      <c r="AJ38" s="20">
        <f t="shared" ca="1" si="32"/>
        <v>347.75089011436779</v>
      </c>
      <c r="AK38" s="20">
        <f t="shared" ca="1" si="32"/>
        <v>405.83671616358572</v>
      </c>
      <c r="AL38" s="20">
        <f t="shared" ca="1" si="32"/>
        <v>463.92254221280365</v>
      </c>
      <c r="AM38" s="20">
        <f t="shared" ca="1" si="32"/>
        <v>522.00836826202158</v>
      </c>
      <c r="AN38" s="20">
        <f t="shared" ca="1" si="32"/>
        <v>580.09419431123956</v>
      </c>
      <c r="AO38" s="20">
        <f t="shared" ca="1" si="32"/>
        <v>638.18002036045755</v>
      </c>
      <c r="AP38" s="41"/>
      <c r="AQ38" s="41"/>
      <c r="AR38" s="42"/>
      <c r="AS38" s="1"/>
      <c r="AT38" s="1"/>
    </row>
    <row r="39" spans="1:46" s="9" customFormat="1" x14ac:dyDescent="0.25">
      <c r="A39" s="1"/>
      <c r="B39" s="40"/>
      <c r="C39" s="51">
        <f t="shared" si="11"/>
        <v>6</v>
      </c>
      <c r="D39" s="51">
        <v>0.16455385993571203</v>
      </c>
      <c r="E39" s="51">
        <v>0.36895852884268088</v>
      </c>
      <c r="F39" s="51">
        <f t="shared" ref="F39:G39" si="33">AVERAGE(D35:D43)</f>
        <v>0.3944164603966463</v>
      </c>
      <c r="G39" s="51">
        <f t="shared" si="33"/>
        <v>0.52907844413412808</v>
      </c>
      <c r="H39" s="51">
        <f t="shared" si="3"/>
        <v>0.10717788103426164</v>
      </c>
      <c r="I39" s="51">
        <f t="shared" si="4"/>
        <v>0.52206039875912547</v>
      </c>
      <c r="J39" s="51">
        <f t="shared" ca="1" si="5"/>
        <v>0.33020300561020793</v>
      </c>
      <c r="K39" s="51">
        <f t="shared" ca="1" si="1"/>
        <v>0.3018522131138181</v>
      </c>
      <c r="L39" s="12">
        <f t="shared" ca="1" si="6"/>
        <v>5.1651015028051042</v>
      </c>
      <c r="M39" s="12">
        <f t="shared" ca="1" si="7"/>
        <v>13.056482745898364</v>
      </c>
      <c r="N39" s="12">
        <f t="shared" ca="1" si="8"/>
        <v>13.056482745898364</v>
      </c>
      <c r="O39" s="12">
        <f t="shared" ca="1" si="9"/>
        <v>175.05522626656114</v>
      </c>
      <c r="P39" s="12"/>
      <c r="Q39" s="12"/>
      <c r="R39" s="12"/>
      <c r="S39" s="12"/>
      <c r="T39" s="12"/>
      <c r="U39" s="41"/>
      <c r="V39" s="41"/>
      <c r="W39" s="41"/>
      <c r="X39" s="41"/>
      <c r="Y39" s="41"/>
      <c r="Z39" s="41"/>
      <c r="AA39" s="41"/>
      <c r="AB39" s="26" t="s">
        <v>13</v>
      </c>
      <c r="AC39" s="22">
        <f ca="1">MIN(O16:O120)</f>
        <v>57.321759868278036</v>
      </c>
      <c r="AD39" s="46" t="s">
        <v>0</v>
      </c>
      <c r="AE39" s="34">
        <f ca="1">MIN(O16:O120)</f>
        <v>57.321759868278036</v>
      </c>
      <c r="AF39" s="17">
        <f ca="1">AVERAGE(AF37:AF38)</f>
        <v>86.364672892887015</v>
      </c>
      <c r="AG39" s="17">
        <f t="shared" ref="AG39:AO39" ca="1" si="34">AVERAGE(AG37:AG38)</f>
        <v>144.45049894210496</v>
      </c>
      <c r="AH39" s="17">
        <f t="shared" ca="1" si="34"/>
        <v>202.53632499132294</v>
      </c>
      <c r="AI39" s="17">
        <f t="shared" ca="1" si="34"/>
        <v>260.62215104054087</v>
      </c>
      <c r="AJ39" s="17">
        <f t="shared" ca="1" si="34"/>
        <v>318.70797708975886</v>
      </c>
      <c r="AK39" s="17">
        <f t="shared" ca="1" si="34"/>
        <v>376.79380313897673</v>
      </c>
      <c r="AL39" s="17">
        <f t="shared" ca="1" si="34"/>
        <v>434.87962918819471</v>
      </c>
      <c r="AM39" s="17">
        <f t="shared" ca="1" si="34"/>
        <v>492.96545523741258</v>
      </c>
      <c r="AN39" s="17">
        <f t="shared" ca="1" si="34"/>
        <v>551.05128128663057</v>
      </c>
      <c r="AO39" s="17">
        <f t="shared" ca="1" si="34"/>
        <v>609.13710733584855</v>
      </c>
      <c r="AP39" s="24">
        <f ca="1">AC40</f>
        <v>638.18002036045755</v>
      </c>
      <c r="AQ39" s="41"/>
      <c r="AR39" s="42"/>
      <c r="AS39" s="1"/>
      <c r="AT39" s="1"/>
    </row>
    <row r="40" spans="1:46" s="9" customFormat="1" ht="15.75" thickBot="1" x14ac:dyDescent="0.3">
      <c r="A40" s="1"/>
      <c r="B40" s="40"/>
      <c r="C40" s="51">
        <f t="shared" si="11"/>
        <v>6.25</v>
      </c>
      <c r="D40" s="51">
        <v>9.5503369349134171E-2</v>
      </c>
      <c r="E40" s="51">
        <v>0.39138523872667208</v>
      </c>
      <c r="F40" s="51">
        <f t="shared" ref="F40:G40" si="35">AVERAGE(D36:D44)</f>
        <v>0.46895363187869182</v>
      </c>
      <c r="G40" s="51">
        <f t="shared" si="35"/>
        <v>0.5578487361275779</v>
      </c>
      <c r="H40" s="51">
        <f t="shared" si="3"/>
        <v>0.32599579799684297</v>
      </c>
      <c r="I40" s="51">
        <f t="shared" si="4"/>
        <v>0.59551587273255635</v>
      </c>
      <c r="J40" s="51">
        <f t="shared" ca="1" si="5"/>
        <v>1.0844285995029714</v>
      </c>
      <c r="K40" s="51">
        <f t="shared" ca="1" si="1"/>
        <v>-0.11716813231812062</v>
      </c>
      <c r="L40" s="12">
        <f t="shared" ca="1" si="6"/>
        <v>5.5422142997514854</v>
      </c>
      <c r="M40" s="12">
        <f t="shared" ca="1" si="7"/>
        <v>11.589911536886579</v>
      </c>
      <c r="N40" s="12">
        <f t="shared" ca="1" si="8"/>
        <v>11.589911536886579</v>
      </c>
      <c r="O40" s="12">
        <f t="shared" ca="1" si="9"/>
        <v>255.24255770938689</v>
      </c>
      <c r="P40" s="12"/>
      <c r="Q40" s="12"/>
      <c r="R40" s="12"/>
      <c r="S40" s="12"/>
      <c r="T40" s="12"/>
      <c r="U40" s="41"/>
      <c r="V40" s="41"/>
      <c r="W40" s="41"/>
      <c r="X40" s="41"/>
      <c r="Y40" s="41"/>
      <c r="Z40" s="41"/>
      <c r="AA40" s="41"/>
      <c r="AB40" s="27" t="s">
        <v>14</v>
      </c>
      <c r="AC40" s="23">
        <f ca="1">MAX(O16:O120)</f>
        <v>638.18002036045755</v>
      </c>
      <c r="AD40" s="46" t="s">
        <v>24</v>
      </c>
      <c r="AE40" s="35">
        <v>0</v>
      </c>
      <c r="AF40" s="20">
        <f ca="1">COUNTIF($O$16:$O$120,"&lt;"&amp;AF38)/COUNT($O$16:$O$120)</f>
        <v>0.31428571428571428</v>
      </c>
      <c r="AG40" s="20">
        <f ca="1">(COUNTIF($O$16:$O$120,"&lt;"&amp;AG38)-AF40)/COUNT(O16:O120)</f>
        <v>0.59700680272108841</v>
      </c>
      <c r="AH40" s="20">
        <f ca="1">(COUNTIF($O$16:$O$120,"&lt;"&amp;AH38)/COUNT($O$16:$O$120))-SUM($AF$40:AG40)</f>
        <v>-0.13034013605442174</v>
      </c>
      <c r="AI40" s="20">
        <f ca="1">(COUNTIF($O$16:$O$120,"&lt;"&amp;AI38)/COUNT($O$16:$O$120))-SUM($AF$40:AH40)</f>
        <v>0.11428571428571432</v>
      </c>
      <c r="AJ40" s="20">
        <f ca="1">(COUNTIF($O$16:$O$120,"&lt;"&amp;AJ38)/COUNT($O$16:$O$120))-SUM($AF$40:AI40)</f>
        <v>5.7142857142857051E-2</v>
      </c>
      <c r="AK40" s="20">
        <f ca="1">(COUNTIF($O$16:$O$120,"&lt;"&amp;AK38)/COUNT($O$16:$O$120))-SUM($AF$40:AJ40)</f>
        <v>2.8571428571428581E-2</v>
      </c>
      <c r="AL40" s="20">
        <f ca="1">(COUNTIF($O$16:$O$120,"&lt;"&amp;AL38)/COUNT($O$16:$O$120))-SUM($AF$40:AK40)</f>
        <v>9.523809523809601E-3</v>
      </c>
      <c r="AM40" s="20">
        <f ca="1">(COUNTIF($O$16:$O$120,"&lt;"&amp;AM38)/COUNT($O$16:$O$120))-SUM($AF$40:AL40)</f>
        <v>0</v>
      </c>
      <c r="AN40" s="20">
        <f ca="1">(COUNTIF($O$16:$O$120,"&lt;"&amp;AN38)/COUNT($O$16:$O$120))-SUM($AF$40:AM40)</f>
        <v>0</v>
      </c>
      <c r="AO40" s="20">
        <f ca="1">(COUNTIF($O$16:$O$120,"&lt;"&amp;AO38)/COUNT($O$16:$O$120))-SUM($AF$40:AN40)</f>
        <v>0</v>
      </c>
      <c r="AP40" s="25">
        <v>0</v>
      </c>
      <c r="AQ40" s="41"/>
      <c r="AR40" s="42"/>
      <c r="AS40" s="1"/>
      <c r="AT40" s="1"/>
    </row>
    <row r="41" spans="1:46" s="9" customFormat="1" ht="15.75" thickBot="1" x14ac:dyDescent="0.3">
      <c r="A41" s="1"/>
      <c r="B41" s="40"/>
      <c r="C41" s="51">
        <f t="shared" si="11"/>
        <v>6.5</v>
      </c>
      <c r="D41" s="51">
        <v>0.17658597816045229</v>
      </c>
      <c r="E41" s="51">
        <v>0.20395597925691522</v>
      </c>
      <c r="F41" s="51">
        <f t="shared" ref="F41:G41" si="36">AVERAGE(D37:D45)</f>
        <v>0.4154631806624457</v>
      </c>
      <c r="G41" s="51">
        <f t="shared" si="36"/>
        <v>0.48446282470088714</v>
      </c>
      <c r="H41" s="51">
        <f t="shared" si="3"/>
        <v>0.16896449563052005</v>
      </c>
      <c r="I41" s="51">
        <f t="shared" si="4"/>
        <v>0.40814909494500135</v>
      </c>
      <c r="J41" s="51">
        <f t="shared" ca="1" si="5"/>
        <v>1.594262537701211</v>
      </c>
      <c r="K41" s="51">
        <f t="shared" ca="1" si="1"/>
        <v>1.3064799656496224</v>
      </c>
      <c r="L41" s="12">
        <f t="shared" ca="1" si="6"/>
        <v>5.7971312688506051</v>
      </c>
      <c r="M41" s="12">
        <f t="shared" ca="1" si="7"/>
        <v>16.572679879773681</v>
      </c>
      <c r="N41" s="12">
        <f t="shared" ca="1" si="8"/>
        <v>16.572679879773681</v>
      </c>
      <c r="O41" s="12">
        <f t="shared" ca="1" si="9"/>
        <v>329.35337709445548</v>
      </c>
      <c r="P41" s="12"/>
      <c r="Q41" s="12"/>
      <c r="R41" s="12"/>
      <c r="S41" s="12"/>
      <c r="T41" s="12"/>
      <c r="U41" s="41"/>
      <c r="V41" s="41"/>
      <c r="W41" s="41"/>
      <c r="X41" s="41"/>
      <c r="Y41" s="41"/>
      <c r="Z41" s="41"/>
      <c r="AA41" s="41"/>
      <c r="AB41" s="41"/>
      <c r="AC41" s="41"/>
      <c r="AD41" s="46" t="s">
        <v>41</v>
      </c>
      <c r="AE41" s="31">
        <f>AE40</f>
        <v>0</v>
      </c>
      <c r="AF41" s="32">
        <f ca="1">AF40+AE41</f>
        <v>0.31428571428571428</v>
      </c>
      <c r="AG41" s="32">
        <f t="shared" ref="AG41:AP41" ca="1" si="37">AG40+AF41</f>
        <v>0.91129251700680269</v>
      </c>
      <c r="AH41" s="32">
        <f t="shared" ca="1" si="37"/>
        <v>0.78095238095238095</v>
      </c>
      <c r="AI41" s="32">
        <f t="shared" ca="1" si="37"/>
        <v>0.89523809523809528</v>
      </c>
      <c r="AJ41" s="32">
        <f t="shared" ca="1" si="37"/>
        <v>0.95238095238095233</v>
      </c>
      <c r="AK41" s="32">
        <f t="shared" ca="1" si="37"/>
        <v>0.98095238095238091</v>
      </c>
      <c r="AL41" s="32">
        <f t="shared" ca="1" si="37"/>
        <v>0.99047619047619051</v>
      </c>
      <c r="AM41" s="32">
        <f t="shared" ca="1" si="37"/>
        <v>0.99047619047619051</v>
      </c>
      <c r="AN41" s="32">
        <f t="shared" ca="1" si="37"/>
        <v>0.99047619047619051</v>
      </c>
      <c r="AO41" s="32">
        <f t="shared" ca="1" si="37"/>
        <v>0.99047619047619051</v>
      </c>
      <c r="AP41" s="33">
        <f t="shared" ca="1" si="37"/>
        <v>0.99047619047619051</v>
      </c>
      <c r="AQ41" s="41"/>
      <c r="AR41" s="42"/>
      <c r="AS41" s="1"/>
      <c r="AT41" s="1"/>
    </row>
    <row r="42" spans="1:46" s="9" customFormat="1" x14ac:dyDescent="0.25">
      <c r="A42" s="1"/>
      <c r="B42" s="40"/>
      <c r="C42" s="51">
        <f t="shared" si="11"/>
        <v>6.75</v>
      </c>
      <c r="D42" s="51">
        <v>0.43754030875444438</v>
      </c>
      <c r="E42" s="51">
        <v>0.94565208048367044</v>
      </c>
      <c r="F42" s="51">
        <f t="shared" ref="F42:G42" si="38">AVERAGE(D38:D46)</f>
        <v>0.40800137314374219</v>
      </c>
      <c r="G42" s="51">
        <f t="shared" si="38"/>
        <v>0.47000863836070284</v>
      </c>
      <c r="H42" s="51">
        <f t="shared" si="3"/>
        <v>0.14705895312664691</v>
      </c>
      <c r="I42" s="51">
        <f t="shared" si="4"/>
        <v>0.37124508615842883</v>
      </c>
      <c r="J42" s="51">
        <f t="shared" ca="1" si="5"/>
        <v>-0.2972331968225001</v>
      </c>
      <c r="K42" s="51">
        <f t="shared" ca="1" si="1"/>
        <v>-4.5789333921446879E-2</v>
      </c>
      <c r="L42" s="12">
        <f t="shared" ca="1" si="6"/>
        <v>4.85138340158875</v>
      </c>
      <c r="M42" s="12">
        <f t="shared" ca="1" si="7"/>
        <v>11.839737331274936</v>
      </c>
      <c r="N42" s="12">
        <f t="shared" ca="1" si="8"/>
        <v>11.839737331274936</v>
      </c>
      <c r="O42" s="12">
        <f t="shared" ca="1" si="9"/>
        <v>127.91722839545172</v>
      </c>
      <c r="P42" s="12"/>
      <c r="Q42" s="12"/>
      <c r="R42" s="12"/>
      <c r="S42" s="12"/>
      <c r="T42" s="12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2"/>
      <c r="AS42" s="1"/>
      <c r="AT42" s="1"/>
    </row>
    <row r="43" spans="1:46" s="9" customFormat="1" x14ac:dyDescent="0.25">
      <c r="A43" s="1"/>
      <c r="B43" s="40"/>
      <c r="C43" s="51">
        <f t="shared" si="11"/>
        <v>7</v>
      </c>
      <c r="D43" s="51">
        <v>0.93586807656731641</v>
      </c>
      <c r="E43" s="51">
        <v>6.936207282385265E-2</v>
      </c>
      <c r="F43" s="51">
        <f t="shared" ref="F43:G43" si="39">AVERAGE(D39:D47)</f>
        <v>0.40848884230875482</v>
      </c>
      <c r="G43" s="51">
        <f t="shared" si="39"/>
        <v>0.372365387361627</v>
      </c>
      <c r="H43" s="51">
        <f t="shared" si="3"/>
        <v>0.14849001074730328</v>
      </c>
      <c r="I43" s="51">
        <f t="shared" si="4"/>
        <v>0.12194517345414518</v>
      </c>
      <c r="J43" s="51">
        <f t="shared" ca="1" si="5"/>
        <v>1.1627250741723891</v>
      </c>
      <c r="K43" s="51">
        <f t="shared" ca="1" si="1"/>
        <v>0.58346000958608413</v>
      </c>
      <c r="L43" s="12">
        <f t="shared" ca="1" si="6"/>
        <v>5.5813625370861946</v>
      </c>
      <c r="M43" s="12">
        <f t="shared" ca="1" si="7"/>
        <v>14.042110033551294</v>
      </c>
      <c r="N43" s="12">
        <f t="shared" ca="1" si="8"/>
        <v>14.042110033551294</v>
      </c>
      <c r="O43" s="12">
        <f t="shared" ca="1" si="9"/>
        <v>265.43302184508536</v>
      </c>
      <c r="P43" s="12"/>
      <c r="Q43" s="12"/>
      <c r="R43" s="12"/>
      <c r="S43" s="12"/>
      <c r="T43" s="12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2"/>
      <c r="AS43" s="1"/>
      <c r="AT43" s="1"/>
    </row>
    <row r="44" spans="1:46" s="9" customFormat="1" x14ac:dyDescent="0.25">
      <c r="A44" s="1"/>
      <c r="B44" s="40"/>
      <c r="C44" s="51">
        <f t="shared" si="11"/>
        <v>7.25</v>
      </c>
      <c r="D44" s="51">
        <v>0.72022083951462956</v>
      </c>
      <c r="E44" s="51">
        <v>0.69982969111061599</v>
      </c>
      <c r="F44" s="51">
        <f t="shared" ref="F44:G44" si="40">AVERAGE(D40:D48)</f>
        <v>0.4537781597607109</v>
      </c>
      <c r="G44" s="51">
        <f t="shared" si="40"/>
        <v>0.35980296901777903</v>
      </c>
      <c r="H44" s="51">
        <f t="shared" si="3"/>
        <v>0.28144533905461977</v>
      </c>
      <c r="I44" s="51">
        <f t="shared" si="4"/>
        <v>8.9871171775261799E-2</v>
      </c>
      <c r="J44" s="51">
        <f t="shared" ca="1" si="5"/>
        <v>0.27908345122594319</v>
      </c>
      <c r="K44" s="51">
        <f t="shared" ca="1" si="1"/>
        <v>-7.2839909657798352E-2</v>
      </c>
      <c r="L44" s="12">
        <f t="shared" ca="1" si="6"/>
        <v>5.1395417256129718</v>
      </c>
      <c r="M44" s="12">
        <f t="shared" ca="1" si="7"/>
        <v>11.745060316197705</v>
      </c>
      <c r="N44" s="12">
        <f t="shared" ca="1" si="8"/>
        <v>11.745060316197705</v>
      </c>
      <c r="O44" s="12">
        <f t="shared" ca="1" si="9"/>
        <v>170.63755158097263</v>
      </c>
      <c r="P44" s="12"/>
      <c r="Q44" s="12"/>
      <c r="R44" s="12"/>
      <c r="S44" s="12"/>
      <c r="T44" s="12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2"/>
      <c r="AS44" s="1"/>
      <c r="AT44" s="1"/>
    </row>
    <row r="45" spans="1:46" s="9" customFormat="1" x14ac:dyDescent="0.25">
      <c r="A45" s="1"/>
      <c r="B45" s="40"/>
      <c r="C45" s="51">
        <f t="shared" si="11"/>
        <v>7.5</v>
      </c>
      <c r="D45" s="51">
        <v>5.5961685858437304E-2</v>
      </c>
      <c r="E45" s="51">
        <v>0.11648582743913205</v>
      </c>
      <c r="F45" s="51">
        <f t="shared" ref="F45:G45" si="41">AVERAGE(D41:D49)</f>
        <v>0.46445716630103068</v>
      </c>
      <c r="G45" s="51">
        <f t="shared" si="41"/>
        <v>0.40534160444455519</v>
      </c>
      <c r="H45" s="51">
        <f t="shared" si="3"/>
        <v>0.31279557572070299</v>
      </c>
      <c r="I45" s="51">
        <f t="shared" si="4"/>
        <v>0.2061390932179322</v>
      </c>
      <c r="J45" s="51">
        <f t="shared" ca="1" si="5"/>
        <v>1.4870079313284714</v>
      </c>
      <c r="K45" s="51">
        <f t="shared" ca="1" si="1"/>
        <v>0.99281017228578183</v>
      </c>
      <c r="L45" s="12">
        <f t="shared" ca="1" si="6"/>
        <v>5.7435039656642353</v>
      </c>
      <c r="M45" s="12">
        <f t="shared" ca="1" si="7"/>
        <v>15.474835603000237</v>
      </c>
      <c r="N45" s="12">
        <f t="shared" ca="1" si="8"/>
        <v>15.474835603000237</v>
      </c>
      <c r="O45" s="12">
        <f t="shared" ca="1" si="9"/>
        <v>312.15628181865384</v>
      </c>
      <c r="P45" s="12"/>
      <c r="Q45" s="12"/>
      <c r="R45" s="12"/>
      <c r="S45" s="12"/>
      <c r="T45" s="12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2"/>
      <c r="AS45" s="1"/>
      <c r="AT45" s="1"/>
    </row>
    <row r="46" spans="1:46" s="9" customFormat="1" x14ac:dyDescent="0.25">
      <c r="A46" s="1"/>
      <c r="B46" s="40"/>
      <c r="C46" s="51">
        <f t="shared" si="11"/>
        <v>7.75</v>
      </c>
      <c r="D46" s="51">
        <v>0.60141001706502295</v>
      </c>
      <c r="E46" s="51">
        <v>0.55375960060672469</v>
      </c>
      <c r="F46" s="51">
        <f t="shared" ref="F46:G46" si="42">AVERAGE(D42:D50)</f>
        <v>0.54696447938144643</v>
      </c>
      <c r="G46" s="51">
        <f t="shared" si="42"/>
        <v>0.42316321323535178</v>
      </c>
      <c r="H46" s="51">
        <f t="shared" si="3"/>
        <v>0.555011345697767</v>
      </c>
      <c r="I46" s="51">
        <f t="shared" si="4"/>
        <v>0.25164070720902648</v>
      </c>
      <c r="J46" s="51">
        <f t="shared" ca="1" si="5"/>
        <v>1.1974795631911956</v>
      </c>
      <c r="K46" s="51">
        <f t="shared" ca="1" si="1"/>
        <v>-1.5968497851213126E-2</v>
      </c>
      <c r="L46" s="12">
        <f t="shared" ca="1" si="6"/>
        <v>5.5987397815955982</v>
      </c>
      <c r="M46" s="12">
        <f t="shared" ca="1" si="7"/>
        <v>11.944110257520753</v>
      </c>
      <c r="N46" s="12">
        <f t="shared" ca="1" si="8"/>
        <v>11.944110257520753</v>
      </c>
      <c r="O46" s="12">
        <f t="shared" ca="1" si="9"/>
        <v>270.08582573920756</v>
      </c>
      <c r="P46" s="12"/>
      <c r="Q46" s="12"/>
      <c r="R46" s="12"/>
      <c r="S46" s="12"/>
      <c r="T46" s="12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2"/>
      <c r="AS46" s="1"/>
      <c r="AT46" s="1"/>
    </row>
    <row r="47" spans="1:46" s="9" customFormat="1" x14ac:dyDescent="0.25">
      <c r="A47" s="1"/>
      <c r="B47" s="40"/>
      <c r="C47" s="51">
        <f t="shared" si="11"/>
        <v>8</v>
      </c>
      <c r="D47" s="51">
        <v>0.48875544557364448</v>
      </c>
      <c r="E47" s="51">
        <v>1.8994669643791484E-3</v>
      </c>
      <c r="F47" s="51">
        <f t="shared" ref="F47:G47" si="43">AVERAGE(D43:D51)</f>
        <v>0.578470482499443</v>
      </c>
      <c r="G47" s="51">
        <f t="shared" si="43"/>
        <v>0.34228190293476168</v>
      </c>
      <c r="H47" s="51">
        <f t="shared" si="3"/>
        <v>0.64750315665623948</v>
      </c>
      <c r="I47" s="51">
        <f t="shared" si="4"/>
        <v>4.5136894697335013E-2</v>
      </c>
      <c r="J47" s="51">
        <f t="shared" ca="1" si="5"/>
        <v>1.6207232257856419</v>
      </c>
      <c r="K47" s="51">
        <f t="shared" ca="1" si="1"/>
        <v>1.5525486943127942</v>
      </c>
      <c r="L47" s="12">
        <f t="shared" ca="1" si="6"/>
        <v>5.8103616128928213</v>
      </c>
      <c r="M47" s="12">
        <f t="shared" ca="1" si="7"/>
        <v>17.43392043009478</v>
      </c>
      <c r="N47" s="12">
        <f t="shared" ca="1" si="8"/>
        <v>17.43392043009478</v>
      </c>
      <c r="O47" s="12">
        <f t="shared" ca="1" si="9"/>
        <v>333.73978846699936</v>
      </c>
      <c r="P47" s="12"/>
      <c r="Q47" s="12"/>
      <c r="R47" s="12"/>
      <c r="S47" s="12"/>
      <c r="T47" s="12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2"/>
      <c r="AS47" s="1"/>
      <c r="AT47" s="1"/>
    </row>
    <row r="48" spans="1:46" s="9" customFormat="1" x14ac:dyDescent="0.25">
      <c r="A48" s="1"/>
      <c r="B48" s="40"/>
      <c r="C48" s="51">
        <f t="shared" si="11"/>
        <v>8.25</v>
      </c>
      <c r="D48" s="51">
        <v>0.57215771700331641</v>
      </c>
      <c r="E48" s="51">
        <v>0.25589676374804926</v>
      </c>
      <c r="F48" s="51">
        <f t="shared" ref="F48:G48" si="44">AVERAGE(D44:D52)</f>
        <v>0.56784708830647146</v>
      </c>
      <c r="G48" s="51">
        <f t="shared" si="44"/>
        <v>0.3624094391028882</v>
      </c>
      <c r="H48" s="51">
        <f t="shared" si="3"/>
        <v>0.61631618051859027</v>
      </c>
      <c r="I48" s="51">
        <f t="shared" si="4"/>
        <v>9.6525935499691587E-2</v>
      </c>
      <c r="J48" s="51">
        <f t="shared" ca="1" si="5"/>
        <v>-0.15113483264748062</v>
      </c>
      <c r="K48" s="51">
        <f t="shared" ref="K48:K79" ca="1" si="45">_xlfn.NORM.INV(RAND(),$K$10+$K$12*($K$11/$K$8)*(J48-$K$7),SQRT($K$12*$K$8*$K$11))</f>
        <v>-1.2422478438253008</v>
      </c>
      <c r="L48" s="12">
        <f t="shared" ca="1" si="6"/>
        <v>4.9244325836762597</v>
      </c>
      <c r="M48" s="12">
        <f t="shared" ca="1" si="7"/>
        <v>7.6521325466114467</v>
      </c>
      <c r="N48" s="12">
        <f t="shared" ca="1" si="8"/>
        <v>7.6521325466114467</v>
      </c>
      <c r="O48" s="12">
        <f t="shared" ref="O48:O80" ca="1" si="46">EXP(L48)</f>
        <v>137.61123662393231</v>
      </c>
      <c r="P48" s="12"/>
      <c r="Q48" s="12"/>
      <c r="R48" s="12"/>
      <c r="S48" s="12"/>
      <c r="T48" s="12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2"/>
      <c r="AS48" s="1"/>
      <c r="AT48" s="1"/>
    </row>
    <row r="49" spans="1:46" s="9" customFormat="1" x14ac:dyDescent="0.25">
      <c r="A49" s="1"/>
      <c r="B49" s="40"/>
      <c r="C49" s="51">
        <f t="shared" si="11"/>
        <v>8.5</v>
      </c>
      <c r="D49" s="51">
        <v>0.19161442821201158</v>
      </c>
      <c r="E49" s="51">
        <v>0.80123295756765711</v>
      </c>
      <c r="F49" s="51">
        <f t="shared" ref="F49:G49" si="47">AVERAGE(D45:D53)</f>
        <v>0.56756214632451396</v>
      </c>
      <c r="G49" s="51">
        <f t="shared" si="47"/>
        <v>0.32467441432511518</v>
      </c>
      <c r="H49" s="51">
        <f t="shared" si="3"/>
        <v>0.61547967961967776</v>
      </c>
      <c r="I49" s="51">
        <f t="shared" si="4"/>
        <v>1.819661342939455E-4</v>
      </c>
      <c r="J49" s="51">
        <f t="shared" ca="1" si="5"/>
        <v>-8.1721462438800505E-2</v>
      </c>
      <c r="K49" s="51">
        <f t="shared" ca="1" si="45"/>
        <v>-0.46534774030378229</v>
      </c>
      <c r="L49" s="12">
        <f t="shared" ca="1" si="6"/>
        <v>4.9591392687806</v>
      </c>
      <c r="M49" s="12">
        <f t="shared" ca="1" si="7"/>
        <v>10.371282908936761</v>
      </c>
      <c r="N49" s="12">
        <f t="shared" ca="1" si="8"/>
        <v>10.371282908936761</v>
      </c>
      <c r="O49" s="12">
        <f t="shared" ca="1" si="46"/>
        <v>142.47111377090997</v>
      </c>
      <c r="P49" s="12"/>
      <c r="Q49" s="12"/>
      <c r="R49" s="12"/>
      <c r="S49" s="12"/>
      <c r="T49" s="12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2"/>
      <c r="AS49" s="1"/>
      <c r="AT49" s="1"/>
    </row>
    <row r="50" spans="1:46" s="9" customFormat="1" x14ac:dyDescent="0.25">
      <c r="A50" s="1"/>
      <c r="B50" s="40"/>
      <c r="C50" s="51">
        <f t="shared" si="11"/>
        <v>8.75</v>
      </c>
      <c r="D50" s="51">
        <v>0.91915179588419571</v>
      </c>
      <c r="E50" s="51">
        <v>0.36435045837408464</v>
      </c>
      <c r="F50" s="51">
        <f t="shared" ref="F50:G50" si="48">AVERAGE(D46:D54)</f>
        <v>0.66131644813260038</v>
      </c>
      <c r="G50" s="51">
        <f t="shared" si="48"/>
        <v>0.35091207026266424</v>
      </c>
      <c r="H50" s="51">
        <f t="shared" si="3"/>
        <v>0.8907131050370658</v>
      </c>
      <c r="I50" s="51">
        <f t="shared" si="4"/>
        <v>6.7171187282388661E-2</v>
      </c>
      <c r="J50" s="51">
        <f t="shared" ca="1" si="5"/>
        <v>-0.53373399719007397</v>
      </c>
      <c r="K50" s="51">
        <f t="shared" ca="1" si="45"/>
        <v>-1.8351649643788424</v>
      </c>
      <c r="L50" s="12">
        <f t="shared" ca="1" si="6"/>
        <v>4.7331330014049628</v>
      </c>
      <c r="M50" s="12">
        <f t="shared" ca="1" si="7"/>
        <v>5.5769226246740518</v>
      </c>
      <c r="N50" s="12">
        <f t="shared" ca="1" si="8"/>
        <v>5.5769226246740518</v>
      </c>
      <c r="O50" s="12">
        <f t="shared" ca="1" si="46"/>
        <v>113.65107412331939</v>
      </c>
      <c r="P50" s="12"/>
      <c r="Q50" s="12"/>
      <c r="R50" s="12"/>
      <c r="S50" s="12"/>
      <c r="T50" s="12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2"/>
      <c r="AS50" s="1"/>
      <c r="AT50" s="1"/>
    </row>
    <row r="51" spans="1:46" s="9" customFormat="1" x14ac:dyDescent="0.25">
      <c r="A51" s="1"/>
      <c r="B51" s="40"/>
      <c r="C51" s="51">
        <f t="shared" si="11"/>
        <v>9</v>
      </c>
      <c r="D51" s="51">
        <v>0.72109433681641255</v>
      </c>
      <c r="E51" s="51">
        <v>0.21772028777836061</v>
      </c>
      <c r="F51" s="51">
        <f t="shared" ref="F51:G51" si="49">AVERAGE(D47:D55)</f>
        <v>0.69854345469434143</v>
      </c>
      <c r="G51" s="51">
        <f t="shared" si="49"/>
        <v>0.37760277579576418</v>
      </c>
      <c r="H51" s="51">
        <f t="shared" si="3"/>
        <v>1</v>
      </c>
      <c r="I51" s="51">
        <f t="shared" si="4"/>
        <v>0.13531712150041805</v>
      </c>
      <c r="J51" s="51">
        <f t="shared" ca="1" si="5"/>
        <v>2.0963899500625711</v>
      </c>
      <c r="K51" s="51">
        <f t="shared" ca="1" si="45"/>
        <v>0.84726438308926566</v>
      </c>
      <c r="L51" s="12">
        <f t="shared" ca="1" si="6"/>
        <v>6.0481949750312856</v>
      </c>
      <c r="M51" s="12">
        <f t="shared" ca="1" si="7"/>
        <v>14.96542534081243</v>
      </c>
      <c r="N51" s="12">
        <f t="shared" ca="1" si="8"/>
        <v>14.96542534081243</v>
      </c>
      <c r="O51" s="12">
        <f t="shared" ca="1" si="46"/>
        <v>423.34818592500551</v>
      </c>
      <c r="P51" s="12"/>
      <c r="Q51" s="12"/>
      <c r="R51" s="12"/>
      <c r="S51" s="12"/>
      <c r="T51" s="12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2"/>
      <c r="AS51" s="1"/>
      <c r="AT51" s="1"/>
    </row>
    <row r="52" spans="1:46" s="9" customFormat="1" x14ac:dyDescent="0.25">
      <c r="A52" s="1"/>
      <c r="B52" s="40"/>
      <c r="C52" s="51">
        <f t="shared" si="11"/>
        <v>9.25</v>
      </c>
      <c r="D52" s="51">
        <v>0.84025752883057214</v>
      </c>
      <c r="E52" s="51">
        <v>0.25050989833699111</v>
      </c>
      <c r="F52" s="51">
        <f t="shared" ref="F52:G52" si="50">AVERAGE(D48:D56)</f>
        <v>0.67134577391062089</v>
      </c>
      <c r="G52" s="51">
        <f t="shared" si="50"/>
        <v>0.46273265887308657</v>
      </c>
      <c r="H52" s="51">
        <f t="shared" si="3"/>
        <v>0.92015608136216287</v>
      </c>
      <c r="I52" s="51">
        <f t="shared" si="4"/>
        <v>0.35266826663899209</v>
      </c>
      <c r="J52" s="51">
        <f t="shared" ca="1" si="5"/>
        <v>-0.93021568653107567</v>
      </c>
      <c r="K52" s="51">
        <f t="shared" ca="1" si="45"/>
        <v>6.8410425311030365E-2</v>
      </c>
      <c r="L52" s="12">
        <f t="shared" ca="1" si="6"/>
        <v>4.534892156734462</v>
      </c>
      <c r="M52" s="12">
        <f t="shared" ca="1" si="7"/>
        <v>12.239436488588606</v>
      </c>
      <c r="N52" s="12">
        <f t="shared" ca="1" si="8"/>
        <v>12.239436488588606</v>
      </c>
      <c r="O52" s="12">
        <f t="shared" ca="1" si="46"/>
        <v>93.213462318191674</v>
      </c>
      <c r="P52" s="12"/>
      <c r="Q52" s="12"/>
      <c r="R52" s="12"/>
      <c r="S52" s="12"/>
      <c r="T52" s="12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2"/>
      <c r="AS52" s="1"/>
      <c r="AT52" s="1"/>
    </row>
    <row r="53" spans="1:46" s="9" customFormat="1" x14ac:dyDescent="0.25">
      <c r="A53" s="1"/>
      <c r="B53" s="40"/>
      <c r="C53" s="51">
        <f t="shared" si="11"/>
        <v>9.5</v>
      </c>
      <c r="D53" s="51">
        <v>0.71765636167701308</v>
      </c>
      <c r="E53" s="51">
        <v>0.3602144681106576</v>
      </c>
      <c r="F53" s="51">
        <f t="shared" ref="F53:G53" si="51">AVERAGE(D49:D57)</f>
        <v>0.63397506041227958</v>
      </c>
      <c r="G53" s="51">
        <f t="shared" si="51"/>
        <v>0.48044495911741553</v>
      </c>
      <c r="H53" s="51">
        <f t="shared" si="3"/>
        <v>0.81044730759842776</v>
      </c>
      <c r="I53" s="51">
        <f t="shared" si="4"/>
        <v>0.3978907972237743</v>
      </c>
      <c r="J53" s="51">
        <f t="shared" ca="1" si="5"/>
        <v>-1.5990647768265625</v>
      </c>
      <c r="K53" s="51">
        <f t="shared" ca="1" si="45"/>
        <v>-2.2814862172257522</v>
      </c>
      <c r="L53" s="12">
        <f t="shared" ca="1" si="6"/>
        <v>4.2004676115867188</v>
      </c>
      <c r="M53" s="12">
        <f t="shared" ca="1" si="7"/>
        <v>4.0147982397098669</v>
      </c>
      <c r="N53" s="12">
        <f t="shared" ca="1" si="8"/>
        <v>4.0147982397098669</v>
      </c>
      <c r="O53" s="12">
        <f t="shared" ca="1" si="46"/>
        <v>66.717521633968644</v>
      </c>
      <c r="P53" s="12"/>
      <c r="Q53" s="12"/>
      <c r="R53" s="12"/>
      <c r="S53" s="12"/>
      <c r="T53" s="12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2"/>
      <c r="AS53" s="1"/>
      <c r="AT53" s="1"/>
    </row>
    <row r="54" spans="1:46" s="9" customFormat="1" x14ac:dyDescent="0.25">
      <c r="A54" s="1"/>
      <c r="B54" s="40"/>
      <c r="C54" s="51">
        <f t="shared" si="11"/>
        <v>9.75</v>
      </c>
      <c r="D54" s="51">
        <v>0.89975040213121482</v>
      </c>
      <c r="E54" s="51">
        <v>0.35262473087707413</v>
      </c>
      <c r="F54" s="51">
        <f t="shared" ref="F54:G54" si="52">AVERAGE(D50:D58)</f>
        <v>0.65117035479516461</v>
      </c>
      <c r="G54" s="51">
        <f t="shared" si="52"/>
        <v>0.49980855257434542</v>
      </c>
      <c r="H54" s="51">
        <f t="shared" si="3"/>
        <v>0.86092733553090195</v>
      </c>
      <c r="I54" s="51">
        <f t="shared" si="4"/>
        <v>0.44732936168225951</v>
      </c>
      <c r="J54" s="51">
        <f t="shared" ca="1" si="5"/>
        <v>-1.1427271502432566</v>
      </c>
      <c r="K54" s="51">
        <f t="shared" ca="1" si="45"/>
        <v>0.2731971972591154</v>
      </c>
      <c r="L54" s="12">
        <f t="shared" ca="1" si="6"/>
        <v>4.4286364248783716</v>
      </c>
      <c r="M54" s="12">
        <f t="shared" ca="1" si="7"/>
        <v>12.956190190406904</v>
      </c>
      <c r="N54" s="12">
        <f t="shared" ca="1" si="8"/>
        <v>12.956190190406904</v>
      </c>
      <c r="O54" s="12">
        <f t="shared" ca="1" si="46"/>
        <v>83.817048111192364</v>
      </c>
      <c r="P54" s="12"/>
      <c r="Q54" s="12"/>
      <c r="R54" s="12"/>
      <c r="S54" s="12"/>
      <c r="T54" s="12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2"/>
      <c r="AS54" s="1"/>
      <c r="AT54" s="1"/>
    </row>
    <row r="55" spans="1:46" s="9" customFormat="1" x14ac:dyDescent="0.25">
      <c r="A55" s="1"/>
      <c r="B55" s="40"/>
      <c r="C55" s="51">
        <f t="shared" si="11"/>
        <v>10</v>
      </c>
      <c r="D55" s="51">
        <v>0.93645307612069184</v>
      </c>
      <c r="E55" s="51">
        <v>0.79397595040462376</v>
      </c>
      <c r="F55" s="51">
        <f t="shared" ref="F55:G55" si="53">AVERAGE(D51:D59)</f>
        <v>0.60893327357606475</v>
      </c>
      <c r="G55" s="51">
        <f t="shared" si="53"/>
        <v>0.50544280237263228</v>
      </c>
      <c r="H55" s="51">
        <f t="shared" si="3"/>
        <v>0.73693242202430265</v>
      </c>
      <c r="I55" s="51">
        <f t="shared" si="4"/>
        <v>0.46171456463786714</v>
      </c>
      <c r="J55" s="51">
        <f t="shared" ca="1" si="5"/>
        <v>0.78450492888980272</v>
      </c>
      <c r="K55" s="51">
        <f t="shared" ca="1" si="45"/>
        <v>-0.32253048415779823</v>
      </c>
      <c r="L55" s="12">
        <f t="shared" ca="1" si="6"/>
        <v>5.3922524644449012</v>
      </c>
      <c r="M55" s="12">
        <f t="shared" ca="1" si="7"/>
        <v>10.871143305447706</v>
      </c>
      <c r="N55" s="12">
        <f t="shared" ca="1" si="8"/>
        <v>10.871143305447706</v>
      </c>
      <c r="O55" s="12">
        <f t="shared" ca="1" si="46"/>
        <v>219.69768987858319</v>
      </c>
      <c r="P55" s="12"/>
      <c r="Q55" s="12"/>
      <c r="R55" s="12"/>
      <c r="S55" s="12"/>
      <c r="T55" s="12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2"/>
      <c r="AS55" s="1"/>
      <c r="AT55" s="1"/>
    </row>
    <row r="56" spans="1:46" s="9" customFormat="1" x14ac:dyDescent="0.25">
      <c r="A56" s="1"/>
      <c r="B56" s="40"/>
      <c r="C56" s="51">
        <f t="shared" si="11"/>
        <v>10.25</v>
      </c>
      <c r="D56" s="51">
        <v>0.24397631852015977</v>
      </c>
      <c r="E56" s="51">
        <v>0.76806841466028075</v>
      </c>
      <c r="F56" s="51">
        <f t="shared" ref="F56:G56" si="54">AVERAGE(D52:D60)</f>
        <v>0.63589924900235184</v>
      </c>
      <c r="G56" s="51">
        <f t="shared" si="54"/>
        <v>0.58333534459489678</v>
      </c>
      <c r="H56" s="51">
        <f t="shared" si="3"/>
        <v>0.81609612590949288</v>
      </c>
      <c r="I56" s="51">
        <f t="shared" si="4"/>
        <v>0.66058754129151276</v>
      </c>
      <c r="J56" s="51">
        <f t="shared" ca="1" si="5"/>
        <v>-1.902639389988557</v>
      </c>
      <c r="K56" s="51">
        <f t="shared" ca="1" si="45"/>
        <v>-1.2022011449210972</v>
      </c>
      <c r="L56" s="12">
        <f t="shared" ca="1" si="6"/>
        <v>4.0486803050057212</v>
      </c>
      <c r="M56" s="12">
        <f t="shared" ca="1" si="7"/>
        <v>7.7922959927761601</v>
      </c>
      <c r="N56" s="12">
        <f t="shared" ca="1" si="8"/>
        <v>7.7922959927761601</v>
      </c>
      <c r="O56" s="12">
        <f t="shared" ca="1" si="46"/>
        <v>57.321759868278036</v>
      </c>
      <c r="P56" s="12"/>
      <c r="Q56" s="12"/>
      <c r="R56" s="12"/>
      <c r="S56" s="12"/>
      <c r="T56" s="12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2"/>
      <c r="AS56" s="1"/>
      <c r="AT56" s="1"/>
    </row>
    <row r="57" spans="1:46" s="9" customFormat="1" x14ac:dyDescent="0.25">
      <c r="A57" s="1"/>
      <c r="B57" s="40"/>
      <c r="C57" s="51">
        <f t="shared" si="11"/>
        <v>10.5</v>
      </c>
      <c r="D57" s="51">
        <v>0.23582129551824504</v>
      </c>
      <c r="E57" s="51">
        <v>0.41530746594700985</v>
      </c>
      <c r="F57" s="51">
        <f t="shared" ref="F57:G57" si="55">AVERAGE(D53:D61)</f>
        <v>0.55720122298936614</v>
      </c>
      <c r="G57" s="51">
        <f t="shared" si="55"/>
        <v>0.5939498066672968</v>
      </c>
      <c r="H57" s="51">
        <f t="shared" si="3"/>
        <v>0.58506323616029376</v>
      </c>
      <c r="I57" s="51">
        <f t="shared" si="4"/>
        <v>0.68768807759050687</v>
      </c>
      <c r="J57" s="51">
        <f t="shared" ca="1" si="5"/>
        <v>-0.12987002811080883</v>
      </c>
      <c r="K57" s="51">
        <f t="shared" ca="1" si="45"/>
        <v>-1.1452493078917956</v>
      </c>
      <c r="L57" s="12">
        <f t="shared" ca="1" si="6"/>
        <v>4.9350649859445959</v>
      </c>
      <c r="M57" s="12">
        <f t="shared" ca="1" si="7"/>
        <v>7.9916274223787154</v>
      </c>
      <c r="N57" s="12">
        <f t="shared" ca="1" si="8"/>
        <v>7.9916274223787154</v>
      </c>
      <c r="O57" s="12">
        <f t="shared" ca="1" si="46"/>
        <v>139.08218062528513</v>
      </c>
      <c r="P57" s="12"/>
      <c r="Q57" s="12"/>
      <c r="R57" s="12"/>
      <c r="S57" s="12"/>
      <c r="T57" s="12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2"/>
      <c r="AS57" s="1"/>
      <c r="AT57" s="1"/>
    </row>
    <row r="58" spans="1:46" s="9" customFormat="1" x14ac:dyDescent="0.25">
      <c r="A58" s="1"/>
      <c r="B58" s="40"/>
      <c r="C58" s="51">
        <f t="shared" si="11"/>
        <v>10.75</v>
      </c>
      <c r="D58" s="51">
        <v>0.34637207765797706</v>
      </c>
      <c r="E58" s="51">
        <v>0.97550529868002578</v>
      </c>
      <c r="F58" s="51">
        <f t="shared" ref="F58:G58" si="56">AVERAGE(D54:D62)</f>
        <v>0.55604939245431229</v>
      </c>
      <c r="G58" s="51">
        <f t="shared" si="56"/>
        <v>0.64145770326812124</v>
      </c>
      <c r="H58" s="51">
        <f t="shared" si="3"/>
        <v>0.58168182050736561</v>
      </c>
      <c r="I58" s="51">
        <f t="shared" si="4"/>
        <v>0.80898385947165063</v>
      </c>
      <c r="J58" s="51">
        <f t="shared" ca="1" si="5"/>
        <v>0.6279600841542855</v>
      </c>
      <c r="K58" s="51">
        <f t="shared" ca="1" si="45"/>
        <v>0.71948947560306542</v>
      </c>
      <c r="L58" s="12">
        <f t="shared" ca="1" si="6"/>
        <v>5.3139800420771426</v>
      </c>
      <c r="M58" s="12">
        <f t="shared" ca="1" si="7"/>
        <v>14.518213164610728</v>
      </c>
      <c r="N58" s="12">
        <f t="shared" ca="1" si="8"/>
        <v>14.518213164610728</v>
      </c>
      <c r="O58" s="12">
        <f t="shared" ca="1" si="46"/>
        <v>203.15719562799063</v>
      </c>
      <c r="P58" s="12"/>
      <c r="Q58" s="12"/>
      <c r="R58" s="12"/>
      <c r="S58" s="12"/>
      <c r="T58" s="12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2"/>
      <c r="AS58" s="1"/>
      <c r="AT58" s="1"/>
    </row>
    <row r="59" spans="1:46" s="9" customFormat="1" x14ac:dyDescent="0.25">
      <c r="A59" s="1"/>
      <c r="B59" s="40"/>
      <c r="C59" s="51">
        <f t="shared" si="11"/>
        <v>11</v>
      </c>
      <c r="D59" s="51">
        <v>0.5390180649122962</v>
      </c>
      <c r="E59" s="51">
        <v>0.41505870655866606</v>
      </c>
      <c r="F59" s="51">
        <f t="shared" ref="F59:G59" si="57">AVERAGE(D55:D63)</f>
        <v>0.48028464167576179</v>
      </c>
      <c r="G59" s="51">
        <f t="shared" si="57"/>
        <v>0.60512742788485885</v>
      </c>
      <c r="H59" s="51">
        <f t="shared" si="3"/>
        <v>0.35926011312415757</v>
      </c>
      <c r="I59" s="51">
        <f t="shared" si="4"/>
        <v>0.71622645546371133</v>
      </c>
      <c r="J59" s="51">
        <f t="shared" ca="1" si="5"/>
        <v>-0.15302600521404447</v>
      </c>
      <c r="K59" s="51">
        <f t="shared" ca="1" si="45"/>
        <v>-1.858045282663745</v>
      </c>
      <c r="L59" s="12">
        <f t="shared" ca="1" si="6"/>
        <v>4.9234869973929776</v>
      </c>
      <c r="M59" s="12">
        <f t="shared" ca="1" si="7"/>
        <v>5.4968415106768926</v>
      </c>
      <c r="N59" s="12">
        <f t="shared" ca="1" si="8"/>
        <v>5.4968415106768926</v>
      </c>
      <c r="O59" s="12">
        <f t="shared" ca="1" si="46"/>
        <v>137.48117482817133</v>
      </c>
      <c r="P59" s="12"/>
      <c r="Q59" s="12"/>
      <c r="R59" s="12"/>
      <c r="S59" s="12"/>
      <c r="T59" s="12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2"/>
      <c r="AS59" s="1"/>
      <c r="AT59" s="1"/>
    </row>
    <row r="60" spans="1:46" s="9" customFormat="1" x14ac:dyDescent="0.25">
      <c r="A60" s="1"/>
      <c r="B60" s="40"/>
      <c r="C60" s="51">
        <f t="shared" si="11"/>
        <v>11.25</v>
      </c>
      <c r="D60" s="51">
        <v>0.9637881156529956</v>
      </c>
      <c r="E60" s="51">
        <v>0.91875316777874194</v>
      </c>
      <c r="F60" s="51">
        <f t="shared" ref="F60:G60" si="58">AVERAGE(D56:D64)</f>
        <v>0.42996504817761</v>
      </c>
      <c r="G60" s="51">
        <f t="shared" si="58"/>
        <v>0.60127575802034272</v>
      </c>
      <c r="H60" s="51">
        <f t="shared" si="3"/>
        <v>0.21153746128833217</v>
      </c>
      <c r="I60" s="51">
        <f t="shared" si="4"/>
        <v>0.70639248382548026</v>
      </c>
      <c r="J60" s="51">
        <f t="shared" ca="1" si="5"/>
        <v>9.1687662730444416E-2</v>
      </c>
      <c r="K60" s="51">
        <f t="shared" ca="1" si="45"/>
        <v>0.21828151228305812</v>
      </c>
      <c r="L60" s="12">
        <f t="shared" ca="1" si="6"/>
        <v>5.0458438313652225</v>
      </c>
      <c r="M60" s="12">
        <f t="shared" ca="1" si="7"/>
        <v>12.763985292990704</v>
      </c>
      <c r="N60" s="12">
        <f t="shared" ca="1" si="8"/>
        <v>12.763985292990704</v>
      </c>
      <c r="O60" s="12">
        <f t="shared" ca="1" si="46"/>
        <v>155.3753544938036</v>
      </c>
      <c r="P60" s="12"/>
      <c r="Q60" s="12"/>
      <c r="R60" s="12"/>
      <c r="S60" s="12"/>
      <c r="T60" s="12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2"/>
      <c r="AS60" s="1"/>
      <c r="AT60" s="1"/>
    </row>
    <row r="61" spans="1:46" s="9" customFormat="1" x14ac:dyDescent="0.25">
      <c r="A61" s="1"/>
      <c r="B61" s="40"/>
      <c r="C61" s="51">
        <f t="shared" si="11"/>
        <v>11.5</v>
      </c>
      <c r="D61" s="51">
        <v>0.13197529471370117</v>
      </c>
      <c r="E61" s="51">
        <v>0.3460400569885923</v>
      </c>
      <c r="F61" s="51">
        <f t="shared" ref="F61:G61" si="59">AVERAGE(D57:D65)</f>
        <v>0.40981594520959375</v>
      </c>
      <c r="G61" s="51">
        <f t="shared" si="59"/>
        <v>0.52965550203759026</v>
      </c>
      <c r="H61" s="51">
        <f t="shared" si="3"/>
        <v>0.15238597146841174</v>
      </c>
      <c r="I61" s="51">
        <f t="shared" si="4"/>
        <v>0.5235337262393811</v>
      </c>
      <c r="J61" s="51">
        <f t="shared" ca="1" si="5"/>
        <v>2.9628096424471058E-3</v>
      </c>
      <c r="K61" s="51">
        <f t="shared" ca="1" si="45"/>
        <v>0.18333179567349378</v>
      </c>
      <c r="L61" s="12">
        <f t="shared" ca="1" si="6"/>
        <v>5.0014814048212237</v>
      </c>
      <c r="M61" s="12">
        <f t="shared" ca="1" si="7"/>
        <v>12.641661284857229</v>
      </c>
      <c r="N61" s="12">
        <f t="shared" ca="1" si="8"/>
        <v>12.641661284857229</v>
      </c>
      <c r="O61" s="12">
        <f t="shared" ca="1" si="46"/>
        <v>148.63318200325935</v>
      </c>
      <c r="P61" s="12"/>
      <c r="Q61" s="12"/>
      <c r="R61" s="12"/>
      <c r="S61" s="12"/>
      <c r="T61" s="12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2"/>
      <c r="AS61" s="1"/>
      <c r="AT61" s="1"/>
    </row>
    <row r="62" spans="1:46" s="9" customFormat="1" x14ac:dyDescent="0.25">
      <c r="A62" s="1"/>
      <c r="B62" s="40"/>
      <c r="C62" s="51">
        <f t="shared" si="11"/>
        <v>11.75</v>
      </c>
      <c r="D62" s="51">
        <v>0.70728988686152905</v>
      </c>
      <c r="E62" s="51">
        <v>0.78778553751807701</v>
      </c>
      <c r="F62" s="51">
        <f t="shared" ref="F62:G62" si="60">AVERAGE(D58:D66)</f>
        <v>0.48530989976732997</v>
      </c>
      <c r="G62" s="51">
        <f t="shared" si="60"/>
        <v>0.53431486815982665</v>
      </c>
      <c r="H62" s="51">
        <f t="shared" si="3"/>
        <v>0.37401270550098503</v>
      </c>
      <c r="I62" s="51">
        <f t="shared" si="4"/>
        <v>0.53542988450578111</v>
      </c>
      <c r="J62" s="51">
        <f t="shared" ca="1" si="5"/>
        <v>1.1654976579533018</v>
      </c>
      <c r="K62" s="51">
        <f t="shared" ca="1" si="45"/>
        <v>1.2390311586419944</v>
      </c>
      <c r="L62" s="12">
        <f t="shared" ca="1" si="6"/>
        <v>5.5827488289766514</v>
      </c>
      <c r="M62" s="12">
        <f t="shared" ca="1" si="7"/>
        <v>16.336609055246981</v>
      </c>
      <c r="N62" s="12">
        <f t="shared" ca="1" si="8"/>
        <v>16.336609055246981</v>
      </c>
      <c r="O62" s="12">
        <f t="shared" ca="1" si="46"/>
        <v>265.8012446639114</v>
      </c>
      <c r="P62" s="12"/>
      <c r="Q62" s="12"/>
      <c r="R62" s="12"/>
      <c r="S62" s="12"/>
      <c r="T62" s="12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2"/>
      <c r="AS62" s="1"/>
      <c r="AT62" s="1"/>
    </row>
    <row r="63" spans="1:46" s="9" customFormat="1" x14ac:dyDescent="0.25">
      <c r="A63" s="1"/>
      <c r="B63" s="40"/>
      <c r="C63" s="51">
        <f t="shared" si="11"/>
        <v>12</v>
      </c>
      <c r="D63" s="51">
        <v>0.21786764512425971</v>
      </c>
      <c r="E63" s="51">
        <v>2.5652252427712297E-2</v>
      </c>
      <c r="F63" s="51">
        <f t="shared" ref="F63:G63" si="61">AVERAGE(D59:D67)</f>
        <v>0.51256774630081248</v>
      </c>
      <c r="G63" s="51">
        <f t="shared" si="61"/>
        <v>0.46512457230203264</v>
      </c>
      <c r="H63" s="51">
        <f t="shared" si="3"/>
        <v>0.4540332520383471</v>
      </c>
      <c r="I63" s="51">
        <f t="shared" si="4"/>
        <v>0.35877523054004146</v>
      </c>
      <c r="J63" s="51">
        <f t="shared" ca="1" si="5"/>
        <v>1.6593524358738831</v>
      </c>
      <c r="K63" s="51">
        <f t="shared" ca="1" si="45"/>
        <v>0.97371895906000694</v>
      </c>
      <c r="L63" s="12">
        <f t="shared" ca="1" si="6"/>
        <v>5.8296762179369415</v>
      </c>
      <c r="M63" s="12">
        <f t="shared" ca="1" si="7"/>
        <v>15.408016356710025</v>
      </c>
      <c r="N63" s="12">
        <f t="shared" ca="1" si="8"/>
        <v>15.408016356710025</v>
      </c>
      <c r="O63" s="12">
        <f t="shared" ca="1" si="46"/>
        <v>340.24849487525483</v>
      </c>
      <c r="P63" s="12"/>
      <c r="Q63" s="12"/>
      <c r="R63" s="12"/>
      <c r="S63" s="12"/>
      <c r="T63" s="12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2"/>
      <c r="AS63" s="1"/>
      <c r="AT63" s="1"/>
    </row>
    <row r="64" spans="1:46" s="9" customFormat="1" x14ac:dyDescent="0.25">
      <c r="A64" s="1"/>
      <c r="B64" s="40"/>
      <c r="C64" s="51">
        <f t="shared" si="11"/>
        <v>12.25</v>
      </c>
      <c r="D64" s="51">
        <v>0.48357673463732642</v>
      </c>
      <c r="E64" s="51">
        <v>0.75931092162397829</v>
      </c>
      <c r="F64" s="51">
        <f t="shared" ref="F64:G64" si="62">AVERAGE(D60:D68)</f>
        <v>0.55953218942947991</v>
      </c>
      <c r="G64" s="51">
        <f t="shared" si="62"/>
        <v>0.42083350292383837</v>
      </c>
      <c r="H64" s="51">
        <f t="shared" si="3"/>
        <v>0.59190622752679933</v>
      </c>
      <c r="I64" s="51">
        <f t="shared" si="4"/>
        <v>0.24569255850090882</v>
      </c>
      <c r="J64" s="51">
        <f t="shared" ca="1" si="5"/>
        <v>-0.47519558986048221</v>
      </c>
      <c r="K64" s="51">
        <f t="shared" ca="1" si="45"/>
        <v>9.3101537234603404E-2</v>
      </c>
      <c r="L64" s="12">
        <f t="shared" ca="1" si="6"/>
        <v>4.7624022050697592</v>
      </c>
      <c r="M64" s="12">
        <f t="shared" ca="1" si="7"/>
        <v>12.325855380321112</v>
      </c>
      <c r="N64" s="12">
        <f t="shared" ca="1" si="8"/>
        <v>12.325855380321112</v>
      </c>
      <c r="O64" s="12">
        <f t="shared" ca="1" si="46"/>
        <v>117.02671067033437</v>
      </c>
      <c r="P64" s="12"/>
      <c r="Q64" s="12"/>
      <c r="R64" s="12"/>
      <c r="S64" s="12"/>
      <c r="T64" s="12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2"/>
      <c r="AS64" s="1"/>
      <c r="AT64" s="1"/>
    </row>
    <row r="65" spans="1:46" s="9" customFormat="1" x14ac:dyDescent="0.25">
      <c r="A65" s="1"/>
      <c r="B65" s="40"/>
      <c r="C65" s="51">
        <f t="shared" si="11"/>
        <v>12.5</v>
      </c>
      <c r="D65" s="51">
        <v>6.2634391808013556E-2</v>
      </c>
      <c r="E65" s="51">
        <v>0.12348611081550886</v>
      </c>
      <c r="F65" s="51">
        <f t="shared" ref="F65:G65" si="63">AVERAGE(D61:D69)</f>
        <v>0.51102373353599773</v>
      </c>
      <c r="G65" s="51">
        <f t="shared" si="63"/>
        <v>0.32460314368273324</v>
      </c>
      <c r="H65" s="51">
        <f t="shared" si="3"/>
        <v>0.44950051152455145</v>
      </c>
      <c r="I65" s="51">
        <f t="shared" si="4"/>
        <v>0</v>
      </c>
      <c r="J65" s="51">
        <f t="shared" ca="1" si="5"/>
        <v>-0.93072661820588298</v>
      </c>
      <c r="K65" s="51">
        <f t="shared" ca="1" si="45"/>
        <v>-0.27853285638824049</v>
      </c>
      <c r="L65" s="12">
        <f t="shared" ca="1" si="6"/>
        <v>4.5346366908970586</v>
      </c>
      <c r="M65" s="12">
        <f t="shared" ca="1" si="7"/>
        <v>11.025135002641159</v>
      </c>
      <c r="N65" s="12">
        <f t="shared" ca="1" si="8"/>
        <v>11.025135002641159</v>
      </c>
      <c r="O65" s="12">
        <f t="shared" ca="1" si="46"/>
        <v>93.189652504409779</v>
      </c>
      <c r="P65" s="12"/>
      <c r="Q65" s="12"/>
      <c r="R65" s="12"/>
      <c r="S65" s="12"/>
      <c r="T65" s="12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2"/>
      <c r="AS65" s="1"/>
      <c r="AT65" s="1"/>
    </row>
    <row r="66" spans="1:46" s="9" customFormat="1" x14ac:dyDescent="0.25">
      <c r="A66" s="1"/>
      <c r="B66" s="40"/>
      <c r="C66" s="51">
        <f t="shared" si="11"/>
        <v>12.75</v>
      </c>
      <c r="D66" s="51">
        <v>0.91526688653787136</v>
      </c>
      <c r="E66" s="51">
        <v>0.45724176104713765</v>
      </c>
      <c r="F66" s="51">
        <f t="shared" ref="F66:G66" si="64">AVERAGE(D62:D70)</f>
        <v>0.50583712124832036</v>
      </c>
      <c r="G66" s="51">
        <f t="shared" si="64"/>
        <v>0.36285817208458138</v>
      </c>
      <c r="H66" s="51">
        <f t="shared" si="3"/>
        <v>0.43427423349016875</v>
      </c>
      <c r="I66" s="51">
        <f t="shared" si="4"/>
        <v>9.7671627516487516E-2</v>
      </c>
      <c r="J66" s="51">
        <f t="shared" ca="1" si="5"/>
        <v>1.5665541529981952</v>
      </c>
      <c r="K66" s="51">
        <f t="shared" ca="1" si="45"/>
        <v>2.0830369745528019</v>
      </c>
      <c r="L66" s="12">
        <f t="shared" ca="1" si="6"/>
        <v>5.7832770764990977</v>
      </c>
      <c r="M66" s="12">
        <f t="shared" ca="1" si="7"/>
        <v>19.290629410934805</v>
      </c>
      <c r="N66" s="12">
        <f t="shared" ca="1" si="8"/>
        <v>19.290629410934805</v>
      </c>
      <c r="O66" s="12">
        <f t="shared" ca="1" si="46"/>
        <v>324.82191441437436</v>
      </c>
      <c r="P66" s="12"/>
      <c r="Q66" s="12"/>
      <c r="R66" s="12"/>
      <c r="S66" s="12"/>
      <c r="T66" s="12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2"/>
      <c r="AS66" s="1"/>
      <c r="AT66" s="1"/>
    </row>
    <row r="67" spans="1:46" s="9" customFormat="1" x14ac:dyDescent="0.25">
      <c r="A67" s="1"/>
      <c r="B67" s="40"/>
      <c r="C67" s="51">
        <f t="shared" si="11"/>
        <v>13</v>
      </c>
      <c r="D67" s="51">
        <v>0.59169269645931921</v>
      </c>
      <c r="E67" s="51">
        <v>0.35279263595987909</v>
      </c>
      <c r="F67" s="51">
        <f t="shared" ref="F67:G67" si="65">AVERAGE(D63:D71)</f>
        <v>0.53574347251417076</v>
      </c>
      <c r="G67" s="51">
        <f t="shared" si="65"/>
        <v>0.36467486551236533</v>
      </c>
      <c r="H67" s="51">
        <f t="shared" si="3"/>
        <v>0.52206996490615043</v>
      </c>
      <c r="I67" s="51">
        <f t="shared" si="4"/>
        <v>0.10230995641605757</v>
      </c>
      <c r="J67" s="51">
        <f t="shared" ca="1" si="5"/>
        <v>0.19222722615491425</v>
      </c>
      <c r="K67" s="51">
        <f t="shared" ca="1" si="45"/>
        <v>-1.0835168922916356</v>
      </c>
      <c r="L67" s="12">
        <f t="shared" ca="1" si="6"/>
        <v>5.0961136130774571</v>
      </c>
      <c r="M67" s="12">
        <f t="shared" ca="1" si="7"/>
        <v>8.2076908769792745</v>
      </c>
      <c r="N67" s="12">
        <f t="shared" ca="1" si="8"/>
        <v>8.2076908769792745</v>
      </c>
      <c r="O67" s="12">
        <f t="shared" ca="1" si="46"/>
        <v>163.38569179495326</v>
      </c>
      <c r="P67" s="12"/>
      <c r="Q67" s="12"/>
      <c r="R67" s="12"/>
      <c r="S67" s="12"/>
      <c r="T67" s="12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2"/>
      <c r="AS67" s="1"/>
      <c r="AT67" s="1"/>
    </row>
    <row r="68" spans="1:46" s="9" customFormat="1" x14ac:dyDescent="0.25">
      <c r="A68" s="1"/>
      <c r="B68" s="40"/>
      <c r="C68" s="51">
        <f t="shared" si="11"/>
        <v>13.25</v>
      </c>
      <c r="D68" s="51">
        <v>0.96169805307030298</v>
      </c>
      <c r="E68" s="51">
        <v>1.6439082154917739E-2</v>
      </c>
      <c r="F68" s="51">
        <f t="shared" ref="F68:G68" si="66">AVERAGE(D64:D72)</f>
        <v>0.5437845060662565</v>
      </c>
      <c r="G68" s="51">
        <f t="shared" si="66"/>
        <v>0.38849375241813022</v>
      </c>
      <c r="H68" s="51">
        <f t="shared" si="3"/>
        <v>0.54567593461372732</v>
      </c>
      <c r="I68" s="51">
        <f t="shared" si="4"/>
        <v>0.16312364671787469</v>
      </c>
      <c r="J68" s="51">
        <f t="shared" ca="1" si="5"/>
        <v>-1.388995980428672</v>
      </c>
      <c r="K68" s="51">
        <f t="shared" ca="1" si="45"/>
        <v>-0.50811897298605979</v>
      </c>
      <c r="L68" s="12">
        <f t="shared" ca="1" si="6"/>
        <v>4.3055020097856644</v>
      </c>
      <c r="M68" s="12">
        <f t="shared" ca="1" si="7"/>
        <v>10.221583594548791</v>
      </c>
      <c r="N68" s="12">
        <f t="shared" ca="1" si="8"/>
        <v>10.221583594548791</v>
      </c>
      <c r="O68" s="12">
        <f t="shared" ca="1" si="46"/>
        <v>74.106408258617535</v>
      </c>
      <c r="P68" s="12"/>
      <c r="Q68" s="12"/>
      <c r="R68" s="12"/>
      <c r="S68" s="12"/>
      <c r="T68" s="12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2"/>
      <c r="AS68" s="1"/>
      <c r="AT68" s="1"/>
    </row>
    <row r="69" spans="1:46" s="9" customFormat="1" x14ac:dyDescent="0.25">
      <c r="A69" s="1"/>
      <c r="B69" s="40"/>
      <c r="C69" s="51">
        <f t="shared" si="11"/>
        <v>13.5</v>
      </c>
      <c r="D69" s="51">
        <v>0.52721201261165629</v>
      </c>
      <c r="E69" s="51">
        <v>5.2679934608795942E-2</v>
      </c>
      <c r="F69" s="51">
        <f t="shared" ref="F69:G69" si="67">AVERAGE(D65:D73)</f>
        <v>0.55148662654152614</v>
      </c>
      <c r="G69" s="51">
        <f t="shared" si="67"/>
        <v>0.3640425432676101</v>
      </c>
      <c r="H69" s="51">
        <f t="shared" si="3"/>
        <v>0.56828696110001298</v>
      </c>
      <c r="I69" s="51">
        <f t="shared" si="4"/>
        <v>0.10069552962459453</v>
      </c>
      <c r="J69" s="51">
        <f t="shared" ca="1" si="5"/>
        <v>-0.16235305511748882</v>
      </c>
      <c r="K69" s="51">
        <f t="shared" ca="1" si="45"/>
        <v>-0.66145396978460569</v>
      </c>
      <c r="L69" s="12">
        <f t="shared" ca="1" si="6"/>
        <v>4.9188234724412556</v>
      </c>
      <c r="M69" s="12">
        <f t="shared" ca="1" si="7"/>
        <v>9.6849111057538799</v>
      </c>
      <c r="N69" s="12">
        <f t="shared" ca="1" si="8"/>
        <v>9.6849111057538799</v>
      </c>
      <c r="O69" s="12">
        <f t="shared" ca="1" si="46"/>
        <v>136.84152061993939</v>
      </c>
      <c r="P69" s="12"/>
      <c r="Q69" s="12"/>
      <c r="R69" s="12"/>
      <c r="S69" s="12"/>
      <c r="T69" s="12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2"/>
      <c r="AS69" s="1"/>
      <c r="AT69" s="1"/>
    </row>
    <row r="70" spans="1:46" s="9" customFormat="1" x14ac:dyDescent="0.25">
      <c r="A70" s="1"/>
      <c r="B70" s="40"/>
      <c r="C70" s="51">
        <f t="shared" si="11"/>
        <v>13.75</v>
      </c>
      <c r="D70" s="51">
        <v>8.5295784124605034E-2</v>
      </c>
      <c r="E70" s="51">
        <v>0.69033531260522563</v>
      </c>
      <c r="F70" s="51">
        <f t="shared" ref="F70:G70" si="68">AVERAGE(D66:D74)</f>
        <v>0.6428515694319894</v>
      </c>
      <c r="G70" s="51">
        <f t="shared" si="68"/>
        <v>0.37590418074808762</v>
      </c>
      <c r="H70" s="51">
        <f t="shared" si="3"/>
        <v>0.83650597302632557</v>
      </c>
      <c r="I70" s="51">
        <f t="shared" si="4"/>
        <v>0.13098031795513562</v>
      </c>
      <c r="J70" s="51">
        <f t="shared" ca="1" si="5"/>
        <v>6.9135813528012569E-2</v>
      </c>
      <c r="K70" s="51">
        <f t="shared" ca="1" si="45"/>
        <v>-0.20865914040159575</v>
      </c>
      <c r="L70" s="12">
        <f t="shared" ca="1" si="6"/>
        <v>5.0345679067640061</v>
      </c>
      <c r="M70" s="12">
        <f t="shared" ca="1" si="7"/>
        <v>11.269693008594414</v>
      </c>
      <c r="N70" s="12">
        <f t="shared" ca="1" si="8"/>
        <v>11.269693008594414</v>
      </c>
      <c r="O70" s="12">
        <f t="shared" ca="1" si="46"/>
        <v>153.63319440364134</v>
      </c>
      <c r="P70" s="12"/>
      <c r="Q70" s="12"/>
      <c r="R70" s="12"/>
      <c r="S70" s="12"/>
      <c r="T70" s="12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2"/>
      <c r="AS70" s="1"/>
      <c r="AT70" s="1"/>
    </row>
    <row r="71" spans="1:46" s="9" customFormat="1" x14ac:dyDescent="0.25">
      <c r="A71" s="1"/>
      <c r="B71" s="40"/>
      <c r="C71" s="51">
        <f t="shared" si="11"/>
        <v>14</v>
      </c>
      <c r="D71" s="51">
        <v>0.97644704825418305</v>
      </c>
      <c r="E71" s="51">
        <v>0.8041357783681321</v>
      </c>
      <c r="F71" s="51">
        <f t="shared" ref="F71:G71" si="69">AVERAGE(D67:D75)</f>
        <v>0.58188030550768355</v>
      </c>
      <c r="G71" s="51">
        <f t="shared" si="69"/>
        <v>0.4351689443619256</v>
      </c>
      <c r="H71" s="51">
        <f t="shared" si="3"/>
        <v>0.65751333484034191</v>
      </c>
      <c r="I71" s="51">
        <f t="shared" si="4"/>
        <v>0.2822933912520259</v>
      </c>
      <c r="J71" s="51">
        <f t="shared" ca="1" si="5"/>
        <v>0.82777526973888427</v>
      </c>
      <c r="K71" s="51">
        <f t="shared" ca="1" si="45"/>
        <v>0.10546079210393777</v>
      </c>
      <c r="L71" s="12">
        <f t="shared" ca="1" si="6"/>
        <v>5.4138876348694422</v>
      </c>
      <c r="M71" s="12">
        <f t="shared" ca="1" si="7"/>
        <v>12.369112772363783</v>
      </c>
      <c r="N71" s="12">
        <f t="shared" ca="1" si="8"/>
        <v>12.369112772363783</v>
      </c>
      <c r="O71" s="12">
        <f t="shared" ca="1" si="46"/>
        <v>224.50267778173125</v>
      </c>
      <c r="P71" s="12"/>
      <c r="Q71" s="12"/>
      <c r="R71" s="12"/>
      <c r="S71" s="12"/>
      <c r="T71" s="12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2"/>
      <c r="AS71" s="1"/>
      <c r="AT71" s="1"/>
    </row>
    <row r="72" spans="1:46" s="9" customFormat="1" x14ac:dyDescent="0.25">
      <c r="A72" s="1"/>
      <c r="B72" s="40"/>
      <c r="C72" s="51">
        <f t="shared" si="11"/>
        <v>14.25</v>
      </c>
      <c r="D72" s="51">
        <v>0.29023694709302994</v>
      </c>
      <c r="E72" s="51">
        <v>0.24002223457959615</v>
      </c>
      <c r="F72" s="51">
        <f t="shared" ref="F72:G72" si="70">AVERAGE(D68:D76)</f>
        <v>0.57076559163497897</v>
      </c>
      <c r="G72" s="51">
        <f t="shared" si="70"/>
        <v>0.47156157007400612</v>
      </c>
      <c r="H72" s="51">
        <f t="shared" si="3"/>
        <v>0.624883997170262</v>
      </c>
      <c r="I72" s="51">
        <f t="shared" si="4"/>
        <v>0.37520998630873098</v>
      </c>
      <c r="J72" s="51">
        <f t="shared" ca="1" si="5"/>
        <v>1.8221167737083683</v>
      </c>
      <c r="K72" s="51">
        <f t="shared" ca="1" si="45"/>
        <v>1.318169261223151</v>
      </c>
      <c r="L72" s="12">
        <f t="shared" ca="1" si="6"/>
        <v>5.9110583868541839</v>
      </c>
      <c r="M72" s="12">
        <f t="shared" ca="1" si="7"/>
        <v>16.61359241428103</v>
      </c>
      <c r="N72" s="12">
        <f t="shared" ca="1" si="8"/>
        <v>16.61359241428103</v>
      </c>
      <c r="O72" s="12">
        <f t="shared" ca="1" si="46"/>
        <v>369.09659573930816</v>
      </c>
      <c r="P72" s="12"/>
      <c r="Q72" s="12"/>
      <c r="R72" s="12"/>
      <c r="S72" s="12"/>
      <c r="T72" s="12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2"/>
      <c r="AS72" s="1"/>
      <c r="AT72" s="1"/>
    </row>
    <row r="73" spans="1:46" s="9" customFormat="1" x14ac:dyDescent="0.25">
      <c r="A73" s="1"/>
      <c r="B73" s="40"/>
      <c r="C73" s="51">
        <f t="shared" si="11"/>
        <v>14.5</v>
      </c>
      <c r="D73" s="51">
        <v>0.55289581891475381</v>
      </c>
      <c r="E73" s="51">
        <v>0.53925003926929815</v>
      </c>
      <c r="F73" s="51">
        <f t="shared" ref="F73:G73" si="71">AVERAGE(D69:D77)</f>
        <v>0.52076516936963035</v>
      </c>
      <c r="G73" s="51">
        <f t="shared" si="71"/>
        <v>0.5341711947980915</v>
      </c>
      <c r="H73" s="51">
        <f t="shared" si="3"/>
        <v>0.47809833265133783</v>
      </c>
      <c r="I73" s="51">
        <f t="shared" si="4"/>
        <v>0.53506306185114783</v>
      </c>
      <c r="J73" s="51">
        <f t="shared" ca="1" si="5"/>
        <v>-0.53687198996285068</v>
      </c>
      <c r="K73" s="51">
        <f t="shared" ca="1" si="45"/>
        <v>-0.14741118272577358</v>
      </c>
      <c r="L73" s="12">
        <f t="shared" ca="1" si="6"/>
        <v>4.7315640050185745</v>
      </c>
      <c r="M73" s="12">
        <f t="shared" ca="1" si="7"/>
        <v>11.484060860459792</v>
      </c>
      <c r="N73" s="12">
        <f t="shared" ca="1" si="8"/>
        <v>11.484060860459792</v>
      </c>
      <c r="O73" s="12">
        <f t="shared" ca="1" si="46"/>
        <v>113.47289581582358</v>
      </c>
      <c r="P73" s="12"/>
      <c r="Q73" s="12"/>
      <c r="R73" s="12"/>
      <c r="S73" s="12"/>
      <c r="T73" s="12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2"/>
      <c r="AS73" s="1"/>
      <c r="AT73" s="1"/>
    </row>
    <row r="74" spans="1:46" s="9" customFormat="1" x14ac:dyDescent="0.25">
      <c r="A74" s="1"/>
      <c r="B74" s="40"/>
      <c r="C74" s="51">
        <f t="shared" si="11"/>
        <v>14.75</v>
      </c>
      <c r="D74" s="51">
        <v>0.88491887782218204</v>
      </c>
      <c r="E74" s="51">
        <v>0.23024084813980683</v>
      </c>
      <c r="F74" s="51">
        <f t="shared" ref="F74:G74" si="72">AVERAGE(D70:D78)</f>
        <v>0.50846170425909742</v>
      </c>
      <c r="G74" s="51">
        <f t="shared" si="72"/>
        <v>0.60370440938071768</v>
      </c>
      <c r="H74" s="51">
        <f t="shared" si="3"/>
        <v>0.44197919164587168</v>
      </c>
      <c r="I74" s="51">
        <f t="shared" si="4"/>
        <v>0.71259324594611417</v>
      </c>
      <c r="J74" s="51">
        <f t="shared" ca="1" si="5"/>
        <v>0.4093919771614612</v>
      </c>
      <c r="K74" s="51">
        <f t="shared" ca="1" si="45"/>
        <v>-0.67577783335314101</v>
      </c>
      <c r="L74" s="12">
        <f t="shared" ca="1" si="6"/>
        <v>5.2046959885807302</v>
      </c>
      <c r="M74" s="12">
        <f t="shared" ca="1" si="7"/>
        <v>9.6347775832640075</v>
      </c>
      <c r="N74" s="12">
        <f t="shared" ca="1" si="8"/>
        <v>9.6347775832640075</v>
      </c>
      <c r="O74" s="12">
        <f t="shared" ca="1" si="46"/>
        <v>182.12549612107966</v>
      </c>
      <c r="P74" s="12"/>
      <c r="Q74" s="12"/>
      <c r="R74" s="12"/>
      <c r="S74" s="12"/>
      <c r="T74" s="12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2"/>
      <c r="AS74" s="1"/>
      <c r="AT74" s="1"/>
    </row>
    <row r="75" spans="1:46" s="9" customFormat="1" x14ac:dyDescent="0.25">
      <c r="A75" s="1"/>
      <c r="B75" s="40"/>
      <c r="C75" s="51">
        <f t="shared" si="11"/>
        <v>15</v>
      </c>
      <c r="D75" s="51">
        <v>0.3665255112191188</v>
      </c>
      <c r="E75" s="51">
        <v>0.99062463357167874</v>
      </c>
      <c r="F75" s="51">
        <f t="shared" ref="F75:G75" si="73">AVERAGE(D71:D79)</f>
        <v>0.58436288776937062</v>
      </c>
      <c r="G75" s="51">
        <f t="shared" si="73"/>
        <v>0.5471801859598705</v>
      </c>
      <c r="H75" s="51">
        <f t="shared" si="3"/>
        <v>0.66480142303029255</v>
      </c>
      <c r="I75" s="51">
        <f t="shared" si="4"/>
        <v>0.56827724027944493</v>
      </c>
      <c r="J75" s="51">
        <f t="shared" ca="1" si="5"/>
        <v>-1.2002664339670874</v>
      </c>
      <c r="K75" s="51">
        <f t="shared" ca="1" si="45"/>
        <v>0.13285561861025663</v>
      </c>
      <c r="L75" s="12">
        <f t="shared" ca="1" si="6"/>
        <v>4.3998667830164564</v>
      </c>
      <c r="M75" s="12">
        <f t="shared" ca="1" si="7"/>
        <v>12.464994665135897</v>
      </c>
      <c r="N75" s="12">
        <f t="shared" ca="1" si="8"/>
        <v>12.464994665135897</v>
      </c>
      <c r="O75" s="12">
        <f t="shared" ca="1" si="46"/>
        <v>81.440018748650175</v>
      </c>
      <c r="P75" s="12"/>
      <c r="Q75" s="12"/>
      <c r="R75" s="12"/>
      <c r="S75" s="12"/>
      <c r="T75" s="12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2"/>
      <c r="AS75" s="1"/>
      <c r="AT75" s="1"/>
    </row>
    <row r="76" spans="1:46" s="9" customFormat="1" x14ac:dyDescent="0.25">
      <c r="A76" s="1"/>
      <c r="B76" s="40"/>
      <c r="C76" s="51">
        <f t="shared" si="11"/>
        <v>15.25</v>
      </c>
      <c r="D76" s="51">
        <v>0.49166027160497916</v>
      </c>
      <c r="E76" s="51">
        <v>0.68032626736860435</v>
      </c>
      <c r="F76" s="51">
        <f t="shared" ref="F76:G76" si="74">AVERAGE(D72:D80)</f>
        <v>0.55452231294901488</v>
      </c>
      <c r="G76" s="51">
        <f t="shared" si="74"/>
        <v>0.53765813886651437</v>
      </c>
      <c r="H76" s="51">
        <f t="shared" si="3"/>
        <v>0.57719879076876179</v>
      </c>
      <c r="I76" s="51">
        <f t="shared" si="4"/>
        <v>0.54396582617912759</v>
      </c>
      <c r="J76" s="51">
        <f t="shared" ca="1" si="5"/>
        <v>-0.94228806417930555</v>
      </c>
      <c r="K76" s="51">
        <f t="shared" ca="1" si="45"/>
        <v>-1.441673742423351</v>
      </c>
      <c r="L76" s="12">
        <f t="shared" ca="1" si="6"/>
        <v>4.5288559679103475</v>
      </c>
      <c r="M76" s="12">
        <f t="shared" ca="1" si="7"/>
        <v>6.9541419015182715</v>
      </c>
      <c r="N76" s="12">
        <f t="shared" ca="1" si="8"/>
        <v>6.9541419015182715</v>
      </c>
      <c r="O76" s="12">
        <f t="shared" ca="1" si="46"/>
        <v>92.652502990141585</v>
      </c>
      <c r="P76" s="12"/>
      <c r="Q76" s="12"/>
      <c r="R76" s="12"/>
      <c r="S76" s="12"/>
      <c r="T76" s="12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2"/>
      <c r="AS76" s="1"/>
      <c r="AT76" s="1"/>
    </row>
    <row r="77" spans="1:46" s="9" customFormat="1" x14ac:dyDescent="0.25">
      <c r="A77" s="1"/>
      <c r="B77" s="40"/>
      <c r="C77" s="51">
        <f t="shared" si="11"/>
        <v>15.5</v>
      </c>
      <c r="D77" s="51">
        <v>0.51169425268216562</v>
      </c>
      <c r="E77" s="51">
        <v>0.5799257046716858</v>
      </c>
      <c r="F77" s="51">
        <f t="shared" ref="F77:G77" si="75">AVERAGE(D73:D81)</f>
        <v>0.60235594838953377</v>
      </c>
      <c r="G77" s="51">
        <f t="shared" si="75"/>
        <v>0.56988746238899546</v>
      </c>
      <c r="H77" s="51">
        <f t="shared" si="3"/>
        <v>0.71762344412930812</v>
      </c>
      <c r="I77" s="51">
        <f t="shared" si="4"/>
        <v>0.62625279899559694</v>
      </c>
      <c r="J77" s="51">
        <f t="shared" ca="1" si="5"/>
        <v>0.25193817298546961</v>
      </c>
      <c r="K77" s="51">
        <f t="shared" ca="1" si="45"/>
        <v>1.6536179675281175</v>
      </c>
      <c r="L77" s="12">
        <f t="shared" ca="1" si="6"/>
        <v>5.1259690864927352</v>
      </c>
      <c r="M77" s="12">
        <f t="shared" ca="1" si="7"/>
        <v>17.787662886348411</v>
      </c>
      <c r="N77" s="12">
        <f t="shared" ca="1" si="8"/>
        <v>17.787662886348411</v>
      </c>
      <c r="O77" s="12">
        <f t="shared" ca="1" si="46"/>
        <v>168.33719593503855</v>
      </c>
      <c r="P77" s="12"/>
      <c r="Q77" s="12"/>
      <c r="R77" s="12"/>
      <c r="S77" s="12"/>
      <c r="T77" s="12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2"/>
      <c r="AS77" s="1"/>
      <c r="AT77" s="1"/>
    </row>
    <row r="78" spans="1:46" s="9" customFormat="1" x14ac:dyDescent="0.25">
      <c r="A78" s="1"/>
      <c r="B78" s="40"/>
      <c r="C78" s="51">
        <f t="shared" si="11"/>
        <v>15.75</v>
      </c>
      <c r="D78" s="51">
        <v>0.41648082661686014</v>
      </c>
      <c r="E78" s="51">
        <v>0.67847886585243167</v>
      </c>
      <c r="F78" s="51">
        <f t="shared" ref="F78:G78" si="76">AVERAGE(D74:D82)</f>
        <v>0.63660366357110465</v>
      </c>
      <c r="G78" s="51">
        <f t="shared" si="76"/>
        <v>0.51284998363433931</v>
      </c>
      <c r="H78" s="51">
        <f t="shared" si="3"/>
        <v>0.81816406765651384</v>
      </c>
      <c r="I78" s="51">
        <f t="shared" si="4"/>
        <v>0.48062636471656223</v>
      </c>
      <c r="J78" s="51">
        <f t="shared" ca="1" si="5"/>
        <v>1.7119008894629111</v>
      </c>
      <c r="K78" s="51">
        <f t="shared" ca="1" si="45"/>
        <v>0.45222298167314756</v>
      </c>
      <c r="L78" s="12">
        <f t="shared" ca="1" si="6"/>
        <v>5.8559504447314552</v>
      </c>
      <c r="M78" s="12">
        <f t="shared" ca="1" si="7"/>
        <v>13.582780435856016</v>
      </c>
      <c r="N78" s="12">
        <f t="shared" ca="1" si="8"/>
        <v>13.582780435856016</v>
      </c>
      <c r="O78" s="12">
        <f t="shared" ca="1" si="46"/>
        <v>349.30673908149913</v>
      </c>
      <c r="P78" s="12"/>
      <c r="Q78" s="12"/>
      <c r="R78" s="12"/>
      <c r="S78" s="12"/>
      <c r="T78" s="12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2"/>
      <c r="AS78" s="1"/>
      <c r="AT78" s="1"/>
    </row>
    <row r="79" spans="1:46" s="9" customFormat="1" x14ac:dyDescent="0.25">
      <c r="A79" s="1"/>
      <c r="B79" s="40"/>
      <c r="C79" s="51">
        <f t="shared" si="11"/>
        <v>16</v>
      </c>
      <c r="D79" s="51">
        <v>0.76840643571706313</v>
      </c>
      <c r="E79" s="51">
        <v>0.18161730181760116</v>
      </c>
      <c r="F79" s="51">
        <f t="shared" ref="F79:G79" si="77">AVERAGE(D75:D83)</f>
        <v>0.56357781911867155</v>
      </c>
      <c r="G79" s="51">
        <f t="shared" si="77"/>
        <v>0.53267143385150362</v>
      </c>
      <c r="H79" s="51">
        <f t="shared" si="3"/>
        <v>0.60378293607085953</v>
      </c>
      <c r="I79" s="51">
        <f t="shared" si="4"/>
        <v>0.53123391575824286</v>
      </c>
      <c r="J79" s="51">
        <f t="shared" ca="1" si="5"/>
        <v>0.62386384333868183</v>
      </c>
      <c r="K79" s="51">
        <f t="shared" ca="1" si="45"/>
        <v>-0.87483118314686981</v>
      </c>
      <c r="L79" s="12">
        <f t="shared" ca="1" si="6"/>
        <v>5.3119319216693412</v>
      </c>
      <c r="M79" s="12">
        <f t="shared" ca="1" si="7"/>
        <v>8.9380908589859551</v>
      </c>
      <c r="N79" s="12">
        <f t="shared" ca="1" si="8"/>
        <v>8.9380908589859551</v>
      </c>
      <c r="O79" s="12">
        <f t="shared" ca="1" si="46"/>
        <v>202.74153104049785</v>
      </c>
      <c r="P79" s="12"/>
      <c r="Q79" s="12"/>
      <c r="R79" s="12"/>
      <c r="S79" s="12"/>
      <c r="T79" s="12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2"/>
      <c r="AS79" s="1"/>
      <c r="AT79" s="1"/>
    </row>
    <row r="80" spans="1:46" s="9" customFormat="1" x14ac:dyDescent="0.25">
      <c r="A80" s="1"/>
      <c r="B80" s="40"/>
      <c r="C80" s="51">
        <f t="shared" si="11"/>
        <v>16.25</v>
      </c>
      <c r="D80" s="51">
        <v>0.70788187487098087</v>
      </c>
      <c r="E80" s="51">
        <v>0.71843735452792656</v>
      </c>
      <c r="F80" s="51">
        <f t="shared" ref="F80:G80" si="78">AVERAGE(D76:D84)</f>
        <v>0.56864356735432642</v>
      </c>
      <c r="G80" s="51">
        <f t="shared" si="78"/>
        <v>0.49960931730022534</v>
      </c>
      <c r="H80" s="51">
        <f t="shared" si="3"/>
        <v>0.61865439489794793</v>
      </c>
      <c r="I80" s="51">
        <f t="shared" si="4"/>
        <v>0.44682067996654912</v>
      </c>
      <c r="J80" s="51">
        <f t="shared" ca="1" si="5"/>
        <v>-1.6130785943644783</v>
      </c>
      <c r="K80" s="51">
        <f t="shared" ref="K80:K111" ca="1" si="79">_xlfn.NORM.INV(RAND(),$K$10+$K$12*($K$11/$K$8)*(J80-$K$7),SQRT($K$12*$K$8*$K$11))</f>
        <v>-1.6783757705830105</v>
      </c>
      <c r="L80" s="12">
        <f t="shared" ca="1" si="6"/>
        <v>4.1934607028177613</v>
      </c>
      <c r="M80" s="12">
        <f t="shared" ca="1" si="7"/>
        <v>6.125684802959463</v>
      </c>
      <c r="N80" s="12">
        <f t="shared" ca="1" si="8"/>
        <v>6.125684802959463</v>
      </c>
      <c r="O80" s="12">
        <f t="shared" ca="1" si="46"/>
        <v>66.251672035381503</v>
      </c>
      <c r="P80" s="12"/>
      <c r="Q80" s="12"/>
      <c r="R80" s="12"/>
      <c r="S80" s="12"/>
      <c r="T80" s="12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2"/>
      <c r="AS80" s="1"/>
      <c r="AT80" s="1"/>
    </row>
    <row r="81" spans="1:46" s="9" customFormat="1" x14ac:dyDescent="0.25">
      <c r="A81" s="1"/>
      <c r="B81" s="40"/>
      <c r="C81" s="51">
        <f t="shared" si="11"/>
        <v>16.5</v>
      </c>
      <c r="D81" s="51">
        <v>0.72073966605769979</v>
      </c>
      <c r="E81" s="51">
        <v>0.53008614628192541</v>
      </c>
      <c r="F81" s="51">
        <f t="shared" ref="F81:G81" si="80">AVERAGE(D77:D85)</f>
        <v>0.57188431596581812</v>
      </c>
      <c r="G81" s="51">
        <f t="shared" si="80"/>
        <v>0.47665056192026928</v>
      </c>
      <c r="H81" s="51">
        <f t="shared" ref="H81:H120" si="81">(F81-$G$7)/($G$8-$G$7)</f>
        <v>0.62816822332027822</v>
      </c>
      <c r="I81" s="51">
        <f t="shared" ref="I81:I120" si="82">(G81-$G$10)/($G$11-$G$10)</f>
        <v>0.38820305249656428</v>
      </c>
      <c r="J81" s="51">
        <f t="shared" ref="J81:J120" ca="1" si="83">_xlfn.NORM.INV(RAND(),$K$7,$K$8)</f>
        <v>7.0971014033417643E-2</v>
      </c>
      <c r="K81" s="51">
        <f t="shared" ca="1" si="79"/>
        <v>-0.33067123657844449</v>
      </c>
      <c r="L81" s="12">
        <f t="shared" ref="L81:L120" ca="1" si="84">J81*$M$8+$M$7</f>
        <v>5.0354855070167091</v>
      </c>
      <c r="M81" s="12">
        <f t="shared" ref="M81:M120" ca="1" si="85">K81*$M$11+$M$10</f>
        <v>10.842650671975445</v>
      </c>
      <c r="N81" s="12">
        <f t="shared" ref="N81:N120" ca="1" si="86">IF(M81&lt;0,0,M81)</f>
        <v>10.842650671975445</v>
      </c>
      <c r="O81" s="12">
        <f t="shared" ref="O81:O120" ca="1" si="87">EXP(L81)</f>
        <v>153.77423296026117</v>
      </c>
      <c r="P81" s="12"/>
      <c r="Q81" s="12"/>
      <c r="R81" s="12"/>
      <c r="S81" s="12"/>
      <c r="T81" s="12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2"/>
      <c r="AS81" s="1"/>
      <c r="AT81" s="1"/>
    </row>
    <row r="82" spans="1:46" s="9" customFormat="1" x14ac:dyDescent="0.25">
      <c r="A82" s="1"/>
      <c r="B82" s="40"/>
      <c r="C82" s="51">
        <f t="shared" ref="C82:C119" si="88">C81+0.25</f>
        <v>16.75</v>
      </c>
      <c r="D82" s="51">
        <v>0.86112525554889296</v>
      </c>
      <c r="E82" s="51">
        <v>2.5912730477392953E-2</v>
      </c>
      <c r="F82" s="51">
        <f t="shared" ref="F82:G82" si="89">AVERAGE(D78:D86)</f>
        <v>0.58373168284913257</v>
      </c>
      <c r="G82" s="51">
        <f t="shared" si="89"/>
        <v>0.42603181243704724</v>
      </c>
      <c r="H82" s="51">
        <f t="shared" si="81"/>
        <v>0.66294840200632876</v>
      </c>
      <c r="I82" s="51">
        <f t="shared" si="82"/>
        <v>0.25896473138119408</v>
      </c>
      <c r="J82" s="51">
        <f t="shared" ca="1" si="83"/>
        <v>0.96620455209151668</v>
      </c>
      <c r="K82" s="51">
        <f t="shared" ca="1" si="79"/>
        <v>-0.90072556356039746</v>
      </c>
      <c r="L82" s="12">
        <f t="shared" ca="1" si="84"/>
        <v>5.4831022760457584</v>
      </c>
      <c r="M82" s="12">
        <f t="shared" ca="1" si="85"/>
        <v>8.8474605275386082</v>
      </c>
      <c r="N82" s="12">
        <f t="shared" ca="1" si="86"/>
        <v>8.8474605275386082</v>
      </c>
      <c r="O82" s="12">
        <f t="shared" ca="1" si="87"/>
        <v>240.59193341997315</v>
      </c>
      <c r="P82" s="12"/>
      <c r="Q82" s="12"/>
      <c r="R82" s="12"/>
      <c r="S82" s="12"/>
      <c r="T82" s="12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2"/>
      <c r="AS82" s="1"/>
      <c r="AT82" s="1"/>
    </row>
    <row r="83" spans="1:46" s="9" customFormat="1" x14ac:dyDescent="0.25">
      <c r="A83" s="1"/>
      <c r="B83" s="40"/>
      <c r="C83" s="51">
        <f t="shared" si="88"/>
        <v>17</v>
      </c>
      <c r="D83" s="51">
        <v>0.22768627775028361</v>
      </c>
      <c r="E83" s="51">
        <v>0.40863390009428602</v>
      </c>
      <c r="F83" s="51">
        <f t="shared" ref="F83:G83" si="90">AVERAGE(D79:D87)</f>
        <v>0.57918441232782902</v>
      </c>
      <c r="G83" s="51">
        <f t="shared" si="90"/>
        <v>0.4380269610303909</v>
      </c>
      <c r="H83" s="51">
        <f t="shared" si="81"/>
        <v>0.64959903224151727</v>
      </c>
      <c r="I83" s="51">
        <f t="shared" si="82"/>
        <v>0.28959039640768719</v>
      </c>
      <c r="J83" s="51">
        <f t="shared" ca="1" si="83"/>
        <v>-0.17649265019059585</v>
      </c>
      <c r="K83" s="51">
        <f t="shared" ca="1" si="79"/>
        <v>0.26500531970412672</v>
      </c>
      <c r="L83" s="12">
        <f t="shared" ca="1" si="84"/>
        <v>4.9117536749047019</v>
      </c>
      <c r="M83" s="12">
        <f t="shared" ca="1" si="85"/>
        <v>12.927518618964443</v>
      </c>
      <c r="N83" s="12">
        <f t="shared" ca="1" si="86"/>
        <v>12.927518618964443</v>
      </c>
      <c r="O83" s="12">
        <f t="shared" ca="1" si="87"/>
        <v>135.8774905386548</v>
      </c>
      <c r="P83" s="12"/>
      <c r="Q83" s="12"/>
      <c r="R83" s="12"/>
      <c r="S83" s="12"/>
      <c r="T83" s="12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2"/>
      <c r="AS83" s="1"/>
      <c r="AT83" s="1"/>
    </row>
    <row r="84" spans="1:46" s="9" customFormat="1" x14ac:dyDescent="0.25">
      <c r="A84" s="1"/>
      <c r="B84" s="40"/>
      <c r="C84" s="51">
        <f t="shared" si="88"/>
        <v>17.25</v>
      </c>
      <c r="D84" s="51">
        <v>0.4121172453400137</v>
      </c>
      <c r="E84" s="51">
        <v>0.69306558461017354</v>
      </c>
      <c r="F84" s="51">
        <f t="shared" ref="F84:G84" si="91">AVERAGE(D80:D88)</f>
        <v>0.58521284520927452</v>
      </c>
      <c r="G84" s="51">
        <f t="shared" si="91"/>
        <v>0.44214739335603631</v>
      </c>
      <c r="H84" s="51">
        <f t="shared" si="81"/>
        <v>0.66729663331005773</v>
      </c>
      <c r="I84" s="51">
        <f t="shared" si="82"/>
        <v>0.3001105645562982</v>
      </c>
      <c r="J84" s="51">
        <f t="shared" ca="1" si="83"/>
        <v>1.2433599859568711</v>
      </c>
      <c r="K84" s="51">
        <f t="shared" ca="1" si="79"/>
        <v>-0.39340815974083965</v>
      </c>
      <c r="L84" s="12">
        <f t="shared" ca="1" si="84"/>
        <v>5.6216799929784358</v>
      </c>
      <c r="M84" s="12">
        <f t="shared" ca="1" si="85"/>
        <v>10.623071440907061</v>
      </c>
      <c r="N84" s="12">
        <f t="shared" ca="1" si="86"/>
        <v>10.623071440907061</v>
      </c>
      <c r="O84" s="12">
        <f t="shared" ca="1" si="87"/>
        <v>276.35326501140145</v>
      </c>
      <c r="P84" s="12"/>
      <c r="Q84" s="12"/>
      <c r="R84" s="12"/>
      <c r="S84" s="12"/>
      <c r="T84" s="12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2"/>
      <c r="AS84" s="1"/>
      <c r="AT84" s="1"/>
    </row>
    <row r="85" spans="1:46" s="9" customFormat="1" x14ac:dyDescent="0.25">
      <c r="A85" s="1"/>
      <c r="B85" s="40"/>
      <c r="C85" s="51">
        <f t="shared" si="88"/>
        <v>17.5</v>
      </c>
      <c r="D85" s="51">
        <v>0.52082700910840285</v>
      </c>
      <c r="E85" s="51">
        <v>0.47369746894899989</v>
      </c>
      <c r="F85" s="51">
        <f t="shared" ref="F85:G85" si="92">AVERAGE(D81:D89)</f>
        <v>0.57900997845478486</v>
      </c>
      <c r="G85" s="51">
        <f t="shared" si="92"/>
        <v>0.36925038551902634</v>
      </c>
      <c r="H85" s="51">
        <f t="shared" si="81"/>
        <v>0.64908694872683181</v>
      </c>
      <c r="I85" s="51">
        <f t="shared" si="82"/>
        <v>0.1139920412152219</v>
      </c>
      <c r="J85" s="51">
        <f t="shared" ca="1" si="83"/>
        <v>-1.4464438127639871</v>
      </c>
      <c r="K85" s="51">
        <f t="shared" ca="1" si="79"/>
        <v>-0.93982177462394623</v>
      </c>
      <c r="L85" s="12">
        <f t="shared" ca="1" si="84"/>
        <v>4.276778093618006</v>
      </c>
      <c r="M85" s="12">
        <f t="shared" ca="1" si="85"/>
        <v>8.7106237888161893</v>
      </c>
      <c r="N85" s="12">
        <f t="shared" ca="1" si="86"/>
        <v>8.7106237888161893</v>
      </c>
      <c r="O85" s="12">
        <f t="shared" ca="1" si="87"/>
        <v>72.008062622736503</v>
      </c>
      <c r="P85" s="12"/>
      <c r="Q85" s="12"/>
      <c r="R85" s="12"/>
      <c r="S85" s="12"/>
      <c r="T85" s="12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2"/>
      <c r="AS85" s="1"/>
      <c r="AT85" s="1"/>
    </row>
    <row r="86" spans="1:46" s="9" customFormat="1" x14ac:dyDescent="0.25">
      <c r="A86" s="1"/>
      <c r="B86" s="40"/>
      <c r="C86" s="51">
        <f t="shared" si="88"/>
        <v>17.75</v>
      </c>
      <c r="D86" s="51">
        <v>0.61832055463199598</v>
      </c>
      <c r="E86" s="51">
        <v>0.12435695932268764</v>
      </c>
      <c r="F86" s="51">
        <f t="shared" ref="F86:G86" si="93">AVERAGE(D82:D90)</f>
        <v>0.61001433290787965</v>
      </c>
      <c r="G86" s="51">
        <f t="shared" si="93"/>
        <v>0.40112284158297012</v>
      </c>
      <c r="H86" s="51">
        <f t="shared" si="81"/>
        <v>0.7401060754699218</v>
      </c>
      <c r="I86" s="51">
        <f t="shared" si="82"/>
        <v>0.19536787040066667</v>
      </c>
      <c r="J86" s="51">
        <f t="shared" ca="1" si="83"/>
        <v>-0.53291635378485613</v>
      </c>
      <c r="K86" s="51">
        <f t="shared" ca="1" si="79"/>
        <v>0.49241910729876331</v>
      </c>
      <c r="L86" s="12">
        <f t="shared" ca="1" si="84"/>
        <v>4.7335418231075721</v>
      </c>
      <c r="M86" s="12">
        <f t="shared" ca="1" si="85"/>
        <v>13.723466875545672</v>
      </c>
      <c r="N86" s="12">
        <f t="shared" ca="1" si="86"/>
        <v>13.723466875545672</v>
      </c>
      <c r="O86" s="12">
        <f t="shared" ca="1" si="87"/>
        <v>113.69754664778688</v>
      </c>
      <c r="P86" s="12"/>
      <c r="Q86" s="12"/>
      <c r="R86" s="12"/>
      <c r="S86" s="12"/>
      <c r="T86" s="12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2"/>
      <c r="AS86" s="1"/>
      <c r="AT86" s="1"/>
    </row>
    <row r="87" spans="1:46" s="9" customFormat="1" x14ac:dyDescent="0.25">
      <c r="A87" s="1"/>
      <c r="B87" s="40"/>
      <c r="C87" s="51">
        <f t="shared" si="88"/>
        <v>18</v>
      </c>
      <c r="D87" s="51">
        <v>0.37555539192512932</v>
      </c>
      <c r="E87" s="51">
        <v>0.78643520319252547</v>
      </c>
      <c r="F87" s="51">
        <f t="shared" ref="F87:G87" si="94">AVERAGE(D83:D91)</f>
        <v>0.51463791186874341</v>
      </c>
      <c r="G87" s="51">
        <f t="shared" si="94"/>
        <v>0.4963679772588947</v>
      </c>
      <c r="H87" s="51">
        <f t="shared" si="81"/>
        <v>0.46011061328422453</v>
      </c>
      <c r="I87" s="51">
        <f t="shared" si="82"/>
        <v>0.43854498470773112</v>
      </c>
      <c r="J87" s="51">
        <f t="shared" ca="1" si="83"/>
        <v>0.98640831317428912</v>
      </c>
      <c r="K87" s="51">
        <f t="shared" ca="1" si="79"/>
        <v>0.13638217588738916</v>
      </c>
      <c r="L87" s="12">
        <f t="shared" ca="1" si="84"/>
        <v>5.4932041565871446</v>
      </c>
      <c r="M87" s="12">
        <f t="shared" ca="1" si="85"/>
        <v>12.477337615605862</v>
      </c>
      <c r="N87" s="12">
        <f t="shared" ca="1" si="86"/>
        <v>12.477337615605862</v>
      </c>
      <c r="O87" s="12">
        <f t="shared" ca="1" si="87"/>
        <v>243.03468179363966</v>
      </c>
      <c r="P87" s="12"/>
      <c r="Q87" s="12"/>
      <c r="R87" s="12"/>
      <c r="S87" s="12"/>
      <c r="T87" s="12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2"/>
      <c r="AS87" s="1"/>
      <c r="AT87" s="1"/>
    </row>
    <row r="88" spans="1:46" s="9" customFormat="1" x14ac:dyDescent="0.25">
      <c r="A88" s="1"/>
      <c r="B88" s="40"/>
      <c r="C88" s="51">
        <f t="shared" si="88"/>
        <v>18.25</v>
      </c>
      <c r="D88" s="51">
        <v>0.82266233165007219</v>
      </c>
      <c r="E88" s="51">
        <v>0.21870119274841004</v>
      </c>
      <c r="F88" s="51">
        <f t="shared" ref="F88:G88" si="95">AVERAGE(D84:D92)</f>
        <v>0.50885193161345388</v>
      </c>
      <c r="G88" s="51">
        <f t="shared" si="95"/>
        <v>0.49083351363285022</v>
      </c>
      <c r="H88" s="51">
        <f t="shared" si="81"/>
        <v>0.4431247776015001</v>
      </c>
      <c r="I88" s="51">
        <f t="shared" si="82"/>
        <v>0.42441455290911162</v>
      </c>
      <c r="J88" s="51">
        <f t="shared" ca="1" si="83"/>
        <v>-0.32660709066726412</v>
      </c>
      <c r="K88" s="51">
        <f t="shared" ca="1" si="79"/>
        <v>1.693417123318075E-2</v>
      </c>
      <c r="L88" s="12">
        <f t="shared" ca="1" si="84"/>
        <v>4.8366964546663676</v>
      </c>
      <c r="M88" s="12">
        <f t="shared" ca="1" si="85"/>
        <v>12.059269599316133</v>
      </c>
      <c r="N88" s="12">
        <f t="shared" ca="1" si="86"/>
        <v>12.059269599316133</v>
      </c>
      <c r="O88" s="12">
        <f t="shared" ca="1" si="87"/>
        <v>126.05224384011018</v>
      </c>
      <c r="P88" s="12"/>
      <c r="Q88" s="12"/>
      <c r="R88" s="12"/>
      <c r="S88" s="12"/>
      <c r="T88" s="12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2"/>
      <c r="AS88" s="1"/>
      <c r="AT88" s="1"/>
    </row>
    <row r="89" spans="1:46" s="9" customFormat="1" x14ac:dyDescent="0.25">
      <c r="A89" s="1"/>
      <c r="B89" s="40"/>
      <c r="C89" s="51">
        <f t="shared" si="88"/>
        <v>18.5</v>
      </c>
      <c r="D89" s="51">
        <v>0.65205607408057364</v>
      </c>
      <c r="E89" s="51">
        <v>6.2364283994836289E-2</v>
      </c>
      <c r="F89" s="51">
        <f t="shared" ref="F89:G89" si="96">AVERAGE(D85:D93)</f>
        <v>0.48708782747827684</v>
      </c>
      <c r="G89" s="51">
        <f t="shared" si="96"/>
        <v>0.47837674711382289</v>
      </c>
      <c r="H89" s="51">
        <f t="shared" si="81"/>
        <v>0.37923214743155459</v>
      </c>
      <c r="I89" s="51">
        <f t="shared" si="82"/>
        <v>0.39261029840102946</v>
      </c>
      <c r="J89" s="51">
        <f t="shared" ca="1" si="83"/>
        <v>0.61895576793735008</v>
      </c>
      <c r="K89" s="51">
        <f t="shared" ca="1" si="79"/>
        <v>0.29234640287703556</v>
      </c>
      <c r="L89" s="12">
        <f t="shared" ca="1" si="84"/>
        <v>5.3094778839686754</v>
      </c>
      <c r="M89" s="12">
        <f t="shared" ca="1" si="85"/>
        <v>13.023212410069625</v>
      </c>
      <c r="N89" s="12">
        <f t="shared" ca="1" si="86"/>
        <v>13.023212410069625</v>
      </c>
      <c r="O89" s="12">
        <f t="shared" ca="1" si="87"/>
        <v>202.24460566602161</v>
      </c>
      <c r="P89" s="12"/>
      <c r="Q89" s="12"/>
      <c r="R89" s="12"/>
      <c r="S89" s="12"/>
      <c r="T89" s="12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2"/>
      <c r="AS89" s="1"/>
      <c r="AT89" s="1"/>
    </row>
    <row r="90" spans="1:46" s="9" customFormat="1" x14ac:dyDescent="0.25">
      <c r="A90" s="1"/>
      <c r="B90" s="40"/>
      <c r="C90" s="51">
        <f t="shared" si="88"/>
        <v>18.75</v>
      </c>
      <c r="D90" s="51">
        <v>0.99977885613555273</v>
      </c>
      <c r="E90" s="51">
        <v>0.81693825085741945</v>
      </c>
      <c r="F90" s="51">
        <f t="shared" ref="F90:G90" si="97">AVERAGE(D86:D94)</f>
        <v>0.47604321075563294</v>
      </c>
      <c r="G90" s="51">
        <f t="shared" si="97"/>
        <v>0.43024888311634446</v>
      </c>
      <c r="H90" s="51">
        <f t="shared" si="81"/>
        <v>0.34680859315862145</v>
      </c>
      <c r="I90" s="51">
        <f t="shared" si="82"/>
        <v>0.26973163376778647</v>
      </c>
      <c r="J90" s="51">
        <f t="shared" ca="1" si="83"/>
        <v>0.59960340975635162</v>
      </c>
      <c r="K90" s="51">
        <f t="shared" ca="1" si="79"/>
        <v>0.84309585014295962</v>
      </c>
      <c r="L90" s="12">
        <f t="shared" ca="1" si="84"/>
        <v>5.2998017048781758</v>
      </c>
      <c r="M90" s="12">
        <f t="shared" ca="1" si="85"/>
        <v>14.950835475500359</v>
      </c>
      <c r="N90" s="12">
        <f t="shared" ca="1" si="86"/>
        <v>14.950835475500359</v>
      </c>
      <c r="O90" s="12">
        <f t="shared" ca="1" si="87"/>
        <v>200.29708810110893</v>
      </c>
      <c r="P90" s="12"/>
      <c r="Q90" s="12"/>
      <c r="R90" s="12"/>
      <c r="S90" s="12"/>
      <c r="T90" s="12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2"/>
      <c r="AS90" s="1"/>
      <c r="AT90" s="1"/>
    </row>
    <row r="91" spans="1:46" s="9" customFormat="1" x14ac:dyDescent="0.25">
      <c r="A91" s="1"/>
      <c r="B91" s="40"/>
      <c r="C91" s="51">
        <f t="shared" si="88"/>
        <v>19</v>
      </c>
      <c r="D91" s="51">
        <v>2.7374661966667047E-3</v>
      </c>
      <c r="E91" s="51">
        <v>0.88311895156071396</v>
      </c>
      <c r="F91" s="51">
        <f t="shared" ref="F91:G91" si="98">AVERAGE(D87:D95)</f>
        <v>0.47680128920262149</v>
      </c>
      <c r="G91" s="51">
        <f t="shared" si="98"/>
        <v>0.50997253777831131</v>
      </c>
      <c r="H91" s="51">
        <f t="shared" si="81"/>
        <v>0.34903407533571507</v>
      </c>
      <c r="I91" s="51">
        <f t="shared" si="82"/>
        <v>0.47327975352347657</v>
      </c>
      <c r="J91" s="51">
        <f t="shared" ca="1" si="83"/>
        <v>9.385700627983154E-2</v>
      </c>
      <c r="K91" s="51">
        <f t="shared" ca="1" si="79"/>
        <v>-2.6991010444440883E-2</v>
      </c>
      <c r="L91" s="12">
        <f t="shared" ca="1" si="84"/>
        <v>5.0469285031399158</v>
      </c>
      <c r="M91" s="12">
        <f t="shared" ca="1" si="85"/>
        <v>11.905531463444458</v>
      </c>
      <c r="N91" s="12">
        <f t="shared" ca="1" si="86"/>
        <v>11.905531463444458</v>
      </c>
      <c r="O91" s="12">
        <f t="shared" ca="1" si="87"/>
        <v>155.54397718891275</v>
      </c>
      <c r="P91" s="12"/>
      <c r="Q91" s="12"/>
      <c r="R91" s="12"/>
      <c r="S91" s="12"/>
      <c r="T91" s="12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2"/>
      <c r="AS91" s="1"/>
      <c r="AT91" s="1"/>
    </row>
    <row r="92" spans="1:46" s="9" customFormat="1" x14ac:dyDescent="0.25">
      <c r="A92" s="1"/>
      <c r="B92" s="40"/>
      <c r="C92" s="51">
        <f t="shared" si="88"/>
        <v>19.25</v>
      </c>
      <c r="D92" s="51">
        <v>0.17561245545267756</v>
      </c>
      <c r="E92" s="51">
        <v>0.35882372745988544</v>
      </c>
      <c r="F92" s="51">
        <f t="shared" ref="F92:G92" si="99">AVERAGE(D88:D96)</f>
        <v>0.50182683217698998</v>
      </c>
      <c r="G92" s="51">
        <f t="shared" si="99"/>
        <v>0.44830739201906095</v>
      </c>
      <c r="H92" s="51">
        <f t="shared" si="81"/>
        <v>0.42250127399146148</v>
      </c>
      <c r="I92" s="51">
        <f t="shared" si="82"/>
        <v>0.31583809424460285</v>
      </c>
      <c r="J92" s="51">
        <f t="shared" ca="1" si="83"/>
        <v>-0.63673210882239561</v>
      </c>
      <c r="K92" s="51">
        <f t="shared" ca="1" si="79"/>
        <v>0.51155100691283184</v>
      </c>
      <c r="L92" s="12">
        <f t="shared" ca="1" si="84"/>
        <v>4.6816339455888025</v>
      </c>
      <c r="M92" s="12">
        <f t="shared" ca="1" si="85"/>
        <v>13.790428524194912</v>
      </c>
      <c r="N92" s="12">
        <f t="shared" ca="1" si="86"/>
        <v>13.790428524194912</v>
      </c>
      <c r="O92" s="12">
        <f t="shared" ca="1" si="87"/>
        <v>107.94630694556369</v>
      </c>
      <c r="P92" s="12"/>
      <c r="Q92" s="12"/>
      <c r="R92" s="12"/>
      <c r="S92" s="12"/>
      <c r="T92" s="12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2"/>
      <c r="AS92" s="1"/>
      <c r="AT92" s="1"/>
    </row>
    <row r="93" spans="1:46" s="9" customFormat="1" x14ac:dyDescent="0.25">
      <c r="A93" s="1"/>
      <c r="B93" s="40"/>
      <c r="C93" s="51">
        <f t="shared" si="88"/>
        <v>19.5</v>
      </c>
      <c r="D93" s="51">
        <v>0.21624030812341966</v>
      </c>
      <c r="E93" s="51">
        <v>0.58095468593892796</v>
      </c>
      <c r="F93" s="51">
        <f t="shared" ref="F93:G93" si="100">AVERAGE(D89:D97)</f>
        <v>0.49967213112635656</v>
      </c>
      <c r="G93" s="51">
        <f t="shared" si="100"/>
        <v>0.47775885748200281</v>
      </c>
      <c r="H93" s="51">
        <f t="shared" si="81"/>
        <v>0.41617574290137627</v>
      </c>
      <c r="I93" s="51">
        <f t="shared" si="82"/>
        <v>0.39103272053776184</v>
      </c>
      <c r="J93" s="51">
        <f t="shared" ca="1" si="83"/>
        <v>-1.0068361688583611</v>
      </c>
      <c r="K93" s="51">
        <f t="shared" ca="1" si="79"/>
        <v>0.13706260433419892</v>
      </c>
      <c r="L93" s="12">
        <f t="shared" ca="1" si="84"/>
        <v>4.4965819155708191</v>
      </c>
      <c r="M93" s="12">
        <f t="shared" ca="1" si="85"/>
        <v>12.479719115169697</v>
      </c>
      <c r="N93" s="12">
        <f t="shared" ca="1" si="86"/>
        <v>12.479719115169697</v>
      </c>
      <c r="O93" s="12">
        <f t="shared" ca="1" si="87"/>
        <v>89.709970395671419</v>
      </c>
      <c r="P93" s="12"/>
      <c r="Q93" s="12"/>
      <c r="R93" s="12"/>
      <c r="S93" s="12"/>
      <c r="T93" s="12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2"/>
      <c r="AS93" s="1"/>
      <c r="AT93" s="1"/>
    </row>
    <row r="94" spans="1:46" s="9" customFormat="1" x14ac:dyDescent="0.25">
      <c r="A94" s="1"/>
      <c r="B94" s="40"/>
      <c r="C94" s="51">
        <f t="shared" si="88"/>
        <v>19.75</v>
      </c>
      <c r="D94" s="51">
        <v>0.42142545860460934</v>
      </c>
      <c r="E94" s="51">
        <v>4.0546692971693776E-2</v>
      </c>
      <c r="F94" s="51">
        <f t="shared" ref="F94:G94" si="101">AVERAGE(D90:D98)</f>
        <v>0.44494451402802748</v>
      </c>
      <c r="G94" s="51">
        <f t="shared" si="101"/>
        <v>0.52728927718567531</v>
      </c>
      <c r="H94" s="51">
        <f t="shared" si="81"/>
        <v>0.25551250688541421</v>
      </c>
      <c r="I94" s="51">
        <f t="shared" si="82"/>
        <v>0.51749234966716229</v>
      </c>
      <c r="J94" s="51">
        <f t="shared" ca="1" si="83"/>
        <v>-1.7795569546147192</v>
      </c>
      <c r="K94" s="51">
        <f t="shared" ca="1" si="79"/>
        <v>-2.5984705234970225</v>
      </c>
      <c r="L94" s="12">
        <f t="shared" ca="1" si="84"/>
        <v>4.1102215226926404</v>
      </c>
      <c r="M94" s="12">
        <f t="shared" ca="1" si="85"/>
        <v>2.9053531677604205</v>
      </c>
      <c r="N94" s="12">
        <f t="shared" ca="1" si="86"/>
        <v>2.9053531677604205</v>
      </c>
      <c r="O94" s="12">
        <f t="shared" ca="1" si="87"/>
        <v>60.96022014611416</v>
      </c>
      <c r="P94" s="12"/>
      <c r="Q94" s="12"/>
      <c r="R94" s="12"/>
      <c r="S94" s="12"/>
      <c r="T94" s="12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2"/>
      <c r="AS94" s="1"/>
      <c r="AT94" s="1"/>
    </row>
    <row r="95" spans="1:46" s="9" customFormat="1" x14ac:dyDescent="0.25">
      <c r="A95" s="1"/>
      <c r="B95" s="40"/>
      <c r="C95" s="51">
        <f t="shared" si="88"/>
        <v>20</v>
      </c>
      <c r="D95" s="51">
        <v>0.62514326065489167</v>
      </c>
      <c r="E95" s="51">
        <v>0.84186985128038949</v>
      </c>
      <c r="F95" s="51">
        <f t="shared" ref="F95:G95" si="102">AVERAGE(D91:D99)</f>
        <v>0.36070726962720989</v>
      </c>
      <c r="G95" s="51">
        <f t="shared" si="102"/>
        <v>0.44379420316812834</v>
      </c>
      <c r="H95" s="51">
        <f t="shared" si="81"/>
        <v>8.2181974294294347E-3</v>
      </c>
      <c r="I95" s="51">
        <f t="shared" si="82"/>
        <v>0.30431515154202843</v>
      </c>
      <c r="J95" s="51">
        <f t="shared" ca="1" si="83"/>
        <v>0.2567605418672847</v>
      </c>
      <c r="K95" s="51">
        <f t="shared" ca="1" si="79"/>
        <v>1.5975322940774803</v>
      </c>
      <c r="L95" s="12">
        <f t="shared" ca="1" si="84"/>
        <v>5.1283802709336426</v>
      </c>
      <c r="M95" s="12">
        <f t="shared" ca="1" si="85"/>
        <v>17.591363029271182</v>
      </c>
      <c r="N95" s="12">
        <f t="shared" ca="1" si="86"/>
        <v>17.591363029271182</v>
      </c>
      <c r="O95" s="12">
        <f t="shared" ca="1" si="87"/>
        <v>168.74357769650774</v>
      </c>
      <c r="P95" s="12"/>
      <c r="Q95" s="12"/>
      <c r="R95" s="12"/>
      <c r="S95" s="12"/>
      <c r="T95" s="12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2"/>
      <c r="AS95" s="1"/>
      <c r="AT95" s="1"/>
    </row>
    <row r="96" spans="1:46" s="9" customFormat="1" x14ac:dyDescent="0.25">
      <c r="A96" s="1"/>
      <c r="B96" s="40"/>
      <c r="C96" s="51">
        <f t="shared" si="88"/>
        <v>20.25</v>
      </c>
      <c r="D96" s="51">
        <v>0.60078527869444609</v>
      </c>
      <c r="E96" s="51">
        <v>0.2314488913592716</v>
      </c>
      <c r="F96" s="51">
        <f t="shared" ref="F96:G96" si="103">AVERAGE(D92:D100)</f>
        <v>0.4322886035442306</v>
      </c>
      <c r="G96" s="51">
        <f t="shared" si="103"/>
        <v>0.41814221264061224</v>
      </c>
      <c r="H96" s="51">
        <f t="shared" si="81"/>
        <v>0.21835869605162903</v>
      </c>
      <c r="I96" s="51">
        <f t="shared" si="82"/>
        <v>0.23882123430998745</v>
      </c>
      <c r="J96" s="51">
        <f t="shared" ca="1" si="83"/>
        <v>0.85500269592487088</v>
      </c>
      <c r="K96" s="51">
        <f t="shared" ca="1" si="79"/>
        <v>1.7869386987293017</v>
      </c>
      <c r="L96" s="12">
        <f t="shared" ca="1" si="84"/>
        <v>5.4275013479624352</v>
      </c>
      <c r="M96" s="12">
        <f t="shared" ca="1" si="85"/>
        <v>18.254285445552554</v>
      </c>
      <c r="N96" s="12">
        <f t="shared" ca="1" si="86"/>
        <v>18.254285445552554</v>
      </c>
      <c r="O96" s="12">
        <f t="shared" ca="1" si="87"/>
        <v>227.57989145200634</v>
      </c>
      <c r="P96" s="12"/>
      <c r="Q96" s="12"/>
      <c r="R96" s="12"/>
      <c r="S96" s="12"/>
      <c r="T96" s="12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2"/>
      <c r="AS96" s="1"/>
      <c r="AT96" s="1"/>
    </row>
    <row r="97" spans="1:46" s="9" customFormat="1" x14ac:dyDescent="0.25">
      <c r="A97" s="1"/>
      <c r="B97" s="40"/>
      <c r="C97" s="51">
        <f t="shared" si="88"/>
        <v>20.5</v>
      </c>
      <c r="D97" s="51">
        <v>0.80327002219437094</v>
      </c>
      <c r="E97" s="51">
        <v>0.48376438191488724</v>
      </c>
      <c r="F97" s="51">
        <f t="shared" ref="F97:G97" si="104">AVERAGE(D93:D101)</f>
        <v>0.48908108368111514</v>
      </c>
      <c r="G97" s="51">
        <f t="shared" si="104"/>
        <v>0.41308551561883899</v>
      </c>
      <c r="H97" s="51">
        <f t="shared" si="81"/>
        <v>0.38508372673897284</v>
      </c>
      <c r="I97" s="51">
        <f t="shared" si="82"/>
        <v>0.22591062233013834</v>
      </c>
      <c r="J97" s="51">
        <f t="shared" ca="1" si="83"/>
        <v>1.2381309921389039</v>
      </c>
      <c r="K97" s="51">
        <f t="shared" ca="1" si="79"/>
        <v>-0.58911988095126544</v>
      </c>
      <c r="L97" s="12">
        <f t="shared" ca="1" si="84"/>
        <v>5.6190654960694522</v>
      </c>
      <c r="M97" s="12">
        <f t="shared" ca="1" si="85"/>
        <v>9.9380804166705712</v>
      </c>
      <c r="N97" s="12">
        <f t="shared" ca="1" si="86"/>
        <v>9.9380804166705712</v>
      </c>
      <c r="O97" s="12">
        <f t="shared" ca="1" si="87"/>
        <v>275.63168395100382</v>
      </c>
      <c r="P97" s="12"/>
      <c r="Q97" s="12"/>
      <c r="R97" s="12"/>
      <c r="S97" s="12"/>
      <c r="T97" s="12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2"/>
      <c r="AS97" s="1"/>
      <c r="AT97" s="1"/>
    </row>
    <row r="98" spans="1:46" s="9" customFormat="1" x14ac:dyDescent="0.25">
      <c r="A98" s="1"/>
      <c r="B98" s="40"/>
      <c r="C98" s="51">
        <f t="shared" si="88"/>
        <v>20.75</v>
      </c>
      <c r="D98" s="51">
        <v>0.15950752019561276</v>
      </c>
      <c r="E98" s="51">
        <v>0.50813806132788819</v>
      </c>
      <c r="F98" s="51">
        <f t="shared" ref="F98:G98" si="105">AVERAGE(D94:D102)</f>
        <v>0.5229281794821099</v>
      </c>
      <c r="G98" s="51">
        <f t="shared" si="105"/>
        <v>0.38961405872623101</v>
      </c>
      <c r="H98" s="51">
        <f t="shared" si="81"/>
        <v>0.48444825655871043</v>
      </c>
      <c r="I98" s="51">
        <f t="shared" si="82"/>
        <v>0.16598398024788205</v>
      </c>
      <c r="J98" s="51">
        <f t="shared" ca="1" si="83"/>
        <v>-0.23692573846104781</v>
      </c>
      <c r="K98" s="51">
        <f t="shared" ca="1" si="79"/>
        <v>-0.29764443291652265</v>
      </c>
      <c r="L98" s="12">
        <f t="shared" ca="1" si="84"/>
        <v>4.8815371307694759</v>
      </c>
      <c r="M98" s="12">
        <f t="shared" ca="1" si="85"/>
        <v>10.958244484792171</v>
      </c>
      <c r="N98" s="12">
        <f t="shared" ca="1" si="86"/>
        <v>10.958244484792171</v>
      </c>
      <c r="O98" s="12">
        <f t="shared" ca="1" si="87"/>
        <v>131.83315301576212</v>
      </c>
      <c r="P98" s="12"/>
      <c r="Q98" s="12"/>
      <c r="R98" s="12"/>
      <c r="S98" s="12"/>
      <c r="T98" s="12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2"/>
      <c r="AS98" s="1"/>
      <c r="AT98" s="1"/>
    </row>
    <row r="99" spans="1:46" s="9" customFormat="1" x14ac:dyDescent="0.25">
      <c r="A99" s="1"/>
      <c r="B99" s="40"/>
      <c r="C99" s="51">
        <f t="shared" si="88"/>
        <v>21</v>
      </c>
      <c r="D99" s="51">
        <v>0.24164365652819375</v>
      </c>
      <c r="E99" s="51">
        <v>6.5482584699497637E-2</v>
      </c>
      <c r="F99" s="51">
        <f t="shared" ref="F99:G99" si="106">AVERAGE(D95:D103)</f>
        <v>0.50369069262890642</v>
      </c>
      <c r="G99" s="51">
        <f t="shared" si="106"/>
        <v>0.39603018572890403</v>
      </c>
      <c r="H99" s="51">
        <f t="shared" si="81"/>
        <v>0.42797298768126163</v>
      </c>
      <c r="I99" s="51">
        <f t="shared" si="82"/>
        <v>0.18236544937452062</v>
      </c>
      <c r="J99" s="51">
        <f t="shared" ca="1" si="83"/>
        <v>0.58542742528798986</v>
      </c>
      <c r="K99" s="51">
        <f t="shared" ca="1" si="79"/>
        <v>1.1838528477432484</v>
      </c>
      <c r="L99" s="12">
        <f t="shared" ca="1" si="84"/>
        <v>5.2927137126439945</v>
      </c>
      <c r="M99" s="12">
        <f t="shared" ca="1" si="85"/>
        <v>16.143484967101369</v>
      </c>
      <c r="N99" s="12">
        <f t="shared" ca="1" si="86"/>
        <v>16.143484967101369</v>
      </c>
      <c r="O99" s="12">
        <f t="shared" ca="1" si="87"/>
        <v>198.88240345577404</v>
      </c>
      <c r="P99" s="12"/>
      <c r="Q99" s="12"/>
      <c r="R99" s="12"/>
      <c r="S99" s="12"/>
      <c r="T99" s="12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2"/>
      <c r="AS99" s="1"/>
      <c r="AT99" s="1"/>
    </row>
    <row r="100" spans="1:46" s="9" customFormat="1" x14ac:dyDescent="0.25">
      <c r="A100" s="1"/>
      <c r="B100" s="40"/>
      <c r="C100" s="51">
        <f t="shared" si="88"/>
        <v>21.25</v>
      </c>
      <c r="D100" s="51">
        <v>0.64696947144985306</v>
      </c>
      <c r="E100" s="51">
        <v>0.65225103681306906</v>
      </c>
      <c r="F100" s="51">
        <f t="shared" ref="F100:G100" si="107">AVERAGE(D96:D104)</f>
        <v>0.50226862257513127</v>
      </c>
      <c r="G100" s="51">
        <f t="shared" si="107"/>
        <v>0.34624370033293139</v>
      </c>
      <c r="H100" s="51">
        <f t="shared" si="81"/>
        <v>0.42379823298162966</v>
      </c>
      <c r="I100" s="51">
        <f t="shared" si="82"/>
        <v>5.5252040756176443E-2</v>
      </c>
      <c r="J100" s="51">
        <f t="shared" ca="1" si="83"/>
        <v>-0.77834140325460488</v>
      </c>
      <c r="K100" s="51">
        <f t="shared" ca="1" si="79"/>
        <v>-0.46559965076857357</v>
      </c>
      <c r="L100" s="12">
        <f t="shared" ca="1" si="84"/>
        <v>4.6108292983726979</v>
      </c>
      <c r="M100" s="12">
        <f t="shared" ca="1" si="85"/>
        <v>10.370401222309992</v>
      </c>
      <c r="N100" s="12">
        <f t="shared" ca="1" si="86"/>
        <v>10.370401222309992</v>
      </c>
      <c r="O100" s="12">
        <f t="shared" ca="1" si="87"/>
        <v>100.56751554099145</v>
      </c>
      <c r="P100" s="12"/>
      <c r="Q100" s="12"/>
      <c r="R100" s="12"/>
      <c r="S100" s="12"/>
      <c r="T100" s="12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2"/>
      <c r="AS100" s="1"/>
      <c r="AT100" s="1"/>
    </row>
    <row r="101" spans="1:46" s="9" customFormat="1" x14ac:dyDescent="0.25">
      <c r="A101" s="1"/>
      <c r="B101" s="40"/>
      <c r="C101" s="51">
        <f t="shared" si="88"/>
        <v>21.5</v>
      </c>
      <c r="D101" s="51">
        <v>0.68674477668463796</v>
      </c>
      <c r="E101" s="51">
        <v>0.31331345426392598</v>
      </c>
      <c r="F101" s="51">
        <f t="shared" ref="F101:G101" si="108">AVERAGE(D97:D105)</f>
        <v>0.52718272115660747</v>
      </c>
      <c r="G101" s="51">
        <f t="shared" si="108"/>
        <v>0.40282984014799705</v>
      </c>
      <c r="H101" s="51">
        <f t="shared" si="81"/>
        <v>0.49693826561504151</v>
      </c>
      <c r="I101" s="51">
        <f t="shared" si="82"/>
        <v>0.19972612956239386</v>
      </c>
      <c r="J101" s="51">
        <f t="shared" ca="1" si="83"/>
        <v>0.10995288675724944</v>
      </c>
      <c r="K101" s="51">
        <f t="shared" ca="1" si="79"/>
        <v>0.23229839217718082</v>
      </c>
      <c r="L101" s="12">
        <f t="shared" ca="1" si="84"/>
        <v>5.0549764433786244</v>
      </c>
      <c r="M101" s="12">
        <f t="shared" ca="1" si="85"/>
        <v>12.813044372620134</v>
      </c>
      <c r="N101" s="12">
        <f t="shared" ca="1" si="86"/>
        <v>12.813044372620134</v>
      </c>
      <c r="O101" s="12">
        <f t="shared" ca="1" si="87"/>
        <v>156.80083660272311</v>
      </c>
      <c r="P101" s="12"/>
      <c r="Q101" s="12"/>
      <c r="R101" s="12"/>
      <c r="S101" s="12"/>
      <c r="T101" s="12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2"/>
      <c r="AS101" s="1"/>
      <c r="AT101" s="1"/>
    </row>
    <row r="102" spans="1:46" s="9" customFormat="1" x14ac:dyDescent="0.25">
      <c r="A102" s="1"/>
      <c r="B102" s="40"/>
      <c r="C102" s="51">
        <f t="shared" si="88"/>
        <v>21.75</v>
      </c>
      <c r="D102" s="51">
        <v>0.5208641703323732</v>
      </c>
      <c r="E102" s="51">
        <v>0.36971157390545595</v>
      </c>
      <c r="F102" s="51">
        <f t="shared" ref="F102:G102" si="109">AVERAGE(D98:D106)</f>
        <v>0.53102884335646106</v>
      </c>
      <c r="G102" s="51">
        <f t="shared" si="109"/>
        <v>0.40402774658510071</v>
      </c>
      <c r="H102" s="51">
        <f t="shared" si="81"/>
        <v>0.50822928231746933</v>
      </c>
      <c r="I102" s="51">
        <f t="shared" si="82"/>
        <v>0.20278458948811537</v>
      </c>
      <c r="J102" s="51">
        <f t="shared" ca="1" si="83"/>
        <v>0.8915696114011632</v>
      </c>
      <c r="K102" s="51">
        <f t="shared" ca="1" si="79"/>
        <v>1.3860465138029672</v>
      </c>
      <c r="L102" s="12">
        <f t="shared" ca="1" si="84"/>
        <v>5.4457848057005815</v>
      </c>
      <c r="M102" s="12">
        <f t="shared" ca="1" si="85"/>
        <v>16.851162798310384</v>
      </c>
      <c r="N102" s="12">
        <f t="shared" ca="1" si="86"/>
        <v>16.851162798310384</v>
      </c>
      <c r="O102" s="12">
        <f t="shared" ca="1" si="87"/>
        <v>231.77910991884039</v>
      </c>
      <c r="P102" s="12"/>
      <c r="Q102" s="12"/>
      <c r="R102" s="12"/>
      <c r="S102" s="12"/>
      <c r="T102" s="12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2"/>
      <c r="AS102" s="1"/>
      <c r="AT102" s="1"/>
    </row>
    <row r="103" spans="1:46" s="9" customFormat="1" x14ac:dyDescent="0.25">
      <c r="A103" s="1"/>
      <c r="B103" s="40"/>
      <c r="C103" s="51">
        <f t="shared" si="88"/>
        <v>22</v>
      </c>
      <c r="D103" s="51">
        <v>0.24828807692577926</v>
      </c>
      <c r="E103" s="51">
        <v>9.8291835995750754E-2</v>
      </c>
      <c r="F103" s="51">
        <f t="shared" ref="F103:G103" si="110">AVERAGE(D99:D107)</f>
        <v>0.52332274892170094</v>
      </c>
      <c r="G103" s="51">
        <f t="shared" si="110"/>
        <v>0.35764303335821024</v>
      </c>
      <c r="H103" s="51">
        <f t="shared" si="81"/>
        <v>0.48560658952401758</v>
      </c>
      <c r="I103" s="51">
        <f t="shared" si="82"/>
        <v>8.4356486777908871E-2</v>
      </c>
      <c r="J103" s="51">
        <f t="shared" ca="1" si="83"/>
        <v>2.9172408142370401</v>
      </c>
      <c r="K103" s="51">
        <f t="shared" ca="1" si="79"/>
        <v>2.2395483511349794</v>
      </c>
      <c r="L103" s="12">
        <f t="shared" ca="1" si="84"/>
        <v>6.45862040711852</v>
      </c>
      <c r="M103" s="12">
        <f t="shared" ca="1" si="85"/>
        <v>19.838419228972427</v>
      </c>
      <c r="N103" s="12">
        <f t="shared" ca="1" si="86"/>
        <v>19.838419228972427</v>
      </c>
      <c r="O103" s="12">
        <f t="shared" ca="1" si="87"/>
        <v>638.18002036045755</v>
      </c>
      <c r="P103" s="12"/>
      <c r="Q103" s="12"/>
      <c r="R103" s="12"/>
      <c r="S103" s="12"/>
      <c r="T103" s="12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2"/>
      <c r="AS103" s="1"/>
      <c r="AT103" s="1"/>
    </row>
    <row r="104" spans="1:46" s="9" customFormat="1" x14ac:dyDescent="0.25">
      <c r="A104" s="1"/>
      <c r="B104" s="40"/>
      <c r="C104" s="51">
        <f t="shared" si="88"/>
        <v>22.25</v>
      </c>
      <c r="D104" s="51">
        <v>0.61234463017091401</v>
      </c>
      <c r="E104" s="51">
        <v>0.39379148271663689</v>
      </c>
      <c r="F104" s="51">
        <f t="shared" ref="F104:G104" si="111">AVERAGE(D100:D108)</f>
        <v>0.55922857778847401</v>
      </c>
      <c r="G104" s="51">
        <f t="shared" si="111"/>
        <v>0.4313064929758012</v>
      </c>
      <c r="H104" s="51">
        <f t="shared" si="81"/>
        <v>0.59101491832456454</v>
      </c>
      <c r="I104" s="51">
        <f t="shared" si="82"/>
        <v>0.27243189254594058</v>
      </c>
      <c r="J104" s="51">
        <f t="shared" ca="1" si="83"/>
        <v>0.85596475990319043</v>
      </c>
      <c r="K104" s="51">
        <f t="shared" ca="1" si="79"/>
        <v>1.8277260212575426</v>
      </c>
      <c r="L104" s="12">
        <f t="shared" ca="1" si="84"/>
        <v>5.4279823799515956</v>
      </c>
      <c r="M104" s="12">
        <f t="shared" ca="1" si="85"/>
        <v>18.3970410744014</v>
      </c>
      <c r="N104" s="12">
        <f t="shared" ca="1" si="86"/>
        <v>18.3970410744014</v>
      </c>
      <c r="O104" s="12">
        <f t="shared" ca="1" si="87"/>
        <v>227.68939099416426</v>
      </c>
      <c r="P104" s="12"/>
      <c r="Q104" s="12"/>
      <c r="R104" s="12"/>
      <c r="S104" s="12"/>
      <c r="T104" s="12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2"/>
      <c r="AS104" s="1"/>
      <c r="AT104" s="1"/>
    </row>
    <row r="105" spans="1:46" s="9" customFormat="1" x14ac:dyDescent="0.25">
      <c r="A105" s="1"/>
      <c r="B105" s="40"/>
      <c r="C105" s="51">
        <f t="shared" si="88"/>
        <v>22.5</v>
      </c>
      <c r="D105" s="51">
        <v>0.82501216592773208</v>
      </c>
      <c r="E105" s="51">
        <v>0.74072414969486189</v>
      </c>
      <c r="F105" s="51">
        <f t="shared" ref="F105:G105" si="112">AVERAGE(D101:D109)</f>
        <v>0.49355158432761986</v>
      </c>
      <c r="G105" s="51">
        <f t="shared" si="112"/>
        <v>0.42289772422592414</v>
      </c>
      <c r="H105" s="51">
        <f t="shared" si="81"/>
        <v>0.39820772406537625</v>
      </c>
      <c r="I105" s="51">
        <f t="shared" si="82"/>
        <v>0.25096286838046394</v>
      </c>
      <c r="J105" s="51">
        <f t="shared" ca="1" si="83"/>
        <v>0.63682678735556386</v>
      </c>
      <c r="K105" s="51">
        <f t="shared" ca="1" si="79"/>
        <v>1.2683558863060842</v>
      </c>
      <c r="L105" s="12">
        <f t="shared" ca="1" si="84"/>
        <v>5.3184133936777815</v>
      </c>
      <c r="M105" s="12">
        <f t="shared" ca="1" si="85"/>
        <v>16.439245602071296</v>
      </c>
      <c r="N105" s="12">
        <f t="shared" ca="1" si="86"/>
        <v>16.439245602071296</v>
      </c>
      <c r="O105" s="12">
        <f t="shared" ca="1" si="87"/>
        <v>204.05986234741926</v>
      </c>
      <c r="P105" s="12"/>
      <c r="Q105" s="12"/>
      <c r="R105" s="12"/>
      <c r="S105" s="12"/>
      <c r="T105" s="12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2"/>
      <c r="AS105" s="1"/>
      <c r="AT105" s="1"/>
    </row>
    <row r="106" spans="1:46" s="9" customFormat="1" x14ac:dyDescent="0.25">
      <c r="A106" s="1"/>
      <c r="B106" s="40"/>
      <c r="C106" s="51">
        <f t="shared" si="88"/>
        <v>22.75</v>
      </c>
      <c r="D106" s="51">
        <v>0.83788512199305409</v>
      </c>
      <c r="E106" s="51">
        <v>0.49454553984881977</v>
      </c>
      <c r="F106" s="51">
        <f t="shared" ref="F106:G106" si="113">AVERAGE(D102:D110)</f>
        <v>0.47441443466850214</v>
      </c>
      <c r="G106" s="51">
        <f t="shared" si="113"/>
        <v>0.44176810093059121</v>
      </c>
      <c r="H106" s="51">
        <f t="shared" si="81"/>
        <v>0.34202701393448526</v>
      </c>
      <c r="I106" s="51">
        <f t="shared" si="82"/>
        <v>0.29914216615102845</v>
      </c>
      <c r="J106" s="51">
        <f t="shared" ca="1" si="83"/>
        <v>3.0439407991014106E-2</v>
      </c>
      <c r="K106" s="51">
        <f t="shared" ca="1" si="79"/>
        <v>-0.6066379141706052</v>
      </c>
      <c r="L106" s="12">
        <f t="shared" ca="1" si="84"/>
        <v>5.0152197039955073</v>
      </c>
      <c r="M106" s="12">
        <f t="shared" ca="1" si="85"/>
        <v>9.8767673004028822</v>
      </c>
      <c r="N106" s="12">
        <f t="shared" ca="1" si="86"/>
        <v>9.8767673004028822</v>
      </c>
      <c r="O106" s="12">
        <f t="shared" ca="1" si="87"/>
        <v>150.68924015745253</v>
      </c>
      <c r="P106" s="12"/>
      <c r="Q106" s="12"/>
      <c r="R106" s="12"/>
      <c r="S106" s="12"/>
      <c r="T106" s="12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2"/>
      <c r="AS106" s="1"/>
      <c r="AT106" s="1"/>
    </row>
    <row r="107" spans="1:46" s="9" customFormat="1" x14ac:dyDescent="0.25">
      <c r="A107" s="1"/>
      <c r="B107" s="40"/>
      <c r="C107" s="51">
        <f t="shared" si="88"/>
        <v>23</v>
      </c>
      <c r="D107" s="51">
        <v>9.0152670282771186E-2</v>
      </c>
      <c r="E107" s="51">
        <v>9.0675642285874325E-2</v>
      </c>
      <c r="F107" s="51">
        <f t="shared" ref="F107:G107" si="114">AVERAGE(D103:D111)</f>
        <v>0.45084296927734147</v>
      </c>
      <c r="G107" s="51">
        <f t="shared" si="114"/>
        <v>0.43944209905747106</v>
      </c>
      <c r="H107" s="51">
        <f t="shared" si="81"/>
        <v>0.27282853411436253</v>
      </c>
      <c r="I107" s="51">
        <f t="shared" si="82"/>
        <v>0.29320348572011634</v>
      </c>
      <c r="J107" s="51">
        <f t="shared" ca="1" si="83"/>
        <v>0.57881558107564479</v>
      </c>
      <c r="K107" s="51">
        <f t="shared" ca="1" si="79"/>
        <v>-0.99795378811191504</v>
      </c>
      <c r="L107" s="12">
        <f t="shared" ca="1" si="84"/>
        <v>5.2894077905378225</v>
      </c>
      <c r="M107" s="12">
        <f t="shared" ca="1" si="85"/>
        <v>8.5071617416082965</v>
      </c>
      <c r="N107" s="12">
        <f t="shared" ca="1" si="86"/>
        <v>8.5071617416082965</v>
      </c>
      <c r="O107" s="12">
        <f t="shared" ca="1" si="87"/>
        <v>198.22599932994262</v>
      </c>
      <c r="P107" s="12"/>
      <c r="Q107" s="12"/>
      <c r="R107" s="12"/>
      <c r="S107" s="12"/>
      <c r="T107" s="12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2"/>
      <c r="AS107" s="1"/>
      <c r="AT107" s="1"/>
    </row>
    <row r="108" spans="1:46" s="9" customFormat="1" x14ac:dyDescent="0.25">
      <c r="A108" s="1"/>
      <c r="B108" s="40"/>
      <c r="C108" s="51">
        <f t="shared" si="88"/>
        <v>23.25</v>
      </c>
      <c r="D108" s="51">
        <v>0.56479611632915094</v>
      </c>
      <c r="E108" s="51">
        <v>0.72845372125781604</v>
      </c>
      <c r="F108" s="51">
        <f t="shared" ref="F108:G108" si="115">AVERAGE(D104:D112)</f>
        <v>0.49790659350046407</v>
      </c>
      <c r="G108" s="51">
        <f t="shared" si="115"/>
        <v>0.49583708955297745</v>
      </c>
      <c r="H108" s="51">
        <f t="shared" si="81"/>
        <v>0.41099267440098497</v>
      </c>
      <c r="I108" s="51">
        <f t="shared" si="82"/>
        <v>0.43718953763497642</v>
      </c>
      <c r="J108" s="51">
        <f t="shared" ca="1" si="83"/>
        <v>0.34574235538995285</v>
      </c>
      <c r="K108" s="51">
        <f t="shared" ca="1" si="79"/>
        <v>-0.91222561289443094</v>
      </c>
      <c r="L108" s="12">
        <f t="shared" ca="1" si="84"/>
        <v>5.1728711776949767</v>
      </c>
      <c r="M108" s="12">
        <f t="shared" ca="1" si="85"/>
        <v>8.8072103548694916</v>
      </c>
      <c r="N108" s="12">
        <f t="shared" ca="1" si="86"/>
        <v>8.8072103548694916</v>
      </c>
      <c r="O108" s="12">
        <f t="shared" ca="1" si="87"/>
        <v>176.42064602729249</v>
      </c>
      <c r="P108" s="12"/>
      <c r="Q108" s="12"/>
      <c r="R108" s="12"/>
      <c r="S108" s="12"/>
      <c r="T108" s="12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2"/>
      <c r="AS108" s="1"/>
      <c r="AT108" s="1"/>
    </row>
    <row r="109" spans="1:46" s="9" customFormat="1" x14ac:dyDescent="0.25">
      <c r="A109" s="1"/>
      <c r="B109" s="40"/>
      <c r="C109" s="51">
        <f t="shared" si="88"/>
        <v>23.5</v>
      </c>
      <c r="D109" s="51">
        <v>5.587653030216666E-2</v>
      </c>
      <c r="E109" s="51">
        <v>0.57657211806417541</v>
      </c>
      <c r="F109" s="51">
        <f t="shared" ref="F109:G109" si="116">AVERAGE(D105:D113)</f>
        <v>0.52992617852183033</v>
      </c>
      <c r="G109" s="51">
        <f t="shared" si="116"/>
        <v>0.4816643931851588</v>
      </c>
      <c r="H109" s="51">
        <f t="shared" si="81"/>
        <v>0.50499220184574922</v>
      </c>
      <c r="I109" s="51">
        <f t="shared" si="82"/>
        <v>0.40100422087084137</v>
      </c>
      <c r="J109" s="51">
        <f t="shared" ca="1" si="83"/>
        <v>0.10316791218643936</v>
      </c>
      <c r="K109" s="51">
        <f t="shared" ca="1" si="79"/>
        <v>1.0644734133750982</v>
      </c>
      <c r="L109" s="12">
        <f t="shared" ca="1" si="84"/>
        <v>5.0515839560932196</v>
      </c>
      <c r="M109" s="12">
        <f t="shared" ca="1" si="85"/>
        <v>15.725656946812844</v>
      </c>
      <c r="N109" s="12">
        <f t="shared" ca="1" si="86"/>
        <v>15.725656946812844</v>
      </c>
      <c r="O109" s="12">
        <f t="shared" ca="1" si="87"/>
        <v>156.26979304677693</v>
      </c>
      <c r="P109" s="12"/>
      <c r="Q109" s="12"/>
      <c r="R109" s="12"/>
      <c r="S109" s="12"/>
      <c r="T109" s="12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2"/>
      <c r="AS109" s="1"/>
      <c r="AT109" s="1"/>
    </row>
    <row r="110" spans="1:46" s="9" customFormat="1" x14ac:dyDescent="0.25">
      <c r="A110" s="1"/>
      <c r="B110" s="40"/>
      <c r="C110" s="51">
        <f t="shared" si="88"/>
        <v>23.75</v>
      </c>
      <c r="D110" s="51">
        <v>0.51451042975257788</v>
      </c>
      <c r="E110" s="51">
        <v>0.48314684460592994</v>
      </c>
      <c r="F110" s="51">
        <f t="shared" ref="F110:G110" si="117">AVERAGE(D106:D114)</f>
        <v>0.47850898896046229</v>
      </c>
      <c r="G110" s="51">
        <f t="shared" si="117"/>
        <v>0.43481811921502078</v>
      </c>
      <c r="H110" s="51">
        <f t="shared" si="81"/>
        <v>0.35404734987214204</v>
      </c>
      <c r="I110" s="51">
        <f t="shared" si="82"/>
        <v>0.28139767467558102</v>
      </c>
      <c r="J110" s="51">
        <f t="shared" ca="1" si="83"/>
        <v>-0.35548796608201516</v>
      </c>
      <c r="K110" s="51">
        <f t="shared" ca="1" si="79"/>
        <v>0.3578979682796567</v>
      </c>
      <c r="L110" s="12">
        <f t="shared" ca="1" si="84"/>
        <v>4.8222560169589928</v>
      </c>
      <c r="M110" s="12">
        <f t="shared" ca="1" si="85"/>
        <v>13.252642888978798</v>
      </c>
      <c r="N110" s="12">
        <f t="shared" ca="1" si="86"/>
        <v>13.252642888978798</v>
      </c>
      <c r="O110" s="12">
        <f t="shared" ca="1" si="87"/>
        <v>124.24507383145219</v>
      </c>
      <c r="P110" s="12"/>
      <c r="Q110" s="12"/>
      <c r="R110" s="12"/>
      <c r="S110" s="12"/>
      <c r="T110" s="12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2"/>
      <c r="AS110" s="1"/>
      <c r="AT110" s="1"/>
    </row>
    <row r="111" spans="1:46" s="9" customFormat="1" x14ac:dyDescent="0.25">
      <c r="A111" s="1"/>
      <c r="B111" s="40"/>
      <c r="C111" s="51">
        <f t="shared" si="88"/>
        <v>24</v>
      </c>
      <c r="D111" s="51">
        <v>0.30872098181192686</v>
      </c>
      <c r="E111" s="51">
        <v>0.34877755704737412</v>
      </c>
      <c r="F111" s="51">
        <f t="shared" ref="F111:G111" si="118">AVERAGE(D107:D115)</f>
        <v>0.42670800303888506</v>
      </c>
      <c r="G111" s="51">
        <f t="shared" si="118"/>
        <v>0.39090548115164708</v>
      </c>
      <c r="H111" s="51">
        <f t="shared" si="81"/>
        <v>0.20197579133845264</v>
      </c>
      <c r="I111" s="51">
        <f t="shared" si="82"/>
        <v>0.16928120247907988</v>
      </c>
      <c r="J111" s="51">
        <f t="shared" ca="1" si="83"/>
        <v>-1.8139291847539558</v>
      </c>
      <c r="K111" s="51">
        <f t="shared" ca="1" si="79"/>
        <v>-0.34946369168592339</v>
      </c>
      <c r="L111" s="12">
        <f t="shared" ca="1" si="84"/>
        <v>4.093035407623022</v>
      </c>
      <c r="M111" s="12">
        <f t="shared" ca="1" si="85"/>
        <v>10.776877079099268</v>
      </c>
      <c r="N111" s="12">
        <f t="shared" ca="1" si="86"/>
        <v>10.776877079099268</v>
      </c>
      <c r="O111" s="12">
        <f t="shared" ca="1" si="87"/>
        <v>59.921502118198134</v>
      </c>
      <c r="P111" s="12"/>
      <c r="Q111" s="12"/>
      <c r="R111" s="12"/>
      <c r="S111" s="12"/>
      <c r="T111" s="12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2"/>
      <c r="AS111" s="1"/>
      <c r="AT111" s="1"/>
    </row>
    <row r="112" spans="1:46" s="9" customFormat="1" x14ac:dyDescent="0.25">
      <c r="A112" s="1"/>
      <c r="B112" s="40"/>
      <c r="C112" s="51">
        <f t="shared" si="88"/>
        <v>24.25</v>
      </c>
      <c r="D112" s="51">
        <v>0.67186069493388312</v>
      </c>
      <c r="E112" s="51">
        <v>0.60584675045530878</v>
      </c>
      <c r="F112" s="51">
        <f t="shared" ref="F112:G112" si="119">AVERAGE(D108:D116)</f>
        <v>0.43374487544621937</v>
      </c>
      <c r="G112" s="51">
        <f t="shared" si="119"/>
        <v>0.43969628696169782</v>
      </c>
      <c r="H112" s="51">
        <f t="shared" si="81"/>
        <v>0.22263385672365796</v>
      </c>
      <c r="I112" s="51">
        <f t="shared" si="82"/>
        <v>0.2938524708950857</v>
      </c>
      <c r="J112" s="51">
        <f t="shared" ca="1" si="83"/>
        <v>0.82416484624240216</v>
      </c>
      <c r="K112" s="51">
        <f t="shared" ref="K112:K120" ca="1" si="120">_xlfn.NORM.INV(RAND(),$K$10+$K$12*($K$11/$K$8)*(J112-$K$7),SQRT($K$12*$K$8*$K$11))</f>
        <v>1.1626192190299194</v>
      </c>
      <c r="L112" s="12">
        <f t="shared" ca="1" si="84"/>
        <v>5.412082423121201</v>
      </c>
      <c r="M112" s="12">
        <f t="shared" ca="1" si="85"/>
        <v>16.069167266604719</v>
      </c>
      <c r="N112" s="12">
        <f t="shared" ca="1" si="86"/>
        <v>16.069167266604719</v>
      </c>
      <c r="O112" s="12">
        <f t="shared" ca="1" si="87"/>
        <v>224.09776849374938</v>
      </c>
      <c r="P112" s="12"/>
      <c r="Q112" s="12"/>
      <c r="R112" s="12"/>
      <c r="S112" s="12"/>
      <c r="T112" s="12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2"/>
      <c r="AS112" s="1"/>
      <c r="AT112" s="1"/>
    </row>
    <row r="113" spans="1:46" s="9" customFormat="1" x14ac:dyDescent="0.25">
      <c r="A113" s="1"/>
      <c r="B113" s="40"/>
      <c r="C113" s="51">
        <f t="shared" si="88"/>
        <v>24.5</v>
      </c>
      <c r="D113" s="51">
        <v>0.90052089536321056</v>
      </c>
      <c r="E113" s="51">
        <v>0.26623721540626932</v>
      </c>
      <c r="F113" s="51">
        <f t="shared" ref="F113:G113" si="121">AVERAGE(D109:D117)</f>
        <v>0.42082703963875917</v>
      </c>
      <c r="G113" s="51">
        <f t="shared" si="121"/>
        <v>0.46265092383045392</v>
      </c>
      <c r="H113" s="51">
        <f t="shared" si="81"/>
        <v>0.18471111472996737</v>
      </c>
      <c r="I113" s="51">
        <f t="shared" si="82"/>
        <v>0.35245958310188419</v>
      </c>
      <c r="J113" s="51">
        <f t="shared" ca="1" si="83"/>
        <v>-1.1588050780901296</v>
      </c>
      <c r="K113" s="51">
        <f t="shared" ca="1" si="120"/>
        <v>-1.8454431365489095</v>
      </c>
      <c r="L113" s="12">
        <f t="shared" ca="1" si="84"/>
        <v>4.4205974609549354</v>
      </c>
      <c r="M113" s="12">
        <f t="shared" ca="1" si="85"/>
        <v>5.5409490220788165</v>
      </c>
      <c r="N113" s="12">
        <f t="shared" ca="1" si="86"/>
        <v>5.5409490220788165</v>
      </c>
      <c r="O113" s="12">
        <f t="shared" ca="1" si="87"/>
        <v>83.145946978307734</v>
      </c>
      <c r="P113" s="12"/>
      <c r="Q113" s="12"/>
      <c r="R113" s="12"/>
      <c r="S113" s="12"/>
      <c r="T113" s="12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2"/>
      <c r="AS113" s="1"/>
      <c r="AT113" s="1"/>
    </row>
    <row r="114" spans="1:46" s="9" customFormat="1" x14ac:dyDescent="0.25">
      <c r="A114" s="1"/>
      <c r="B114" s="40"/>
      <c r="C114" s="51">
        <f t="shared" si="88"/>
        <v>24.75</v>
      </c>
      <c r="D114" s="51">
        <v>0.36225745987541902</v>
      </c>
      <c r="E114" s="51">
        <v>0.31910768396361999</v>
      </c>
      <c r="F114" s="51">
        <f t="shared" ref="F114:G114" si="122">AVERAGE(D110:D118)</f>
        <v>0.42886081661986908</v>
      </c>
      <c r="G114" s="51">
        <f t="shared" si="122"/>
        <v>0.45258126685688688</v>
      </c>
      <c r="H114" s="51">
        <f t="shared" si="81"/>
        <v>0.20829578140559854</v>
      </c>
      <c r="I114" s="51">
        <f t="shared" si="82"/>
        <v>0.32675002735904946</v>
      </c>
      <c r="J114" s="51">
        <f t="shared" ca="1" si="83"/>
        <v>0.76660394023349898</v>
      </c>
      <c r="K114" s="51">
        <f t="shared" ca="1" si="120"/>
        <v>1.2344751060220922</v>
      </c>
      <c r="L114" s="12">
        <f t="shared" ca="1" si="84"/>
        <v>5.383301970116749</v>
      </c>
      <c r="M114" s="12">
        <f t="shared" ca="1" si="85"/>
        <v>16.320662871077324</v>
      </c>
      <c r="N114" s="12">
        <f t="shared" ca="1" si="86"/>
        <v>16.320662871077324</v>
      </c>
      <c r="O114" s="12">
        <f t="shared" ca="1" si="87"/>
        <v>217.74006089398583</v>
      </c>
      <c r="P114" s="12"/>
      <c r="Q114" s="12"/>
      <c r="R114" s="12"/>
      <c r="S114" s="12"/>
      <c r="T114" s="12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2"/>
      <c r="AS114" s="1"/>
      <c r="AT114" s="1"/>
    </row>
    <row r="115" spans="1:46" s="9" customFormat="1" x14ac:dyDescent="0.25">
      <c r="A115" s="1"/>
      <c r="B115" s="40"/>
      <c r="C115" s="51">
        <f t="shared" si="88"/>
        <v>25</v>
      </c>
      <c r="D115" s="51">
        <v>0.37167624869885973</v>
      </c>
      <c r="E115" s="51">
        <v>9.9331797278455758E-2</v>
      </c>
      <c r="F115" s="51">
        <f t="shared" ref="F115:G115" si="123">AVERAGE(D111:D119)</f>
        <v>0.40604422211919433</v>
      </c>
      <c r="G115" s="51">
        <f t="shared" si="123"/>
        <v>0.40019799899399733</v>
      </c>
      <c r="H115" s="51">
        <f t="shared" si="81"/>
        <v>0.1413133673758393</v>
      </c>
      <c r="I115" s="51">
        <f t="shared" si="82"/>
        <v>0.19300658916169702</v>
      </c>
      <c r="J115" s="51">
        <f t="shared" ca="1" si="83"/>
        <v>1.0404927010909764</v>
      </c>
      <c r="K115" s="51">
        <f t="shared" ca="1" si="120"/>
        <v>0.33875826048510899</v>
      </c>
      <c r="L115" s="12">
        <f t="shared" ca="1" si="84"/>
        <v>5.520246350545488</v>
      </c>
      <c r="M115" s="12">
        <f t="shared" ca="1" si="85"/>
        <v>13.185653911697882</v>
      </c>
      <c r="N115" s="12">
        <f t="shared" ca="1" si="86"/>
        <v>13.185653911697882</v>
      </c>
      <c r="O115" s="12">
        <f t="shared" ca="1" si="87"/>
        <v>249.69654249289982</v>
      </c>
      <c r="P115" s="12"/>
      <c r="Q115" s="12"/>
      <c r="R115" s="12"/>
      <c r="S115" s="12"/>
      <c r="T115" s="12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2"/>
      <c r="AS115" s="1"/>
      <c r="AT115" s="1"/>
    </row>
    <row r="116" spans="1:46" s="9" customFormat="1" x14ac:dyDescent="0.25">
      <c r="A116" s="1"/>
      <c r="B116" s="40"/>
      <c r="C116" s="51">
        <f t="shared" si="88"/>
        <v>25.25</v>
      </c>
      <c r="D116" s="51">
        <v>0.15348452194877982</v>
      </c>
      <c r="E116" s="51">
        <v>0.52979289457633083</v>
      </c>
      <c r="F116" s="51">
        <f t="shared" ref="F116:G116" si="124">AVERAGE(D112:D120)</f>
        <v>0.4550949549027743</v>
      </c>
      <c r="G116" s="51">
        <f t="shared" si="124"/>
        <v>0.4231602958755295</v>
      </c>
      <c r="H116" s="51">
        <f t="shared" si="81"/>
        <v>0.28531103940685498</v>
      </c>
      <c r="I116" s="51">
        <f t="shared" si="82"/>
        <v>0.25163325869065395</v>
      </c>
      <c r="J116" s="51">
        <f t="shared" ca="1" si="83"/>
        <v>-0.51316505617147834</v>
      </c>
      <c r="K116" s="51">
        <f t="shared" ca="1" si="120"/>
        <v>-1.8579303943582253</v>
      </c>
      <c r="L116" s="12">
        <f t="shared" ca="1" si="84"/>
        <v>4.7434174719142606</v>
      </c>
      <c r="M116" s="12">
        <f t="shared" ca="1" si="85"/>
        <v>5.4972436197462118</v>
      </c>
      <c r="N116" s="12">
        <f t="shared" ca="1" si="86"/>
        <v>5.4972436197462118</v>
      </c>
      <c r="O116" s="12">
        <f t="shared" ca="1" si="87"/>
        <v>114.82594635737827</v>
      </c>
      <c r="P116" s="12"/>
      <c r="Q116" s="12"/>
      <c r="R116" s="12"/>
      <c r="S116" s="12"/>
      <c r="T116" s="12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2"/>
      <c r="AS116" s="1"/>
      <c r="AT116" s="1"/>
    </row>
    <row r="117" spans="1:46" s="9" customFormat="1" x14ac:dyDescent="0.25">
      <c r="A117" s="1"/>
      <c r="B117" s="40"/>
      <c r="C117" s="51">
        <f t="shared" si="88"/>
        <v>25.5</v>
      </c>
      <c r="D117" s="51">
        <v>0.4485355940620086</v>
      </c>
      <c r="E117" s="51">
        <v>0.93504545307662168</v>
      </c>
      <c r="F117" s="51">
        <f>AVERAGE(D113:D120)</f>
        <v>0.42799923739888568</v>
      </c>
      <c r="G117" s="51">
        <f>AVERAGE(E113:E120)</f>
        <v>0.40032448905305718</v>
      </c>
      <c r="H117" s="51">
        <f t="shared" si="81"/>
        <v>0.20576645319679679</v>
      </c>
      <c r="I117" s="51">
        <f t="shared" si="82"/>
        <v>0.19332953990697563</v>
      </c>
      <c r="J117" s="51">
        <f t="shared" ca="1" si="83"/>
        <v>-0.46378307363939003</v>
      </c>
      <c r="K117" s="51">
        <f t="shared" ca="1" si="120"/>
        <v>-0.5759201574492806</v>
      </c>
      <c r="L117" s="12">
        <f t="shared" ca="1" si="84"/>
        <v>4.7681084631803046</v>
      </c>
      <c r="M117" s="12">
        <f t="shared" ca="1" si="85"/>
        <v>9.9842794489275182</v>
      </c>
      <c r="N117" s="12">
        <f t="shared" ca="1" si="86"/>
        <v>9.9842794489275182</v>
      </c>
      <c r="O117" s="12">
        <f t="shared" ca="1" si="87"/>
        <v>117.69640419211466</v>
      </c>
      <c r="P117" s="12"/>
      <c r="Q117" s="12"/>
      <c r="R117" s="12"/>
      <c r="S117" s="12"/>
      <c r="T117" s="12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2"/>
      <c r="AS117" s="1"/>
      <c r="AT117" s="1"/>
    </row>
    <row r="118" spans="1:46" s="9" customFormat="1" x14ac:dyDescent="0.25">
      <c r="A118" s="1"/>
      <c r="B118" s="40"/>
      <c r="C118" s="51">
        <f t="shared" si="88"/>
        <v>25.75</v>
      </c>
      <c r="D118" s="51">
        <v>0.12818052313215578</v>
      </c>
      <c r="E118" s="51">
        <v>0.48594520530207064</v>
      </c>
      <c r="F118" s="51">
        <f>AVERAGE(D114:D120)</f>
        <v>0.36049614340398212</v>
      </c>
      <c r="G118" s="51">
        <f>AVERAGE(E114:E120)</f>
        <v>0.41947981385974115</v>
      </c>
      <c r="H118" s="51">
        <f t="shared" si="81"/>
        <v>7.5983966043604691E-3</v>
      </c>
      <c r="I118" s="51">
        <f t="shared" si="82"/>
        <v>0.24223635889617245</v>
      </c>
      <c r="J118" s="51">
        <f t="shared" ca="1" si="83"/>
        <v>-0.336405501069938</v>
      </c>
      <c r="K118" s="51">
        <f t="shared" ca="1" si="120"/>
        <v>-1.0152855123035589</v>
      </c>
      <c r="L118" s="12">
        <f t="shared" ca="1" si="84"/>
        <v>4.8317972494650308</v>
      </c>
      <c r="M118" s="12">
        <f t="shared" ca="1" si="85"/>
        <v>8.4465007069375435</v>
      </c>
      <c r="N118" s="12">
        <f t="shared" ca="1" si="86"/>
        <v>8.4465007069375435</v>
      </c>
      <c r="O118" s="12">
        <f t="shared" ca="1" si="87"/>
        <v>125.43619833033547</v>
      </c>
      <c r="P118" s="12"/>
      <c r="Q118" s="12"/>
      <c r="R118" s="12"/>
      <c r="S118" s="12"/>
      <c r="T118" s="12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2"/>
      <c r="AS118" s="1"/>
      <c r="AT118" s="1"/>
    </row>
    <row r="119" spans="1:46" s="9" customFormat="1" x14ac:dyDescent="0.25">
      <c r="A119" s="1"/>
      <c r="B119" s="40"/>
      <c r="C119" s="51">
        <f t="shared" si="88"/>
        <v>26</v>
      </c>
      <c r="D119" s="51">
        <v>0.30916107924650538</v>
      </c>
      <c r="E119" s="51">
        <v>1.1697433839924831E-2</v>
      </c>
      <c r="F119" s="51">
        <f>AVERAGE(D115:D120)</f>
        <v>0.36020259065874266</v>
      </c>
      <c r="G119" s="51">
        <f>AVERAGE(E115:E120)</f>
        <v>0.43620850217576135</v>
      </c>
      <c r="H119" s="51">
        <f t="shared" si="81"/>
        <v>6.7366171867256335E-3</v>
      </c>
      <c r="I119" s="51">
        <f t="shared" si="82"/>
        <v>0.2849475600715663</v>
      </c>
      <c r="J119" s="51">
        <f t="shared" ca="1" si="83"/>
        <v>-1.6570122451768385</v>
      </c>
      <c r="K119" s="51">
        <f t="shared" ca="1" si="120"/>
        <v>0.39850417114974701</v>
      </c>
      <c r="L119" s="12">
        <f t="shared" ca="1" si="84"/>
        <v>4.1714938774115806</v>
      </c>
      <c r="M119" s="12">
        <f t="shared" ca="1" si="85"/>
        <v>13.394764599024114</v>
      </c>
      <c r="N119" s="12">
        <f t="shared" ca="1" si="86"/>
        <v>13.394764599024114</v>
      </c>
      <c r="O119" s="12">
        <f t="shared" ca="1" si="87"/>
        <v>64.812201307215929</v>
      </c>
      <c r="P119" s="12"/>
      <c r="Q119" s="12"/>
      <c r="R119" s="12"/>
      <c r="S119" s="12"/>
      <c r="T119" s="12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2"/>
      <c r="AS119" s="1"/>
      <c r="AT119" s="1"/>
    </row>
    <row r="120" spans="1:46" s="9" customFormat="1" ht="15.75" thickBot="1" x14ac:dyDescent="0.3">
      <c r="A120" s="1"/>
      <c r="B120" s="53"/>
      <c r="C120" s="15">
        <f>C119+0.25</f>
        <v>26.25</v>
      </c>
      <c r="D120" s="15">
        <v>0.75017757686414677</v>
      </c>
      <c r="E120" s="15">
        <v>0.55543822898116424</v>
      </c>
      <c r="F120" s="15">
        <f>AVERAGE(D116:D120)</f>
        <v>0.35790785905071931</v>
      </c>
      <c r="G120" s="15">
        <f>AVERAGE(E116:E120)</f>
        <v>0.50358384315522242</v>
      </c>
      <c r="H120" s="15">
        <f t="shared" si="81"/>
        <v>0</v>
      </c>
      <c r="I120" s="15">
        <f t="shared" si="82"/>
        <v>0.4569683239517035</v>
      </c>
      <c r="J120" s="15">
        <f t="shared" ca="1" si="83"/>
        <v>-0.94021594726292557</v>
      </c>
      <c r="K120" s="15">
        <f t="shared" ca="1" si="120"/>
        <v>0.76667557603293146</v>
      </c>
      <c r="L120" s="14">
        <f t="shared" ca="1" si="84"/>
        <v>4.5298920263685369</v>
      </c>
      <c r="M120" s="14">
        <f t="shared" ca="1" si="85"/>
        <v>14.68336451611526</v>
      </c>
      <c r="N120" s="14">
        <f t="shared" ca="1" si="86"/>
        <v>14.68336451611526</v>
      </c>
      <c r="O120" s="14">
        <f t="shared" ca="1" si="87"/>
        <v>92.748546144106754</v>
      </c>
      <c r="P120" s="14"/>
      <c r="Q120" s="14"/>
      <c r="R120" s="14"/>
      <c r="S120" s="14"/>
      <c r="T120" s="1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5"/>
      <c r="AS120" s="1"/>
      <c r="AT120" s="1"/>
    </row>
    <row r="121" spans="1:46" s="9" customFormat="1" x14ac:dyDescent="0.25">
      <c r="A121" s="1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1"/>
      <c r="AT121" s="1"/>
    </row>
    <row r="122" spans="1:46" x14ac:dyDescent="0.2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</row>
    <row r="123" spans="1:46" x14ac:dyDescent="0.2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</row>
    <row r="124" spans="1:46" x14ac:dyDescent="0.2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</row>
    <row r="125" spans="1:46" x14ac:dyDescent="0.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</row>
    <row r="126" spans="1:46" x14ac:dyDescent="0.2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</row>
    <row r="127" spans="1:46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</row>
    <row r="128" spans="1:46" x14ac:dyDescent="0.2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</row>
    <row r="129" spans="1:44" x14ac:dyDescent="0.2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</row>
    <row r="130" spans="1:44" x14ac:dyDescent="0.2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</row>
    <row r="131" spans="1:44" x14ac:dyDescent="0.2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</row>
    <row r="132" spans="1:44" x14ac:dyDescent="0.2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</row>
    <row r="133" spans="1:44" x14ac:dyDescent="0.2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</row>
    <row r="134" spans="1:44" x14ac:dyDescent="0.2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</row>
    <row r="135" spans="1:44" x14ac:dyDescent="0.2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</row>
    <row r="136" spans="1:44" x14ac:dyDescent="0.2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</row>
    <row r="137" spans="1:44" x14ac:dyDescent="0.2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</row>
    <row r="138" spans="1:44" x14ac:dyDescent="0.2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</row>
    <row r="139" spans="1:44" x14ac:dyDescent="0.2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</row>
    <row r="140" spans="1:44" x14ac:dyDescent="0.2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</row>
    <row r="141" spans="1:44" x14ac:dyDescent="0.2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</row>
    <row r="142" spans="1:44" x14ac:dyDescent="0.2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</row>
    <row r="143" spans="1:44" x14ac:dyDescent="0.2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</row>
    <row r="144" spans="1:44" x14ac:dyDescent="0.2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</row>
    <row r="145" spans="1:44" x14ac:dyDescent="0.2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</row>
    <row r="146" spans="1:44" x14ac:dyDescent="0.2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</row>
  </sheetData>
  <sortState ref="M13:M29">
    <sortCondition ref="M13"/>
  </sortState>
  <mergeCells count="19">
    <mergeCell ref="L5:M5"/>
    <mergeCell ref="N9:O9"/>
    <mergeCell ref="N6:O6"/>
    <mergeCell ref="J6:K6"/>
    <mergeCell ref="J9:K9"/>
    <mergeCell ref="L6:M6"/>
    <mergeCell ref="L9:M9"/>
    <mergeCell ref="F6:G6"/>
    <mergeCell ref="F9:G9"/>
    <mergeCell ref="H6:I6"/>
    <mergeCell ref="H9:I9"/>
    <mergeCell ref="J5:K5"/>
    <mergeCell ref="AE37:AE38"/>
    <mergeCell ref="D14:E14"/>
    <mergeCell ref="F14:G14"/>
    <mergeCell ref="H14:I14"/>
    <mergeCell ref="J14:K14"/>
    <mergeCell ref="L14:M14"/>
    <mergeCell ref="AE15:AE16"/>
  </mergeCells>
  <pageMargins left="0.7" right="0.7" top="0.75" bottom="0.75" header="0.3" footer="0.3"/>
  <pageSetup orientation="portrait" r:id="rId1"/>
  <ignoredErrors>
    <ignoredError sqref="AF15:AO1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34"/>
  <sheetViews>
    <sheetView tabSelected="1" zoomScale="70" zoomScaleNormal="70" workbookViewId="0">
      <selection activeCell="N45" sqref="N45"/>
    </sheetView>
  </sheetViews>
  <sheetFormatPr defaultRowHeight="15" x14ac:dyDescent="0.25"/>
  <cols>
    <col min="1" max="1" width="9.140625" style="1"/>
    <col min="4" max="4" width="14.5703125" bestFit="1" customWidth="1"/>
    <col min="5" max="5" width="19.42578125" customWidth="1"/>
    <col min="7" max="10" width="12.5703125" customWidth="1"/>
    <col min="13" max="13" width="11" bestFit="1" customWidth="1"/>
    <col min="14" max="14" width="15.28515625" customWidth="1"/>
    <col min="16" max="16" width="9.28515625" bestFit="1" customWidth="1"/>
    <col min="17" max="17" width="9.5703125" bestFit="1" customWidth="1"/>
    <col min="18" max="18" width="7.5703125" customWidth="1"/>
    <col min="19" max="19" width="12.85546875" customWidth="1"/>
    <col min="20" max="20" width="10.5703125" customWidth="1"/>
    <col min="25" max="25" width="28.42578125" customWidth="1"/>
    <col min="26" max="26" width="11.85546875" customWidth="1"/>
    <col min="27" max="27" width="11.5703125" customWidth="1"/>
    <col min="28" max="28" width="28.140625" bestFit="1" customWidth="1"/>
    <col min="29" max="29" width="15.85546875" customWidth="1"/>
    <col min="31" max="31" width="9.140625" style="1"/>
  </cols>
  <sheetData>
    <row r="1" spans="2:37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F1" s="1"/>
      <c r="AG1" s="1"/>
      <c r="AH1" s="1"/>
      <c r="AI1" s="1"/>
      <c r="AJ1" s="1"/>
      <c r="AK1" s="1"/>
    </row>
    <row r="2" spans="2:37" x14ac:dyDescent="0.25"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9"/>
      <c r="AF2" s="1"/>
      <c r="AG2" s="1"/>
      <c r="AH2" s="1"/>
      <c r="AI2" s="1"/>
      <c r="AJ2" s="1"/>
      <c r="AK2" s="1"/>
    </row>
    <row r="3" spans="2:37" ht="23.25" x14ac:dyDescent="0.35">
      <c r="B3" s="40"/>
      <c r="C3" s="143" t="s">
        <v>86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 t="s">
        <v>74</v>
      </c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2"/>
      <c r="AF3" s="1"/>
      <c r="AG3" s="1"/>
      <c r="AH3" s="1"/>
      <c r="AI3" s="1"/>
      <c r="AJ3" s="1"/>
      <c r="AK3" s="1"/>
    </row>
    <row r="4" spans="2:37" x14ac:dyDescent="0.25">
      <c r="B4" s="40"/>
      <c r="C4" s="144" t="s">
        <v>87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2"/>
      <c r="AF4" s="1"/>
      <c r="AG4" s="1"/>
      <c r="AH4" s="1"/>
      <c r="AI4" s="1"/>
      <c r="AJ4" s="1"/>
      <c r="AK4" s="1"/>
    </row>
    <row r="5" spans="2:37" x14ac:dyDescent="0.25">
      <c r="B5" s="40"/>
      <c r="C5" s="112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 t="s">
        <v>75</v>
      </c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2"/>
      <c r="AF5" s="1"/>
      <c r="AG5" s="1"/>
      <c r="AH5" s="1"/>
      <c r="AI5" s="1"/>
      <c r="AJ5" s="1"/>
      <c r="AK5" s="1"/>
    </row>
    <row r="6" spans="2:37" x14ac:dyDescent="0.25">
      <c r="B6" s="40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 t="s">
        <v>73</v>
      </c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2"/>
      <c r="AF6" s="1"/>
      <c r="AG6" s="1"/>
      <c r="AH6" s="1"/>
      <c r="AI6" s="1"/>
      <c r="AJ6" s="1"/>
      <c r="AK6" s="1"/>
    </row>
    <row r="7" spans="2:37" x14ac:dyDescent="0.25">
      <c r="B7" s="40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2"/>
      <c r="AF7" s="1"/>
      <c r="AG7" s="1"/>
      <c r="AH7" s="1"/>
      <c r="AI7" s="1"/>
      <c r="AJ7" s="1"/>
      <c r="AK7" s="1"/>
    </row>
    <row r="8" spans="2:37" ht="31.5" customHeight="1" thickBot="1" x14ac:dyDescent="0.3">
      <c r="B8" s="40"/>
      <c r="C8" s="138" t="s">
        <v>45</v>
      </c>
      <c r="D8" s="138"/>
      <c r="E8" s="138"/>
      <c r="F8" s="109"/>
      <c r="G8" s="110" t="s">
        <v>57</v>
      </c>
      <c r="H8" s="110"/>
      <c r="I8" s="110"/>
      <c r="J8" s="110"/>
      <c r="K8" s="109"/>
      <c r="L8" s="138" t="s">
        <v>72</v>
      </c>
      <c r="M8" s="138"/>
      <c r="N8" s="138"/>
      <c r="O8" s="109"/>
      <c r="P8" s="138" t="s">
        <v>49</v>
      </c>
      <c r="Q8" s="138"/>
      <c r="R8" s="109"/>
      <c r="S8" s="138" t="s">
        <v>56</v>
      </c>
      <c r="T8" s="138"/>
      <c r="U8" s="109"/>
      <c r="V8" s="138" t="s">
        <v>58</v>
      </c>
      <c r="W8" s="138"/>
      <c r="X8" s="109"/>
      <c r="Y8" s="138" t="s">
        <v>69</v>
      </c>
      <c r="Z8" s="138"/>
      <c r="AA8" s="138"/>
      <c r="AB8" s="138"/>
      <c r="AC8" s="41"/>
      <c r="AD8" s="42"/>
      <c r="AF8" s="1"/>
      <c r="AG8" s="1"/>
      <c r="AH8" s="1"/>
      <c r="AI8" s="1"/>
      <c r="AJ8" s="1"/>
      <c r="AK8" s="1"/>
    </row>
    <row r="9" spans="2:37" ht="15.75" thickBot="1" x14ac:dyDescent="0.3">
      <c r="B9" s="40"/>
      <c r="C9" s="65" t="s">
        <v>23</v>
      </c>
      <c r="D9" s="66" t="s">
        <v>46</v>
      </c>
      <c r="E9" s="67" t="s">
        <v>47</v>
      </c>
      <c r="F9" s="41"/>
      <c r="G9" s="68" t="s">
        <v>48</v>
      </c>
      <c r="H9" s="139" t="s">
        <v>83</v>
      </c>
      <c r="I9" s="140" t="s">
        <v>84</v>
      </c>
      <c r="J9" s="141" t="s">
        <v>85</v>
      </c>
      <c r="K9" s="41"/>
      <c r="L9" s="65" t="s">
        <v>48</v>
      </c>
      <c r="M9" s="66" t="s">
        <v>0</v>
      </c>
      <c r="N9" s="67" t="s">
        <v>9</v>
      </c>
      <c r="O9" s="41"/>
      <c r="P9" s="115" t="s">
        <v>50</v>
      </c>
      <c r="Q9" s="116" t="s">
        <v>53</v>
      </c>
      <c r="R9" s="49"/>
      <c r="S9" s="65" t="s">
        <v>54</v>
      </c>
      <c r="T9" s="67" t="s">
        <v>55</v>
      </c>
      <c r="U9" s="47"/>
      <c r="V9" s="93" t="s">
        <v>51</v>
      </c>
      <c r="W9" s="94" t="s">
        <v>52</v>
      </c>
      <c r="X9" s="41"/>
      <c r="Y9" s="95" t="s">
        <v>64</v>
      </c>
      <c r="Z9" s="66"/>
      <c r="AA9" s="66"/>
      <c r="AB9" s="67"/>
      <c r="AC9" s="41"/>
      <c r="AD9" s="42"/>
      <c r="AF9" s="1"/>
      <c r="AG9" s="1"/>
      <c r="AH9" s="1"/>
      <c r="AI9" s="1"/>
      <c r="AJ9" s="1"/>
      <c r="AK9" s="1"/>
    </row>
    <row r="10" spans="2:37" x14ac:dyDescent="0.25">
      <c r="B10" s="40"/>
      <c r="C10" s="69">
        <v>0.25</v>
      </c>
      <c r="D10" s="70">
        <v>12.993633835545584</v>
      </c>
      <c r="E10" s="71">
        <v>265.52873839320876</v>
      </c>
      <c r="F10" s="41"/>
      <c r="G10" s="79">
        <f>E10/D10</f>
        <v>20.435294833907378</v>
      </c>
      <c r="H10" s="82">
        <v>33.338583132638007</v>
      </c>
      <c r="I10" s="142">
        <v>17.201147426789067</v>
      </c>
      <c r="J10" s="13">
        <v>573.4618834647697</v>
      </c>
      <c r="K10" s="41"/>
      <c r="L10" s="82">
        <v>33.338583132638</v>
      </c>
      <c r="M10" s="70">
        <v>17.201147426789067</v>
      </c>
      <c r="N10" s="71">
        <v>573.4618834647697</v>
      </c>
      <c r="O10" s="41"/>
      <c r="P10" s="82">
        <f>M10*0.25</f>
        <v>4.3002868566972667</v>
      </c>
      <c r="Q10" s="13">
        <f>N10*0.25</f>
        <v>143.36547086619242</v>
      </c>
      <c r="R10" s="12"/>
      <c r="S10" s="87">
        <f>P10/SUM($P$10:$P$114)</f>
        <v>1.4029711873790728E-2</v>
      </c>
      <c r="T10" s="88">
        <f>Q10/SUM($Q$10:$Q$114)</f>
        <v>3.3920729184941614E-2</v>
      </c>
      <c r="U10" s="41"/>
      <c r="V10" s="87">
        <f>S10</f>
        <v>1.4029711873790728E-2</v>
      </c>
      <c r="W10" s="88">
        <f>T10</f>
        <v>3.3920729184941614E-2</v>
      </c>
      <c r="X10" s="41"/>
      <c r="Y10" s="37"/>
      <c r="Z10" s="38"/>
      <c r="AA10" s="38"/>
      <c r="AB10" s="39"/>
      <c r="AC10" s="41"/>
      <c r="AD10" s="42"/>
      <c r="AF10" s="1"/>
      <c r="AG10" s="1"/>
      <c r="AH10" s="1"/>
      <c r="AI10" s="1"/>
      <c r="AJ10" s="1"/>
      <c r="AK10" s="1"/>
    </row>
    <row r="11" spans="2:37" x14ac:dyDescent="0.25">
      <c r="B11" s="40"/>
      <c r="C11" s="72">
        <f>C10+0.25</f>
        <v>0.5</v>
      </c>
      <c r="D11" s="64">
        <v>13.588010773256277</v>
      </c>
      <c r="E11" s="73">
        <v>116.8912202624788</v>
      </c>
      <c r="F11" s="41"/>
      <c r="G11" s="80">
        <f t="shared" ref="G11:G74" si="0">E11/D11</f>
        <v>8.602526316253913</v>
      </c>
      <c r="H11" s="83">
        <v>28.587904173537169</v>
      </c>
      <c r="I11" s="12">
        <v>9.2170458171482927</v>
      </c>
      <c r="J11" s="85">
        <v>263.49602258373699</v>
      </c>
      <c r="K11" s="41"/>
      <c r="L11" s="83">
        <v>28.587904173537169</v>
      </c>
      <c r="M11" s="64">
        <v>9.2170458171482927</v>
      </c>
      <c r="N11" s="73">
        <v>263.49602258373699</v>
      </c>
      <c r="O11" s="41"/>
      <c r="P11" s="83">
        <f t="shared" ref="P11:P74" si="1">M11*0.25</f>
        <v>2.3042614542870732</v>
      </c>
      <c r="Q11" s="85">
        <f t="shared" ref="Q11:Q74" si="2">N11*0.25</f>
        <v>65.874005645934247</v>
      </c>
      <c r="R11" s="12"/>
      <c r="S11" s="89">
        <f>P11/SUM($P$10:$P$114)</f>
        <v>7.5176669284705558E-3</v>
      </c>
      <c r="T11" s="90">
        <f t="shared" ref="T11:T74" si="3">Q11/SUM($Q$10:$Q$114)</f>
        <v>1.5586000536548827E-2</v>
      </c>
      <c r="U11" s="41"/>
      <c r="V11" s="89">
        <f>S11+V10</f>
        <v>2.1547378802261284E-2</v>
      </c>
      <c r="W11" s="90">
        <f>T11+W10</f>
        <v>4.9506729721490443E-2</v>
      </c>
      <c r="X11" s="41"/>
      <c r="Y11" s="40"/>
      <c r="Z11" s="41"/>
      <c r="AA11" s="41"/>
      <c r="AB11" s="42"/>
      <c r="AC11" s="41"/>
      <c r="AD11" s="42"/>
      <c r="AF11" s="1"/>
      <c r="AG11" s="1"/>
      <c r="AH11" s="1"/>
      <c r="AI11" s="1"/>
      <c r="AJ11" s="1"/>
      <c r="AK11" s="1"/>
    </row>
    <row r="12" spans="2:37" x14ac:dyDescent="0.25">
      <c r="B12" s="40"/>
      <c r="C12" s="72">
        <f t="shared" ref="C12:C75" si="4">C11+0.25</f>
        <v>0.75</v>
      </c>
      <c r="D12" s="64">
        <v>8.9626253776113387</v>
      </c>
      <c r="E12" s="73">
        <v>136.92001631258535</v>
      </c>
      <c r="F12" s="41"/>
      <c r="G12" s="80">
        <f t="shared" si="0"/>
        <v>15.276775558935208</v>
      </c>
      <c r="H12" s="83">
        <v>27.745026750905279</v>
      </c>
      <c r="I12" s="12">
        <v>10.997725002107014</v>
      </c>
      <c r="J12" s="85">
        <v>305.1321743825589</v>
      </c>
      <c r="K12" s="41"/>
      <c r="L12" s="83">
        <v>27.745026750905279</v>
      </c>
      <c r="M12" s="64">
        <v>10.997725002107014</v>
      </c>
      <c r="N12" s="73">
        <v>305.1321743825589</v>
      </c>
      <c r="O12" s="41"/>
      <c r="P12" s="83">
        <f t="shared" si="1"/>
        <v>2.7494312505267535</v>
      </c>
      <c r="Q12" s="85">
        <f t="shared" si="2"/>
        <v>76.283043595639725</v>
      </c>
      <c r="R12" s="12"/>
      <c r="S12" s="89">
        <f t="shared" ref="S12:S75" si="5">P12/SUM($P$10:$P$114)</f>
        <v>8.970036080642332E-3</v>
      </c>
      <c r="T12" s="90">
        <f t="shared" si="3"/>
        <v>1.8048812224987269E-2</v>
      </c>
      <c r="U12" s="41"/>
      <c r="V12" s="89">
        <f t="shared" ref="V12:V75" si="6">S12+V11</f>
        <v>3.0517414882903618E-2</v>
      </c>
      <c r="W12" s="90">
        <f t="shared" ref="W12:W75" si="7">T12+W11</f>
        <v>6.7555541946477712E-2</v>
      </c>
      <c r="X12" s="41"/>
      <c r="Y12" s="40"/>
      <c r="Z12" s="41"/>
      <c r="AA12" s="41"/>
      <c r="AB12" s="42"/>
      <c r="AC12" s="41"/>
      <c r="AD12" s="42"/>
      <c r="AF12" s="1"/>
      <c r="AG12" s="1"/>
      <c r="AH12" s="1"/>
      <c r="AI12" s="1"/>
      <c r="AJ12" s="1"/>
      <c r="AK12" s="1"/>
    </row>
    <row r="13" spans="2:37" x14ac:dyDescent="0.25">
      <c r="B13" s="40"/>
      <c r="C13" s="72">
        <f t="shared" si="4"/>
        <v>1</v>
      </c>
      <c r="D13" s="64">
        <v>17.634878518746351</v>
      </c>
      <c r="E13" s="73">
        <v>216.66862895398043</v>
      </c>
      <c r="F13" s="41"/>
      <c r="G13" s="80">
        <f t="shared" si="0"/>
        <v>12.286369238305545</v>
      </c>
      <c r="H13" s="83">
        <v>27.424314495395858</v>
      </c>
      <c r="I13" s="12">
        <v>8.8993318796707683</v>
      </c>
      <c r="J13" s="85">
        <v>244.05807626699351</v>
      </c>
      <c r="K13" s="41"/>
      <c r="L13" s="83">
        <v>27.424314495395858</v>
      </c>
      <c r="M13" s="64">
        <v>8.8993318796707683</v>
      </c>
      <c r="N13" s="73">
        <v>244.05807626699351</v>
      </c>
      <c r="O13" s="41"/>
      <c r="P13" s="83">
        <f t="shared" si="1"/>
        <v>2.2248329699176921</v>
      </c>
      <c r="Q13" s="85">
        <f t="shared" si="2"/>
        <v>61.014519066748377</v>
      </c>
      <c r="R13" s="12"/>
      <c r="S13" s="89">
        <f t="shared" si="5"/>
        <v>7.2585310179117506E-3</v>
      </c>
      <c r="T13" s="90">
        <f t="shared" si="3"/>
        <v>1.4436230461268495E-2</v>
      </c>
      <c r="U13" s="41"/>
      <c r="V13" s="89">
        <f t="shared" si="6"/>
        <v>3.7775945900815372E-2</v>
      </c>
      <c r="W13" s="90">
        <f t="shared" si="7"/>
        <v>8.1991772407746202E-2</v>
      </c>
      <c r="X13" s="41"/>
      <c r="Y13" s="40"/>
      <c r="Z13" s="41"/>
      <c r="AA13" s="41"/>
      <c r="AB13" s="42"/>
      <c r="AC13" s="41"/>
      <c r="AD13" s="42"/>
      <c r="AF13" s="1"/>
      <c r="AG13" s="1"/>
      <c r="AH13" s="1"/>
      <c r="AI13" s="1"/>
      <c r="AJ13" s="1"/>
      <c r="AK13" s="1"/>
    </row>
    <row r="14" spans="2:37" x14ac:dyDescent="0.25">
      <c r="B14" s="40"/>
      <c r="C14" s="72">
        <f t="shared" si="4"/>
        <v>1.25</v>
      </c>
      <c r="D14" s="64">
        <v>9.4244035050068824</v>
      </c>
      <c r="E14" s="73">
        <v>131.594113601602</v>
      </c>
      <c r="F14" s="41"/>
      <c r="G14" s="80">
        <f t="shared" si="0"/>
        <v>13.963123876401333</v>
      </c>
      <c r="H14" s="83">
        <v>22.117098025737739</v>
      </c>
      <c r="I14" s="12">
        <v>17.185293331367784</v>
      </c>
      <c r="J14" s="85">
        <v>380.08881721091836</v>
      </c>
      <c r="K14" s="41"/>
      <c r="L14" s="83">
        <v>22.117098025737739</v>
      </c>
      <c r="M14" s="64">
        <v>17.185293331367784</v>
      </c>
      <c r="N14" s="73">
        <v>380.08881721091836</v>
      </c>
      <c r="O14" s="41"/>
      <c r="P14" s="83">
        <f t="shared" si="1"/>
        <v>4.2963233328419461</v>
      </c>
      <c r="Q14" s="85">
        <f t="shared" si="2"/>
        <v>95.022204302729591</v>
      </c>
      <c r="R14" s="12"/>
      <c r="S14" s="89">
        <f t="shared" si="5"/>
        <v>1.4016780853245333E-2</v>
      </c>
      <c r="T14" s="90">
        <f t="shared" si="3"/>
        <v>2.2482557614709197E-2</v>
      </c>
      <c r="U14" s="41"/>
      <c r="V14" s="89">
        <f t="shared" si="6"/>
        <v>5.1792726754060707E-2</v>
      </c>
      <c r="W14" s="90">
        <f t="shared" si="7"/>
        <v>0.1044743300224554</v>
      </c>
      <c r="X14" s="41"/>
      <c r="Y14" s="40"/>
      <c r="Z14" s="41"/>
      <c r="AA14" s="41"/>
      <c r="AB14" s="42"/>
      <c r="AC14" s="41"/>
      <c r="AD14" s="42"/>
      <c r="AF14" s="1"/>
      <c r="AG14" s="1"/>
      <c r="AH14" s="1"/>
      <c r="AI14" s="1"/>
      <c r="AJ14" s="1"/>
      <c r="AK14" s="1"/>
    </row>
    <row r="15" spans="2:37" x14ac:dyDescent="0.25">
      <c r="B15" s="40"/>
      <c r="C15" s="72">
        <f t="shared" si="4"/>
        <v>1.5</v>
      </c>
      <c r="D15" s="64">
        <v>4.1072223837238084</v>
      </c>
      <c r="E15" s="73">
        <v>59.101357823794217</v>
      </c>
      <c r="F15" s="41"/>
      <c r="G15" s="80">
        <f t="shared" si="0"/>
        <v>14.389617191901365</v>
      </c>
      <c r="H15" s="83">
        <v>21.957354976908952</v>
      </c>
      <c r="I15" s="12">
        <v>9.0071579127856669</v>
      </c>
      <c r="J15" s="85">
        <v>197.77336362410921</v>
      </c>
      <c r="K15" s="41"/>
      <c r="L15" s="83">
        <v>21.957354976908952</v>
      </c>
      <c r="M15" s="64">
        <v>9.0071579127856669</v>
      </c>
      <c r="N15" s="73">
        <v>197.77336362410921</v>
      </c>
      <c r="O15" s="41"/>
      <c r="P15" s="83">
        <f t="shared" si="1"/>
        <v>2.2517894781964167</v>
      </c>
      <c r="Q15" s="85">
        <f t="shared" si="2"/>
        <v>49.443340906027302</v>
      </c>
      <c r="R15" s="12"/>
      <c r="S15" s="89">
        <f t="shared" si="5"/>
        <v>7.3464767891769775E-3</v>
      </c>
      <c r="T15" s="90">
        <f t="shared" si="3"/>
        <v>1.1698452679986239E-2</v>
      </c>
      <c r="U15" s="41"/>
      <c r="V15" s="89">
        <f t="shared" si="6"/>
        <v>5.9139203543237685E-2</v>
      </c>
      <c r="W15" s="90">
        <f t="shared" si="7"/>
        <v>0.11617278270244163</v>
      </c>
      <c r="X15" s="41"/>
      <c r="Y15" s="40"/>
      <c r="Z15" s="41"/>
      <c r="AA15" s="41"/>
      <c r="AB15" s="42"/>
      <c r="AC15" s="41"/>
      <c r="AD15" s="42"/>
      <c r="AF15" s="1"/>
      <c r="AG15" s="1"/>
      <c r="AH15" s="1"/>
      <c r="AI15" s="1"/>
      <c r="AJ15" s="1"/>
      <c r="AK15" s="1"/>
    </row>
    <row r="16" spans="2:37" x14ac:dyDescent="0.25">
      <c r="B16" s="40"/>
      <c r="C16" s="72">
        <f t="shared" si="4"/>
        <v>1.75</v>
      </c>
      <c r="D16" s="64">
        <v>11.417318407733386</v>
      </c>
      <c r="E16" s="73">
        <v>79.404699874771467</v>
      </c>
      <c r="F16" s="41"/>
      <c r="G16" s="80">
        <f t="shared" si="0"/>
        <v>6.9547591684039949</v>
      </c>
      <c r="H16" s="83">
        <v>20.435294833907378</v>
      </c>
      <c r="I16" s="12">
        <v>12.993633835545584</v>
      </c>
      <c r="J16" s="85">
        <v>265.52873839320876</v>
      </c>
      <c r="K16" s="41"/>
      <c r="L16" s="83">
        <v>20.435294833907378</v>
      </c>
      <c r="M16" s="64">
        <v>12.993633835545584</v>
      </c>
      <c r="N16" s="73">
        <v>265.52873839320876</v>
      </c>
      <c r="O16" s="41"/>
      <c r="P16" s="83">
        <f t="shared" si="1"/>
        <v>3.248408458886396</v>
      </c>
      <c r="Q16" s="85">
        <f t="shared" si="2"/>
        <v>66.382184598302189</v>
      </c>
      <c r="R16" s="12"/>
      <c r="S16" s="89">
        <f t="shared" si="5"/>
        <v>1.0597952240228671E-2</v>
      </c>
      <c r="T16" s="90">
        <f t="shared" si="3"/>
        <v>1.5706237302881836E-2</v>
      </c>
      <c r="U16" s="41"/>
      <c r="V16" s="89">
        <f t="shared" si="6"/>
        <v>6.9737155783466356E-2</v>
      </c>
      <c r="W16" s="90">
        <f t="shared" si="7"/>
        <v>0.13187902000532348</v>
      </c>
      <c r="X16" s="41"/>
      <c r="Y16" s="40"/>
      <c r="Z16" s="41"/>
      <c r="AA16" s="41"/>
      <c r="AB16" s="42"/>
      <c r="AC16" s="41"/>
      <c r="AD16" s="42"/>
      <c r="AF16" s="1"/>
      <c r="AG16" s="1"/>
      <c r="AH16" s="1"/>
      <c r="AI16" s="1"/>
      <c r="AJ16" s="1"/>
      <c r="AK16" s="1"/>
    </row>
    <row r="17" spans="2:37" x14ac:dyDescent="0.25">
      <c r="B17" s="40"/>
      <c r="C17" s="72">
        <f t="shared" si="4"/>
        <v>2</v>
      </c>
      <c r="D17" s="64">
        <v>11.725024832090853</v>
      </c>
      <c r="E17" s="73">
        <v>146.03786074192556</v>
      </c>
      <c r="F17" s="41"/>
      <c r="G17" s="80">
        <f t="shared" si="0"/>
        <v>12.45522826887553</v>
      </c>
      <c r="H17" s="83">
        <v>20.195238340604082</v>
      </c>
      <c r="I17" s="12">
        <v>14.129105370998179</v>
      </c>
      <c r="J17" s="85">
        <v>285.3406505068175</v>
      </c>
      <c r="K17" s="41"/>
      <c r="L17" s="83">
        <v>20.195238340604082</v>
      </c>
      <c r="M17" s="64">
        <v>14.129105370998179</v>
      </c>
      <c r="N17" s="73">
        <v>285.3406505068175</v>
      </c>
      <c r="O17" s="41"/>
      <c r="P17" s="83">
        <f t="shared" si="1"/>
        <v>3.5322763427495447</v>
      </c>
      <c r="Q17" s="85">
        <f t="shared" si="2"/>
        <v>71.335162626704374</v>
      </c>
      <c r="R17" s="12"/>
      <c r="S17" s="89">
        <f t="shared" si="5"/>
        <v>1.1524072927880052E-2</v>
      </c>
      <c r="T17" s="90">
        <f t="shared" si="3"/>
        <v>1.6878127754224925E-2</v>
      </c>
      <c r="U17" s="41"/>
      <c r="V17" s="89">
        <f t="shared" si="6"/>
        <v>8.1261228711346403E-2</v>
      </c>
      <c r="W17" s="90">
        <f t="shared" si="7"/>
        <v>0.1487571477595484</v>
      </c>
      <c r="X17" s="41"/>
      <c r="Y17" s="40"/>
      <c r="Z17" s="41"/>
      <c r="AA17" s="41"/>
      <c r="AB17" s="42"/>
      <c r="AC17" s="41"/>
      <c r="AD17" s="42"/>
      <c r="AF17" s="1"/>
      <c r="AG17" s="1"/>
      <c r="AH17" s="1"/>
      <c r="AI17" s="1"/>
      <c r="AJ17" s="1"/>
      <c r="AK17" s="1"/>
    </row>
    <row r="18" spans="2:37" x14ac:dyDescent="0.25">
      <c r="B18" s="40"/>
      <c r="C18" s="72">
        <f t="shared" si="4"/>
        <v>2.25</v>
      </c>
      <c r="D18" s="64">
        <v>16.635320886311725</v>
      </c>
      <c r="E18" s="73">
        <v>142.6730924548101</v>
      </c>
      <c r="F18" s="41"/>
      <c r="G18" s="80">
        <f t="shared" si="0"/>
        <v>8.5765158021212446</v>
      </c>
      <c r="H18" s="83">
        <v>19.875343922772892</v>
      </c>
      <c r="I18" s="12">
        <v>8.6227062160016956</v>
      </c>
      <c r="J18" s="85">
        <v>171.37925158806533</v>
      </c>
      <c r="K18" s="41"/>
      <c r="L18" s="83">
        <v>19.875343922772892</v>
      </c>
      <c r="M18" s="64">
        <v>8.6227062160016956</v>
      </c>
      <c r="N18" s="73">
        <v>171.37925158806533</v>
      </c>
      <c r="O18" s="41"/>
      <c r="P18" s="83">
        <f t="shared" si="1"/>
        <v>2.1556765540004239</v>
      </c>
      <c r="Q18" s="85">
        <f t="shared" si="2"/>
        <v>42.844812897016332</v>
      </c>
      <c r="R18" s="12"/>
      <c r="S18" s="89">
        <f t="shared" si="5"/>
        <v>7.0329077927931173E-3</v>
      </c>
      <c r="T18" s="90">
        <f t="shared" si="3"/>
        <v>1.0137219837373684E-2</v>
      </c>
      <c r="U18" s="41"/>
      <c r="V18" s="89">
        <f t="shared" si="6"/>
        <v>8.8294136504139517E-2</v>
      </c>
      <c r="W18" s="90">
        <f t="shared" si="7"/>
        <v>0.15889436759692208</v>
      </c>
      <c r="X18" s="41"/>
      <c r="Y18" s="40"/>
      <c r="Z18" s="41"/>
      <c r="AA18" s="41"/>
      <c r="AB18" s="42"/>
      <c r="AC18" s="41"/>
      <c r="AD18" s="42"/>
      <c r="AF18" s="1"/>
      <c r="AG18" s="1"/>
      <c r="AH18" s="1"/>
      <c r="AI18" s="1"/>
      <c r="AJ18" s="1"/>
      <c r="AK18" s="1"/>
    </row>
    <row r="19" spans="2:37" x14ac:dyDescent="0.25">
      <c r="B19" s="40"/>
      <c r="C19" s="72">
        <f t="shared" si="4"/>
        <v>2.5</v>
      </c>
      <c r="D19" s="64">
        <v>6.1946507245862588</v>
      </c>
      <c r="E19" s="73">
        <v>84.874752229366848</v>
      </c>
      <c r="F19" s="41"/>
      <c r="G19" s="80">
        <f t="shared" si="0"/>
        <v>13.701297458548099</v>
      </c>
      <c r="H19" s="83">
        <v>19.473788536566719</v>
      </c>
      <c r="I19" s="12">
        <v>10.531694119592114</v>
      </c>
      <c r="J19" s="85">
        <v>205.09198421674003</v>
      </c>
      <c r="K19" s="41"/>
      <c r="L19" s="83">
        <v>19.473788536566719</v>
      </c>
      <c r="M19" s="64">
        <v>10.531694119592114</v>
      </c>
      <c r="N19" s="73">
        <v>205.09198421674003</v>
      </c>
      <c r="O19" s="41"/>
      <c r="P19" s="83">
        <f t="shared" si="1"/>
        <v>2.6329235298980285</v>
      </c>
      <c r="Q19" s="85">
        <f t="shared" si="2"/>
        <v>51.272996054185008</v>
      </c>
      <c r="R19" s="12"/>
      <c r="S19" s="89">
        <f t="shared" si="5"/>
        <v>8.5899289375694372E-3</v>
      </c>
      <c r="T19" s="90">
        <f t="shared" si="3"/>
        <v>1.2131354943045224E-2</v>
      </c>
      <c r="U19" s="41"/>
      <c r="V19" s="89">
        <f t="shared" si="6"/>
        <v>9.6884065441708953E-2</v>
      </c>
      <c r="W19" s="90">
        <f t="shared" si="7"/>
        <v>0.17102572253996731</v>
      </c>
      <c r="X19" s="41"/>
      <c r="Y19" s="40"/>
      <c r="Z19" s="41"/>
      <c r="AA19" s="41"/>
      <c r="AB19" s="42"/>
      <c r="AC19" s="41"/>
      <c r="AD19" s="42"/>
      <c r="AF19" s="1"/>
      <c r="AG19" s="1"/>
      <c r="AH19" s="1"/>
      <c r="AI19" s="1"/>
      <c r="AJ19" s="1"/>
      <c r="AK19" s="1"/>
    </row>
    <row r="20" spans="2:37" x14ac:dyDescent="0.25">
      <c r="B20" s="40"/>
      <c r="C20" s="72">
        <f t="shared" si="4"/>
        <v>2.75</v>
      </c>
      <c r="D20" s="64">
        <v>11.729583658895885</v>
      </c>
      <c r="E20" s="73">
        <v>135.78368548457945</v>
      </c>
      <c r="F20" s="41"/>
      <c r="G20" s="80">
        <f t="shared" si="0"/>
        <v>11.576172644593326</v>
      </c>
      <c r="H20" s="83">
        <v>19.364957587159982</v>
      </c>
      <c r="I20" s="12">
        <v>13.351450439475785</v>
      </c>
      <c r="J20" s="85">
        <v>258.55027148751708</v>
      </c>
      <c r="K20" s="41"/>
      <c r="L20" s="83">
        <v>19.364957587159982</v>
      </c>
      <c r="M20" s="64">
        <v>13.351450439475785</v>
      </c>
      <c r="N20" s="73">
        <v>258.55027148751708</v>
      </c>
      <c r="O20" s="41"/>
      <c r="P20" s="83">
        <f t="shared" si="1"/>
        <v>3.3378626098689463</v>
      </c>
      <c r="Q20" s="85">
        <f t="shared" si="2"/>
        <v>64.63756787187927</v>
      </c>
      <c r="R20" s="12"/>
      <c r="S20" s="89">
        <f t="shared" si="5"/>
        <v>1.0889796948738104E-2</v>
      </c>
      <c r="T20" s="90">
        <f t="shared" si="3"/>
        <v>1.5293455402533289E-2</v>
      </c>
      <c r="U20" s="41"/>
      <c r="V20" s="89">
        <f t="shared" si="6"/>
        <v>0.10777386239044706</v>
      </c>
      <c r="W20" s="90">
        <f t="shared" si="7"/>
        <v>0.18631917794250061</v>
      </c>
      <c r="X20" s="41"/>
      <c r="Y20" s="40"/>
      <c r="Z20" s="41"/>
      <c r="AA20" s="41"/>
      <c r="AB20" s="42"/>
      <c r="AC20" s="41"/>
      <c r="AD20" s="42"/>
      <c r="AF20" s="1"/>
      <c r="AG20" s="1"/>
      <c r="AH20" s="1"/>
      <c r="AI20" s="1"/>
      <c r="AJ20" s="1"/>
      <c r="AK20" s="1"/>
    </row>
    <row r="21" spans="2:37" x14ac:dyDescent="0.25">
      <c r="B21" s="40"/>
      <c r="C21" s="72">
        <f t="shared" si="4"/>
        <v>3</v>
      </c>
      <c r="D21" s="64">
        <v>13.167871017141561</v>
      </c>
      <c r="E21" s="73">
        <v>144.38667031054948</v>
      </c>
      <c r="F21" s="41"/>
      <c r="G21" s="80">
        <f t="shared" si="0"/>
        <v>10.965073254635545</v>
      </c>
      <c r="H21" s="83">
        <v>19.324925320576714</v>
      </c>
      <c r="I21" s="12">
        <v>11.121394767336547</v>
      </c>
      <c r="J21" s="85">
        <v>214.9201233394314</v>
      </c>
      <c r="K21" s="41"/>
      <c r="L21" s="83">
        <v>19.324925320576714</v>
      </c>
      <c r="M21" s="64">
        <v>11.121394767336547</v>
      </c>
      <c r="N21" s="73">
        <v>214.9201233394314</v>
      </c>
      <c r="O21" s="41"/>
      <c r="P21" s="83">
        <f t="shared" si="1"/>
        <v>2.7803486918341367</v>
      </c>
      <c r="Q21" s="85">
        <f t="shared" si="2"/>
        <v>53.73003083485785</v>
      </c>
      <c r="R21" s="12"/>
      <c r="S21" s="89">
        <f t="shared" si="5"/>
        <v>9.0709044198653017E-3</v>
      </c>
      <c r="T21" s="90">
        <f t="shared" si="3"/>
        <v>1.2712697234809283E-2</v>
      </c>
      <c r="U21" s="41"/>
      <c r="V21" s="89">
        <f t="shared" si="6"/>
        <v>0.11684476681031236</v>
      </c>
      <c r="W21" s="90">
        <f t="shared" si="7"/>
        <v>0.19903187517730989</v>
      </c>
      <c r="X21" s="41"/>
      <c r="Y21" s="40"/>
      <c r="Z21" s="41"/>
      <c r="AA21" s="41"/>
      <c r="AB21" s="42"/>
      <c r="AC21" s="41"/>
      <c r="AD21" s="42"/>
      <c r="AF21" s="1"/>
      <c r="AG21" s="1"/>
      <c r="AH21" s="1"/>
      <c r="AI21" s="1"/>
      <c r="AJ21" s="1"/>
      <c r="AK21" s="1"/>
    </row>
    <row r="22" spans="2:37" x14ac:dyDescent="0.25">
      <c r="B22" s="40"/>
      <c r="C22" s="72">
        <f t="shared" si="4"/>
        <v>3.25</v>
      </c>
      <c r="D22" s="64">
        <v>10.170805214060442</v>
      </c>
      <c r="E22" s="73">
        <v>182.60929079374134</v>
      </c>
      <c r="F22" s="41"/>
      <c r="G22" s="80">
        <f t="shared" si="0"/>
        <v>17.954260941040982</v>
      </c>
      <c r="H22" s="83">
        <v>19.004814906681311</v>
      </c>
      <c r="I22" s="12">
        <v>16.893730320308673</v>
      </c>
      <c r="J22" s="85">
        <v>321.06221782085635</v>
      </c>
      <c r="K22" s="41"/>
      <c r="L22" s="83">
        <v>19.004814906681311</v>
      </c>
      <c r="M22" s="64">
        <v>16.893730320308673</v>
      </c>
      <c r="N22" s="73">
        <v>321.06221782085635</v>
      </c>
      <c r="O22" s="41"/>
      <c r="P22" s="83">
        <f t="shared" si="1"/>
        <v>4.2234325800771684</v>
      </c>
      <c r="Q22" s="85">
        <f t="shared" si="2"/>
        <v>80.265554455214087</v>
      </c>
      <c r="R22" s="12"/>
      <c r="S22" s="89">
        <f t="shared" si="5"/>
        <v>1.3778974331580181E-2</v>
      </c>
      <c r="T22" s="90">
        <f t="shared" si="3"/>
        <v>1.8991087038633257E-2</v>
      </c>
      <c r="U22" s="41"/>
      <c r="V22" s="89">
        <f t="shared" si="6"/>
        <v>0.13062374114189254</v>
      </c>
      <c r="W22" s="90">
        <f t="shared" si="7"/>
        <v>0.21802296221594314</v>
      </c>
      <c r="X22" s="41"/>
      <c r="Y22" s="40"/>
      <c r="Z22" s="41"/>
      <c r="AA22" s="41"/>
      <c r="AB22" s="42"/>
      <c r="AC22" s="41"/>
      <c r="AD22" s="42"/>
      <c r="AF22" s="1"/>
      <c r="AG22" s="1"/>
      <c r="AH22" s="1"/>
      <c r="AI22" s="1"/>
      <c r="AJ22" s="1"/>
      <c r="AK22" s="1"/>
    </row>
    <row r="23" spans="2:37" x14ac:dyDescent="0.25">
      <c r="B23" s="40"/>
      <c r="C23" s="72">
        <f t="shared" si="4"/>
        <v>3.5</v>
      </c>
      <c r="D23" s="64">
        <v>9.5851095825764681</v>
      </c>
      <c r="E23" s="73">
        <v>170.49354018379606</v>
      </c>
      <c r="F23" s="41"/>
      <c r="G23" s="80">
        <f t="shared" si="0"/>
        <v>17.787333437868487</v>
      </c>
      <c r="H23" s="83">
        <v>18.915662864929569</v>
      </c>
      <c r="I23" s="12">
        <v>6.8225787239277462</v>
      </c>
      <c r="J23" s="85">
        <v>129.05359901125863</v>
      </c>
      <c r="K23" s="41"/>
      <c r="L23" s="83">
        <v>18.915662864929569</v>
      </c>
      <c r="M23" s="64">
        <v>6.8225787239277462</v>
      </c>
      <c r="N23" s="73">
        <v>129.05359901125863</v>
      </c>
      <c r="O23" s="41"/>
      <c r="P23" s="83">
        <f t="shared" si="1"/>
        <v>1.7056446809819366</v>
      </c>
      <c r="Q23" s="85">
        <f t="shared" si="2"/>
        <v>32.263399752814657</v>
      </c>
      <c r="R23" s="12"/>
      <c r="S23" s="89">
        <f t="shared" si="5"/>
        <v>5.5646760857295261E-3</v>
      </c>
      <c r="T23" s="90">
        <f t="shared" si="3"/>
        <v>7.6336236263066072E-3</v>
      </c>
      <c r="U23" s="41"/>
      <c r="V23" s="89">
        <f t="shared" si="6"/>
        <v>0.13618841722762207</v>
      </c>
      <c r="W23" s="90">
        <f t="shared" si="7"/>
        <v>0.22565658584224974</v>
      </c>
      <c r="X23" s="41"/>
      <c r="Y23" s="40"/>
      <c r="Z23" s="41"/>
      <c r="AA23" s="41"/>
      <c r="AB23" s="42"/>
      <c r="AC23" s="41"/>
      <c r="AD23" s="42"/>
      <c r="AF23" s="1"/>
      <c r="AG23" s="1"/>
      <c r="AH23" s="1"/>
      <c r="AI23" s="1"/>
      <c r="AJ23" s="1"/>
      <c r="AK23" s="1"/>
    </row>
    <row r="24" spans="2:37" x14ac:dyDescent="0.25">
      <c r="B24" s="40"/>
      <c r="C24" s="72">
        <f t="shared" si="4"/>
        <v>3.75</v>
      </c>
      <c r="D24" s="64">
        <v>7.9809319228458673</v>
      </c>
      <c r="E24" s="73">
        <v>83.261908930817825</v>
      </c>
      <c r="F24" s="41"/>
      <c r="G24" s="80">
        <f t="shared" si="0"/>
        <v>10.43260483058074</v>
      </c>
      <c r="H24" s="83">
        <v>18.854726614020237</v>
      </c>
      <c r="I24" s="12">
        <v>14.012131131529362</v>
      </c>
      <c r="J24" s="85">
        <v>264.19490176478814</v>
      </c>
      <c r="K24" s="41"/>
      <c r="L24" s="83">
        <v>18.854726614020237</v>
      </c>
      <c r="M24" s="64">
        <v>14.012131131529362</v>
      </c>
      <c r="N24" s="73">
        <v>264.19490176478814</v>
      </c>
      <c r="O24" s="41"/>
      <c r="P24" s="83">
        <f t="shared" si="1"/>
        <v>3.5030327828823404</v>
      </c>
      <c r="Q24" s="85">
        <f t="shared" si="2"/>
        <v>66.048725441197035</v>
      </c>
      <c r="R24" s="12"/>
      <c r="S24" s="89">
        <f t="shared" si="5"/>
        <v>1.1428665636977618E-2</v>
      </c>
      <c r="T24" s="90">
        <f t="shared" si="3"/>
        <v>1.56273397992217E-2</v>
      </c>
      <c r="U24" s="41"/>
      <c r="V24" s="89">
        <f t="shared" si="6"/>
        <v>0.14761708286459968</v>
      </c>
      <c r="W24" s="90">
        <f t="shared" si="7"/>
        <v>0.24128392564147144</v>
      </c>
      <c r="X24" s="41"/>
      <c r="Y24" s="40"/>
      <c r="Z24" s="41"/>
      <c r="AA24" s="41"/>
      <c r="AB24" s="42"/>
      <c r="AC24" s="41"/>
      <c r="AD24" s="42"/>
      <c r="AF24" s="1"/>
      <c r="AG24" s="1"/>
      <c r="AH24" s="1"/>
      <c r="AI24" s="1"/>
      <c r="AJ24" s="1"/>
      <c r="AK24" s="1"/>
    </row>
    <row r="25" spans="2:37" x14ac:dyDescent="0.25">
      <c r="B25" s="40"/>
      <c r="C25" s="72">
        <f t="shared" si="4"/>
        <v>4</v>
      </c>
      <c r="D25" s="64">
        <v>13.646071679743448</v>
      </c>
      <c r="E25" s="73">
        <v>224.37075328183121</v>
      </c>
      <c r="F25" s="41"/>
      <c r="G25" s="80">
        <f t="shared" si="0"/>
        <v>16.442149693152533</v>
      </c>
      <c r="H25" s="83">
        <v>18.402290960937005</v>
      </c>
      <c r="I25" s="12">
        <v>13.072299468133846</v>
      </c>
      <c r="J25" s="85">
        <v>240.56025834110108</v>
      </c>
      <c r="K25" s="41"/>
      <c r="L25" s="83">
        <v>18.402290960937005</v>
      </c>
      <c r="M25" s="64">
        <v>13.072299468133846</v>
      </c>
      <c r="N25" s="73">
        <v>240.56025834110108</v>
      </c>
      <c r="O25" s="41"/>
      <c r="P25" s="83">
        <f t="shared" si="1"/>
        <v>3.2680748670334614</v>
      </c>
      <c r="Q25" s="85">
        <f t="shared" si="2"/>
        <v>60.140064585275269</v>
      </c>
      <c r="R25" s="12"/>
      <c r="S25" s="89">
        <f t="shared" si="5"/>
        <v>1.0662114015731156E-2</v>
      </c>
      <c r="T25" s="90">
        <f t="shared" si="3"/>
        <v>1.422933173264581E-2</v>
      </c>
      <c r="U25" s="41"/>
      <c r="V25" s="89">
        <f t="shared" si="6"/>
        <v>0.15827919688033085</v>
      </c>
      <c r="W25" s="90">
        <f t="shared" si="7"/>
        <v>0.25551325737411723</v>
      </c>
      <c r="X25" s="41"/>
      <c r="Y25" s="40"/>
      <c r="Z25" s="41"/>
      <c r="AA25" s="41"/>
      <c r="AB25" s="42"/>
      <c r="AC25" s="41"/>
      <c r="AD25" s="42"/>
      <c r="AF25" s="1"/>
      <c r="AG25" s="1"/>
      <c r="AH25" s="1"/>
      <c r="AI25" s="1"/>
      <c r="AJ25" s="1"/>
      <c r="AK25" s="1"/>
    </row>
    <row r="26" spans="2:37" x14ac:dyDescent="0.25">
      <c r="B26" s="40"/>
      <c r="C26" s="72">
        <f t="shared" si="4"/>
        <v>4.25</v>
      </c>
      <c r="D26" s="64">
        <v>12.585481333324832</v>
      </c>
      <c r="E26" s="73">
        <v>150.95427628797344</v>
      </c>
      <c r="F26" s="41"/>
      <c r="G26" s="80">
        <f t="shared" si="0"/>
        <v>11.994318873467698</v>
      </c>
      <c r="H26" s="83">
        <v>18.316461921655254</v>
      </c>
      <c r="I26" s="12">
        <v>7.879788001505962</v>
      </c>
      <c r="J26" s="85">
        <v>144.32983688029989</v>
      </c>
      <c r="K26" s="41"/>
      <c r="L26" s="83">
        <v>18.316461921655254</v>
      </c>
      <c r="M26" s="64">
        <v>7.879788001505962</v>
      </c>
      <c r="N26" s="73">
        <v>144.32983688029989</v>
      </c>
      <c r="O26" s="41"/>
      <c r="P26" s="83">
        <f t="shared" si="1"/>
        <v>1.9699470003764905</v>
      </c>
      <c r="Q26" s="85">
        <f t="shared" si="2"/>
        <v>36.082459220074973</v>
      </c>
      <c r="R26" s="12"/>
      <c r="S26" s="89">
        <f t="shared" si="5"/>
        <v>6.4269640009892324E-3</v>
      </c>
      <c r="T26" s="90">
        <f t="shared" si="3"/>
        <v>8.5372253174769552E-3</v>
      </c>
      <c r="U26" s="41"/>
      <c r="V26" s="89">
        <f t="shared" si="6"/>
        <v>0.16470616088132009</v>
      </c>
      <c r="W26" s="90">
        <f t="shared" si="7"/>
        <v>0.2640504826915942</v>
      </c>
      <c r="X26" s="41"/>
      <c r="Y26" s="40"/>
      <c r="Z26" s="41"/>
      <c r="AA26" s="41"/>
      <c r="AB26" s="42"/>
      <c r="AC26" s="41"/>
      <c r="AD26" s="42"/>
      <c r="AF26" s="1"/>
      <c r="AG26" s="1"/>
      <c r="AH26" s="1"/>
      <c r="AI26" s="1"/>
      <c r="AJ26" s="1"/>
      <c r="AK26" s="1"/>
    </row>
    <row r="27" spans="2:37" x14ac:dyDescent="0.25">
      <c r="B27" s="40"/>
      <c r="C27" s="72">
        <f t="shared" si="4"/>
        <v>4.5</v>
      </c>
      <c r="D27" s="64">
        <v>13.84200177883916</v>
      </c>
      <c r="E27" s="73">
        <v>176.43145292957206</v>
      </c>
      <c r="F27" s="41"/>
      <c r="G27" s="80">
        <f t="shared" si="0"/>
        <v>12.746093791093866</v>
      </c>
      <c r="H27" s="83">
        <v>18.114113405817434</v>
      </c>
      <c r="I27" s="12">
        <v>10.106085793268505</v>
      </c>
      <c r="J27" s="85">
        <v>183.06278414818615</v>
      </c>
      <c r="K27" s="41"/>
      <c r="L27" s="83">
        <v>18.114113405817434</v>
      </c>
      <c r="M27" s="64">
        <v>10.106085793268505</v>
      </c>
      <c r="N27" s="73">
        <v>183.06278414818615</v>
      </c>
      <c r="O27" s="41"/>
      <c r="P27" s="83">
        <f t="shared" si="1"/>
        <v>2.5265214483171263</v>
      </c>
      <c r="Q27" s="85">
        <f t="shared" si="2"/>
        <v>45.765696037046538</v>
      </c>
      <c r="R27" s="12"/>
      <c r="S27" s="89">
        <f t="shared" si="5"/>
        <v>8.242791502998819E-3</v>
      </c>
      <c r="T27" s="90">
        <f t="shared" si="3"/>
        <v>1.0828310135303927E-2</v>
      </c>
      <c r="U27" s="41"/>
      <c r="V27" s="89">
        <f t="shared" si="6"/>
        <v>0.1729489523843189</v>
      </c>
      <c r="W27" s="90">
        <f t="shared" si="7"/>
        <v>0.27487879282689814</v>
      </c>
      <c r="X27" s="41"/>
      <c r="Y27" s="40"/>
      <c r="Z27" s="41"/>
      <c r="AA27" s="41"/>
      <c r="AB27" s="42"/>
      <c r="AC27" s="41"/>
      <c r="AD27" s="42"/>
      <c r="AF27" s="1"/>
      <c r="AG27" s="1"/>
      <c r="AH27" s="1"/>
      <c r="AI27" s="1"/>
      <c r="AJ27" s="1"/>
      <c r="AK27" s="1"/>
    </row>
    <row r="28" spans="2:37" x14ac:dyDescent="0.25">
      <c r="B28" s="40"/>
      <c r="C28" s="72">
        <f t="shared" si="4"/>
        <v>4.75</v>
      </c>
      <c r="D28" s="64">
        <v>11.266081308841894</v>
      </c>
      <c r="E28" s="73">
        <v>125.908458435816</v>
      </c>
      <c r="F28" s="41"/>
      <c r="G28" s="80">
        <f t="shared" si="0"/>
        <v>11.175887603172185</v>
      </c>
      <c r="H28" s="83">
        <v>17.954260941040982</v>
      </c>
      <c r="I28" s="12">
        <v>10.170805214060442</v>
      </c>
      <c r="J28" s="85">
        <v>182.60929079374134</v>
      </c>
      <c r="K28" s="41"/>
      <c r="L28" s="83">
        <v>17.954260941040982</v>
      </c>
      <c r="M28" s="64">
        <v>10.170805214060442</v>
      </c>
      <c r="N28" s="73">
        <v>182.60929079374134</v>
      </c>
      <c r="O28" s="41"/>
      <c r="P28" s="83">
        <f t="shared" si="1"/>
        <v>2.5427013035151105</v>
      </c>
      <c r="Q28" s="85">
        <f t="shared" si="2"/>
        <v>45.652322698435334</v>
      </c>
      <c r="R28" s="12"/>
      <c r="S28" s="89">
        <f t="shared" si="5"/>
        <v>8.2955783784217571E-3</v>
      </c>
      <c r="T28" s="90">
        <f t="shared" si="3"/>
        <v>1.0801485640587116E-2</v>
      </c>
      <c r="U28" s="41"/>
      <c r="V28" s="89">
        <f t="shared" si="6"/>
        <v>0.18124453076274066</v>
      </c>
      <c r="W28" s="90">
        <f t="shared" si="7"/>
        <v>0.28568027846748528</v>
      </c>
      <c r="X28" s="41"/>
      <c r="Y28" s="40"/>
      <c r="Z28" s="41"/>
      <c r="AA28" s="41"/>
      <c r="AB28" s="42"/>
      <c r="AC28" s="41"/>
      <c r="AD28" s="42"/>
      <c r="AF28" s="1"/>
      <c r="AG28" s="1"/>
      <c r="AH28" s="1"/>
      <c r="AI28" s="1"/>
      <c r="AJ28" s="1"/>
      <c r="AK28" s="1"/>
    </row>
    <row r="29" spans="2:37" x14ac:dyDescent="0.25">
      <c r="B29" s="40"/>
      <c r="C29" s="72">
        <f t="shared" si="4"/>
        <v>5</v>
      </c>
      <c r="D29" s="64">
        <v>15.779465720490016</v>
      </c>
      <c r="E29" s="73">
        <v>227.41237636206756</v>
      </c>
      <c r="F29" s="41"/>
      <c r="G29" s="80">
        <f t="shared" si="0"/>
        <v>14.41191865366944</v>
      </c>
      <c r="H29" s="83">
        <v>17.787333437868487</v>
      </c>
      <c r="I29" s="12">
        <v>9.5851095825764681</v>
      </c>
      <c r="J29" s="85">
        <v>170.49354018379606</v>
      </c>
      <c r="K29" s="41"/>
      <c r="L29" s="83">
        <v>17.787333437868487</v>
      </c>
      <c r="M29" s="64">
        <v>9.5851095825764681</v>
      </c>
      <c r="N29" s="73">
        <v>170.49354018379606</v>
      </c>
      <c r="O29" s="41"/>
      <c r="P29" s="83">
        <f t="shared" si="1"/>
        <v>2.396277395644117</v>
      </c>
      <c r="Q29" s="85">
        <f t="shared" si="2"/>
        <v>42.623385045949014</v>
      </c>
      <c r="R29" s="12"/>
      <c r="S29" s="89">
        <f t="shared" si="5"/>
        <v>7.8178694935679069E-3</v>
      </c>
      <c r="T29" s="90">
        <f t="shared" si="3"/>
        <v>1.0084829299228914E-2</v>
      </c>
      <c r="U29" s="41"/>
      <c r="V29" s="89">
        <f t="shared" si="6"/>
        <v>0.18906240025630858</v>
      </c>
      <c r="W29" s="90">
        <f t="shared" si="7"/>
        <v>0.29576510776671422</v>
      </c>
      <c r="X29" s="41"/>
      <c r="Y29" s="40"/>
      <c r="Z29" s="41"/>
      <c r="AA29" s="41"/>
      <c r="AB29" s="42"/>
      <c r="AC29" s="41"/>
      <c r="AD29" s="42"/>
      <c r="AF29" s="1"/>
      <c r="AG29" s="1"/>
      <c r="AH29" s="1"/>
      <c r="AI29" s="1"/>
      <c r="AJ29" s="1"/>
      <c r="AK29" s="1"/>
    </row>
    <row r="30" spans="2:37" ht="15.75" thickBot="1" x14ac:dyDescent="0.3">
      <c r="B30" s="40"/>
      <c r="C30" s="72">
        <f t="shared" si="4"/>
        <v>5.25</v>
      </c>
      <c r="D30" s="64">
        <v>7.1369209432562588</v>
      </c>
      <c r="E30" s="73">
        <v>92.678049379162033</v>
      </c>
      <c r="F30" s="41"/>
      <c r="G30" s="80">
        <f t="shared" si="0"/>
        <v>12.985718927814993</v>
      </c>
      <c r="H30" s="83">
        <v>17.722684839659966</v>
      </c>
      <c r="I30" s="12">
        <v>15.789876247345301</v>
      </c>
      <c r="J30" s="85">
        <v>279.83900038893358</v>
      </c>
      <c r="K30" s="41"/>
      <c r="L30" s="83">
        <v>17.722684839659966</v>
      </c>
      <c r="M30" s="64">
        <v>15.789876247345301</v>
      </c>
      <c r="N30" s="73">
        <v>279.83900038893358</v>
      </c>
      <c r="O30" s="41"/>
      <c r="P30" s="83">
        <f t="shared" si="1"/>
        <v>3.9474690618363253</v>
      </c>
      <c r="Q30" s="85">
        <f t="shared" si="2"/>
        <v>69.959750097233396</v>
      </c>
      <c r="R30" s="12"/>
      <c r="S30" s="89">
        <f t="shared" si="5"/>
        <v>1.2878641684569238E-2</v>
      </c>
      <c r="T30" s="90">
        <f t="shared" si="3"/>
        <v>1.655270074835051E-2</v>
      </c>
      <c r="U30" s="41"/>
      <c r="V30" s="89">
        <f t="shared" si="6"/>
        <v>0.20194104194087781</v>
      </c>
      <c r="W30" s="90">
        <f t="shared" si="7"/>
        <v>0.31231780851506474</v>
      </c>
      <c r="X30" s="41"/>
      <c r="Y30" s="53"/>
      <c r="Z30" s="54"/>
      <c r="AA30" s="54"/>
      <c r="AB30" s="55"/>
      <c r="AC30" s="41"/>
      <c r="AD30" s="42"/>
      <c r="AF30" s="1"/>
      <c r="AG30" s="1"/>
      <c r="AH30" s="1"/>
      <c r="AI30" s="1"/>
      <c r="AJ30" s="1"/>
      <c r="AK30" s="1"/>
    </row>
    <row r="31" spans="2:37" x14ac:dyDescent="0.25">
      <c r="B31" s="40"/>
      <c r="C31" s="72">
        <f t="shared" si="4"/>
        <v>5.5</v>
      </c>
      <c r="D31" s="64">
        <v>9.1993583324563062</v>
      </c>
      <c r="E31" s="73">
        <v>83.894279930732964</v>
      </c>
      <c r="F31" s="41"/>
      <c r="G31" s="80">
        <f t="shared" si="0"/>
        <v>9.1195795292314141</v>
      </c>
      <c r="H31" s="83">
        <v>17.539350863042618</v>
      </c>
      <c r="I31" s="12">
        <v>17.767901048212885</v>
      </c>
      <c r="J31" s="85">
        <v>311.63745058442851</v>
      </c>
      <c r="K31" s="41"/>
      <c r="L31" s="83">
        <v>17.539350863042618</v>
      </c>
      <c r="M31" s="64">
        <v>17.767901048212885</v>
      </c>
      <c r="N31" s="73">
        <v>311.63745058442851</v>
      </c>
      <c r="O31" s="41"/>
      <c r="P31" s="83">
        <f t="shared" si="1"/>
        <v>4.4419752620532211</v>
      </c>
      <c r="Q31" s="85">
        <f t="shared" si="2"/>
        <v>77.909362646107127</v>
      </c>
      <c r="R31" s="12"/>
      <c r="S31" s="89">
        <f t="shared" si="5"/>
        <v>1.4491971153053699E-2</v>
      </c>
      <c r="T31" s="90">
        <f t="shared" si="3"/>
        <v>1.8433604516645167E-2</v>
      </c>
      <c r="U31" s="41"/>
      <c r="V31" s="89">
        <f t="shared" si="6"/>
        <v>0.21643301309393151</v>
      </c>
      <c r="W31" s="90">
        <f t="shared" si="7"/>
        <v>0.33075141303170991</v>
      </c>
      <c r="X31" s="41"/>
      <c r="Y31" s="114" t="s">
        <v>59</v>
      </c>
      <c r="Z31" s="43"/>
      <c r="AA31" s="41"/>
      <c r="AB31" s="41"/>
      <c r="AC31" s="41"/>
      <c r="AD31" s="42"/>
      <c r="AF31" s="1"/>
      <c r="AG31" s="1"/>
      <c r="AH31" s="1"/>
      <c r="AI31" s="1"/>
      <c r="AJ31" s="1"/>
      <c r="AK31" s="1"/>
    </row>
    <row r="32" spans="2:37" x14ac:dyDescent="0.25">
      <c r="B32" s="40"/>
      <c r="C32" s="72">
        <f t="shared" si="4"/>
        <v>5.75</v>
      </c>
      <c r="D32" s="64">
        <v>15.91117106051739</v>
      </c>
      <c r="E32" s="73">
        <v>156.08339508623141</v>
      </c>
      <c r="F32" s="41"/>
      <c r="G32" s="80">
        <f t="shared" si="0"/>
        <v>9.8096736244350318</v>
      </c>
      <c r="H32" s="83">
        <v>17.403649337211654</v>
      </c>
      <c r="I32" s="12">
        <v>11.877667038631181</v>
      </c>
      <c r="J32" s="85">
        <v>206.71475208449425</v>
      </c>
      <c r="K32" s="41"/>
      <c r="L32" s="83">
        <v>17.403649337211654</v>
      </c>
      <c r="M32" s="64">
        <v>11.877667038631181</v>
      </c>
      <c r="N32" s="73">
        <v>206.71475208449425</v>
      </c>
      <c r="O32" s="41"/>
      <c r="P32" s="83">
        <f t="shared" si="1"/>
        <v>2.9694167596577952</v>
      </c>
      <c r="Q32" s="85">
        <f t="shared" si="2"/>
        <v>51.678688021123563</v>
      </c>
      <c r="R32" s="12"/>
      <c r="S32" s="89">
        <f t="shared" si="5"/>
        <v>9.6877401344337699E-3</v>
      </c>
      <c r="T32" s="90">
        <f t="shared" si="3"/>
        <v>1.2227342960661216E-2</v>
      </c>
      <c r="U32" s="41"/>
      <c r="V32" s="89">
        <f t="shared" si="6"/>
        <v>0.22612075322836528</v>
      </c>
      <c r="W32" s="90">
        <f t="shared" si="7"/>
        <v>0.3429787559923711</v>
      </c>
      <c r="X32" s="41"/>
      <c r="Y32" s="113">
        <v>0</v>
      </c>
      <c r="Z32" s="113">
        <v>0</v>
      </c>
      <c r="AA32" s="41"/>
      <c r="AB32" s="41"/>
      <c r="AC32" s="41"/>
      <c r="AD32" s="42"/>
      <c r="AF32" s="1"/>
      <c r="AG32" s="1"/>
      <c r="AH32" s="1"/>
      <c r="AI32" s="1"/>
      <c r="AJ32" s="1"/>
      <c r="AK32" s="1"/>
    </row>
    <row r="33" spans="2:37" x14ac:dyDescent="0.25">
      <c r="B33" s="40"/>
      <c r="C33" s="72">
        <f t="shared" si="4"/>
        <v>6</v>
      </c>
      <c r="D33" s="64">
        <v>11.781907027324008</v>
      </c>
      <c r="E33" s="73">
        <v>187.90486354350833</v>
      </c>
      <c r="F33" s="41"/>
      <c r="G33" s="80">
        <f t="shared" si="0"/>
        <v>15.948595003145822</v>
      </c>
      <c r="H33" s="83">
        <v>17.222256599782398</v>
      </c>
      <c r="I33" s="12">
        <v>8.0603061723883602</v>
      </c>
      <c r="J33" s="85">
        <v>138.81666117368223</v>
      </c>
      <c r="K33" s="41"/>
      <c r="L33" s="83">
        <v>17.222256599782398</v>
      </c>
      <c r="M33" s="64">
        <v>8.0603061723883602</v>
      </c>
      <c r="N33" s="73">
        <v>138.81666117368223</v>
      </c>
      <c r="O33" s="41"/>
      <c r="P33" s="83">
        <f t="shared" si="1"/>
        <v>2.0150765430970901</v>
      </c>
      <c r="Q33" s="85">
        <f t="shared" si="2"/>
        <v>34.704165293420559</v>
      </c>
      <c r="R33" s="12"/>
      <c r="S33" s="89">
        <f t="shared" si="5"/>
        <v>6.5741994070133364E-3</v>
      </c>
      <c r="T33" s="90">
        <f t="shared" si="3"/>
        <v>8.2111165638082979E-3</v>
      </c>
      <c r="U33" s="41"/>
      <c r="V33" s="89">
        <f t="shared" si="6"/>
        <v>0.23269495263537862</v>
      </c>
      <c r="W33" s="90">
        <f t="shared" si="7"/>
        <v>0.35118987255617939</v>
      </c>
      <c r="X33" s="41"/>
      <c r="Y33" s="113">
        <v>1</v>
      </c>
      <c r="Z33" s="113">
        <v>1</v>
      </c>
      <c r="AA33" s="41"/>
      <c r="AB33" s="41"/>
      <c r="AC33" s="41"/>
      <c r="AD33" s="42"/>
      <c r="AF33" s="1"/>
      <c r="AG33" s="1"/>
      <c r="AH33" s="1"/>
      <c r="AI33" s="1"/>
      <c r="AJ33" s="1"/>
      <c r="AK33" s="1"/>
    </row>
    <row r="34" spans="2:37" ht="15.75" thickBot="1" x14ac:dyDescent="0.3">
      <c r="B34" s="40"/>
      <c r="C34" s="72">
        <f t="shared" si="4"/>
        <v>6.25</v>
      </c>
      <c r="D34" s="64">
        <v>6.8225787239277462</v>
      </c>
      <c r="E34" s="73">
        <v>129.05359901125863</v>
      </c>
      <c r="F34" s="41"/>
      <c r="G34" s="80">
        <f t="shared" si="0"/>
        <v>18.915662864929569</v>
      </c>
      <c r="H34" s="83">
        <v>17.07179689740482</v>
      </c>
      <c r="I34" s="12">
        <v>15.080295232184774</v>
      </c>
      <c r="J34" s="85">
        <v>257.44773735676074</v>
      </c>
      <c r="K34" s="41"/>
      <c r="L34" s="83">
        <v>17.07179689740482</v>
      </c>
      <c r="M34" s="64">
        <v>15.080295232184774</v>
      </c>
      <c r="N34" s="73">
        <v>257.44773735676074</v>
      </c>
      <c r="O34" s="41"/>
      <c r="P34" s="83">
        <f t="shared" si="1"/>
        <v>3.7700738080461935</v>
      </c>
      <c r="Q34" s="85">
        <f t="shared" si="2"/>
        <v>64.361934339190185</v>
      </c>
      <c r="R34" s="12"/>
      <c r="S34" s="89">
        <f t="shared" si="5"/>
        <v>1.2299888596370606E-2</v>
      </c>
      <c r="T34" s="90">
        <f t="shared" si="3"/>
        <v>1.5228239626655418E-2</v>
      </c>
      <c r="U34" s="41"/>
      <c r="V34" s="89">
        <f t="shared" si="6"/>
        <v>0.24499484123174922</v>
      </c>
      <c r="W34" s="90">
        <f t="shared" si="7"/>
        <v>0.36641811218283482</v>
      </c>
      <c r="X34" s="41"/>
      <c r="Y34" s="50" t="s">
        <v>70</v>
      </c>
      <c r="Z34" s="41"/>
      <c r="AA34" s="41"/>
      <c r="AB34" s="41"/>
      <c r="AC34" s="41"/>
      <c r="AD34" s="42"/>
      <c r="AF34" s="1"/>
      <c r="AG34" s="1"/>
      <c r="AH34" s="1"/>
      <c r="AI34" s="1"/>
      <c r="AJ34" s="1"/>
      <c r="AK34" s="1"/>
    </row>
    <row r="35" spans="2:37" ht="15.75" thickBot="1" x14ac:dyDescent="0.3">
      <c r="B35" s="40"/>
      <c r="C35" s="72">
        <f t="shared" si="4"/>
        <v>6.5</v>
      </c>
      <c r="D35" s="64">
        <v>8.6227062160016956</v>
      </c>
      <c r="E35" s="73">
        <v>171.37925158806533</v>
      </c>
      <c r="F35" s="41"/>
      <c r="G35" s="80">
        <f t="shared" si="0"/>
        <v>19.875343922772892</v>
      </c>
      <c r="H35" s="83">
        <v>16.442149693152533</v>
      </c>
      <c r="I35" s="12">
        <v>13.646071679743448</v>
      </c>
      <c r="J35" s="85">
        <v>224.37075328183121</v>
      </c>
      <c r="K35" s="41"/>
      <c r="L35" s="83">
        <v>16.442149693152533</v>
      </c>
      <c r="M35" s="64">
        <v>13.646071679743448</v>
      </c>
      <c r="N35" s="73">
        <v>224.37075328183121</v>
      </c>
      <c r="O35" s="41"/>
      <c r="P35" s="83">
        <f t="shared" si="1"/>
        <v>3.4115179199358621</v>
      </c>
      <c r="Q35" s="85">
        <f t="shared" si="2"/>
        <v>56.092688320457803</v>
      </c>
      <c r="R35" s="12"/>
      <c r="S35" s="89">
        <f t="shared" si="5"/>
        <v>1.1130097843224754E-2</v>
      </c>
      <c r="T35" s="90">
        <f t="shared" si="3"/>
        <v>1.3271709556546163E-2</v>
      </c>
      <c r="U35" s="41"/>
      <c r="V35" s="89">
        <f t="shared" si="6"/>
        <v>0.25612493907497397</v>
      </c>
      <c r="W35" s="90">
        <f t="shared" si="7"/>
        <v>0.37968982173938098</v>
      </c>
      <c r="X35" s="41"/>
      <c r="Y35" s="95" t="s">
        <v>60</v>
      </c>
      <c r="Z35" s="77"/>
      <c r="AA35" s="77"/>
      <c r="AB35" s="78"/>
      <c r="AC35" s="41"/>
      <c r="AD35" s="42"/>
      <c r="AF35" s="1"/>
      <c r="AG35" s="1"/>
      <c r="AH35" s="1"/>
      <c r="AI35" s="1"/>
      <c r="AJ35" s="1"/>
      <c r="AK35" s="1"/>
    </row>
    <row r="36" spans="2:37" x14ac:dyDescent="0.25">
      <c r="B36" s="40"/>
      <c r="C36" s="72">
        <f t="shared" si="4"/>
        <v>6.75</v>
      </c>
      <c r="D36" s="64">
        <v>12.375371532054952</v>
      </c>
      <c r="E36" s="73">
        <v>128.88318986681782</v>
      </c>
      <c r="F36" s="41"/>
      <c r="G36" s="80">
        <f t="shared" si="0"/>
        <v>10.414490549474156</v>
      </c>
      <c r="H36" s="83">
        <v>16.386292229916709</v>
      </c>
      <c r="I36" s="12">
        <v>17.500287423311217</v>
      </c>
      <c r="J36" s="85">
        <v>286.76482382591371</v>
      </c>
      <c r="K36" s="41"/>
      <c r="L36" s="83">
        <v>16.386292229916709</v>
      </c>
      <c r="M36" s="64">
        <v>17.500287423311217</v>
      </c>
      <c r="N36" s="73">
        <v>286.76482382591371</v>
      </c>
      <c r="O36" s="41"/>
      <c r="P36" s="83">
        <f t="shared" si="1"/>
        <v>4.3750718558278043</v>
      </c>
      <c r="Q36" s="85">
        <f t="shared" si="2"/>
        <v>71.691205956478427</v>
      </c>
      <c r="R36" s="12"/>
      <c r="S36" s="89">
        <f t="shared" si="5"/>
        <v>1.4273698385678671E-2</v>
      </c>
      <c r="T36" s="90">
        <f t="shared" si="3"/>
        <v>1.6962368745409215E-2</v>
      </c>
      <c r="U36" s="41"/>
      <c r="V36" s="89">
        <f t="shared" si="6"/>
        <v>0.27039863746065262</v>
      </c>
      <c r="W36" s="90">
        <f t="shared" si="7"/>
        <v>0.39665219048479022</v>
      </c>
      <c r="X36" s="41"/>
      <c r="Y36" s="117" t="s">
        <v>76</v>
      </c>
      <c r="Z36" s="96">
        <f>INDEX(LINEST(y,x^{1,2,3},FALSE),1)</f>
        <v>0.36898266524339046</v>
      </c>
      <c r="AA36" s="38"/>
      <c r="AB36" s="39"/>
      <c r="AC36" s="41"/>
      <c r="AD36" s="42"/>
      <c r="AF36" s="1"/>
      <c r="AG36" s="1"/>
      <c r="AH36" s="1"/>
      <c r="AI36" s="1"/>
      <c r="AJ36" s="1"/>
      <c r="AK36" s="1"/>
    </row>
    <row r="37" spans="2:37" x14ac:dyDescent="0.25">
      <c r="B37" s="40"/>
      <c r="C37" s="72">
        <f t="shared" si="4"/>
        <v>7</v>
      </c>
      <c r="D37" s="64">
        <v>7.1458906633533941</v>
      </c>
      <c r="E37" s="73">
        <v>102.71183300191717</v>
      </c>
      <c r="F37" s="41"/>
      <c r="G37" s="80">
        <f t="shared" si="0"/>
        <v>14.373552275108137</v>
      </c>
      <c r="H37" s="83">
        <v>16.25086598677667</v>
      </c>
      <c r="I37" s="12">
        <v>8.9052474051926218</v>
      </c>
      <c r="J37" s="85">
        <v>144.71798216087598</v>
      </c>
      <c r="K37" s="41"/>
      <c r="L37" s="83">
        <v>16.25086598677667</v>
      </c>
      <c r="M37" s="64">
        <v>8.9052474051926218</v>
      </c>
      <c r="N37" s="73">
        <v>144.71798216087598</v>
      </c>
      <c r="O37" s="41"/>
      <c r="P37" s="83">
        <f t="shared" si="1"/>
        <v>2.2263118512981555</v>
      </c>
      <c r="Q37" s="85">
        <f t="shared" si="2"/>
        <v>36.179495540218994</v>
      </c>
      <c r="R37" s="12"/>
      <c r="S37" s="89">
        <f t="shared" si="5"/>
        <v>7.2633558773583014E-3</v>
      </c>
      <c r="T37" s="90">
        <f t="shared" si="3"/>
        <v>8.5601844213450042E-3</v>
      </c>
      <c r="U37" s="41"/>
      <c r="V37" s="89">
        <f t="shared" si="6"/>
        <v>0.27766199333801095</v>
      </c>
      <c r="W37" s="90">
        <f t="shared" si="7"/>
        <v>0.40521237490613521</v>
      </c>
      <c r="X37" s="41"/>
      <c r="Y37" s="118" t="s">
        <v>78</v>
      </c>
      <c r="Z37" s="97">
        <f>INDEX(LINEST(y,x^{1,2,3},FALSE),1,2)</f>
        <v>-1.0998841357891638</v>
      </c>
      <c r="AA37" s="41"/>
      <c r="AB37" s="42"/>
      <c r="AC37" s="41"/>
      <c r="AD37" s="42"/>
      <c r="AF37" s="1"/>
      <c r="AG37" s="1"/>
      <c r="AH37" s="1"/>
      <c r="AI37" s="1"/>
      <c r="AJ37" s="1"/>
      <c r="AK37" s="1"/>
    </row>
    <row r="38" spans="2:37" ht="15.75" thickBot="1" x14ac:dyDescent="0.3">
      <c r="B38" s="40"/>
      <c r="C38" s="72">
        <f t="shared" si="4"/>
        <v>7.25</v>
      </c>
      <c r="D38" s="64">
        <v>9.0161847222762752</v>
      </c>
      <c r="E38" s="73">
        <v>77.535599440320766</v>
      </c>
      <c r="F38" s="41"/>
      <c r="G38" s="80">
        <f t="shared" si="0"/>
        <v>8.5996019190637991</v>
      </c>
      <c r="H38" s="83">
        <v>16.127412037254235</v>
      </c>
      <c r="I38" s="12">
        <v>13.274762438257856</v>
      </c>
      <c r="J38" s="85">
        <v>214.0875635384501</v>
      </c>
      <c r="K38" s="41"/>
      <c r="L38" s="83">
        <v>16.127412037254235</v>
      </c>
      <c r="M38" s="64">
        <v>13.274762438257856</v>
      </c>
      <c r="N38" s="73">
        <v>214.0875635384501</v>
      </c>
      <c r="O38" s="41"/>
      <c r="P38" s="83">
        <f t="shared" si="1"/>
        <v>3.3186906095644639</v>
      </c>
      <c r="Q38" s="85">
        <f t="shared" si="2"/>
        <v>53.521890884612525</v>
      </c>
      <c r="R38" s="12"/>
      <c r="S38" s="89">
        <f t="shared" si="5"/>
        <v>1.0827248181811727E-2</v>
      </c>
      <c r="T38" s="90">
        <f t="shared" si="3"/>
        <v>1.2663450656521068E-2</v>
      </c>
      <c r="U38" s="41"/>
      <c r="V38" s="89">
        <f t="shared" si="6"/>
        <v>0.28848924151982269</v>
      </c>
      <c r="W38" s="90">
        <f t="shared" si="7"/>
        <v>0.41787582556265629</v>
      </c>
      <c r="X38" s="41"/>
      <c r="Y38" s="119" t="s">
        <v>77</v>
      </c>
      <c r="Z38" s="98">
        <f>INDEX(LINEST(y,x^{1,2,3},FALSE),1,3)</f>
        <v>1.7430230027054288</v>
      </c>
      <c r="AA38" s="54"/>
      <c r="AB38" s="55"/>
      <c r="AC38" s="41"/>
      <c r="AD38" s="42"/>
      <c r="AF38" s="1"/>
      <c r="AG38" s="1"/>
      <c r="AH38" s="1"/>
      <c r="AI38" s="1"/>
      <c r="AJ38" s="1"/>
      <c r="AK38" s="1"/>
    </row>
    <row r="39" spans="2:37" ht="15.75" thickBot="1" x14ac:dyDescent="0.3">
      <c r="B39" s="40"/>
      <c r="C39" s="72">
        <f t="shared" si="4"/>
        <v>7.5</v>
      </c>
      <c r="D39" s="64">
        <v>10.069905626229589</v>
      </c>
      <c r="E39" s="73">
        <v>117.62739526042306</v>
      </c>
      <c r="F39" s="41"/>
      <c r="G39" s="80">
        <f t="shared" si="0"/>
        <v>11.681082189492727</v>
      </c>
      <c r="H39" s="83">
        <v>16.005707443578832</v>
      </c>
      <c r="I39" s="12">
        <v>9.4684597845256846</v>
      </c>
      <c r="J39" s="85">
        <v>151.54939725240956</v>
      </c>
      <c r="K39" s="41"/>
      <c r="L39" s="83">
        <v>16.005707443578832</v>
      </c>
      <c r="M39" s="64">
        <v>9.4684597845256846</v>
      </c>
      <c r="N39" s="73">
        <v>151.54939725240956</v>
      </c>
      <c r="O39" s="41"/>
      <c r="P39" s="83">
        <f t="shared" si="1"/>
        <v>2.3671149461314211</v>
      </c>
      <c r="Q39" s="85">
        <f t="shared" si="2"/>
        <v>37.887349313102391</v>
      </c>
      <c r="R39" s="12"/>
      <c r="S39" s="89">
        <f t="shared" si="5"/>
        <v>7.7227268256875323E-3</v>
      </c>
      <c r="T39" s="90">
        <f t="shared" si="3"/>
        <v>8.9642680892424702E-3</v>
      </c>
      <c r="U39" s="41"/>
      <c r="V39" s="89">
        <f t="shared" si="6"/>
        <v>0.29621196834551022</v>
      </c>
      <c r="W39" s="90">
        <f t="shared" si="7"/>
        <v>0.42684009365189873</v>
      </c>
      <c r="X39" s="41"/>
      <c r="Y39" s="111"/>
      <c r="Z39" s="97"/>
      <c r="AA39" s="41"/>
      <c r="AB39" s="41"/>
      <c r="AC39" s="41"/>
      <c r="AD39" s="42"/>
      <c r="AF39" s="1"/>
      <c r="AG39" s="1"/>
      <c r="AH39" s="1"/>
      <c r="AI39" s="1"/>
      <c r="AJ39" s="1"/>
      <c r="AK39" s="1"/>
    </row>
    <row r="40" spans="2:37" ht="15.75" thickBot="1" x14ac:dyDescent="0.3">
      <c r="B40" s="40"/>
      <c r="C40" s="72">
        <f t="shared" si="4"/>
        <v>7.75</v>
      </c>
      <c r="D40" s="64">
        <v>9.1829319389941553</v>
      </c>
      <c r="E40" s="73">
        <v>58.811371709411453</v>
      </c>
      <c r="F40" s="41"/>
      <c r="G40" s="80">
        <f t="shared" si="0"/>
        <v>6.4044220408164438</v>
      </c>
      <c r="H40" s="83">
        <v>15.948595003145822</v>
      </c>
      <c r="I40" s="12">
        <v>11.781907027324008</v>
      </c>
      <c r="J40" s="85">
        <v>187.90486354350833</v>
      </c>
      <c r="K40" s="41"/>
      <c r="L40" s="83">
        <v>15.948595003145822</v>
      </c>
      <c r="M40" s="64">
        <v>11.781907027324008</v>
      </c>
      <c r="N40" s="73">
        <v>187.90486354350833</v>
      </c>
      <c r="O40" s="41"/>
      <c r="P40" s="83">
        <f t="shared" si="1"/>
        <v>2.9454767568310021</v>
      </c>
      <c r="Q40" s="85">
        <f t="shared" si="2"/>
        <v>46.976215885877082</v>
      </c>
      <c r="R40" s="12"/>
      <c r="S40" s="89">
        <f t="shared" si="5"/>
        <v>9.609635730446266E-3</v>
      </c>
      <c r="T40" s="90">
        <f t="shared" si="3"/>
        <v>1.1114723005272466E-2</v>
      </c>
      <c r="U40" s="41"/>
      <c r="V40" s="89">
        <f t="shared" si="6"/>
        <v>0.30582160407595649</v>
      </c>
      <c r="W40" s="90">
        <f t="shared" si="7"/>
        <v>0.43795481665717118</v>
      </c>
      <c r="X40" s="41"/>
      <c r="Y40" s="95" t="s">
        <v>82</v>
      </c>
      <c r="Z40" s="66"/>
      <c r="AA40" s="66"/>
      <c r="AB40" s="67"/>
      <c r="AC40" s="41"/>
      <c r="AD40" s="42"/>
      <c r="AF40" s="1"/>
      <c r="AG40" s="1"/>
      <c r="AH40" s="1"/>
      <c r="AI40" s="1"/>
      <c r="AJ40" s="1"/>
      <c r="AK40" s="1"/>
    </row>
    <row r="41" spans="2:37" x14ac:dyDescent="0.25">
      <c r="B41" s="40"/>
      <c r="C41" s="72">
        <f t="shared" si="4"/>
        <v>8</v>
      </c>
      <c r="D41" s="64">
        <v>11.42431945464952</v>
      </c>
      <c r="E41" s="73">
        <v>65.550861588976275</v>
      </c>
      <c r="F41" s="41"/>
      <c r="G41" s="80">
        <f t="shared" si="0"/>
        <v>5.7378351375055514</v>
      </c>
      <c r="H41" s="83">
        <v>15.880764547774573</v>
      </c>
      <c r="I41" s="12">
        <v>8.356492506631449</v>
      </c>
      <c r="J41" s="85">
        <v>132.7074899430566</v>
      </c>
      <c r="K41" s="41"/>
      <c r="L41" s="83">
        <v>15.880764547774573</v>
      </c>
      <c r="M41" s="64">
        <v>8.356492506631449</v>
      </c>
      <c r="N41" s="73">
        <v>132.7074899430566</v>
      </c>
      <c r="O41" s="41"/>
      <c r="P41" s="83">
        <f t="shared" si="1"/>
        <v>2.0891231266578623</v>
      </c>
      <c r="Q41" s="85">
        <f t="shared" si="2"/>
        <v>33.17687248576415</v>
      </c>
      <c r="R41" s="12"/>
      <c r="S41" s="89">
        <f t="shared" si="5"/>
        <v>6.8157768336397249E-3</v>
      </c>
      <c r="T41" s="90">
        <f t="shared" si="3"/>
        <v>7.8497541980893214E-3</v>
      </c>
      <c r="U41" s="41"/>
      <c r="V41" s="89">
        <f t="shared" si="6"/>
        <v>0.3126373809095962</v>
      </c>
      <c r="W41" s="90">
        <f t="shared" si="7"/>
        <v>0.44580457085526048</v>
      </c>
      <c r="X41" s="41"/>
      <c r="Y41" s="41"/>
      <c r="Z41" s="41"/>
      <c r="AA41" s="41"/>
      <c r="AB41" s="41"/>
      <c r="AC41" s="41"/>
      <c r="AD41" s="42"/>
      <c r="AF41" s="1"/>
      <c r="AG41" s="1"/>
      <c r="AH41" s="1"/>
      <c r="AI41" s="1"/>
      <c r="AJ41" s="1"/>
      <c r="AK41" s="1"/>
    </row>
    <row r="42" spans="2:37" x14ac:dyDescent="0.25">
      <c r="B42" s="40"/>
      <c r="C42" s="72">
        <f t="shared" si="4"/>
        <v>8.25</v>
      </c>
      <c r="D42" s="64">
        <v>8.1473992035942402</v>
      </c>
      <c r="E42" s="73">
        <v>77.758259823670087</v>
      </c>
      <c r="F42" s="41"/>
      <c r="G42" s="80">
        <f t="shared" si="0"/>
        <v>9.5439363998964097</v>
      </c>
      <c r="H42" s="83">
        <v>15.87232769368476</v>
      </c>
      <c r="I42" s="12">
        <v>9.0510622505704017</v>
      </c>
      <c r="J42" s="85">
        <v>143.66142601699329</v>
      </c>
      <c r="K42" s="41"/>
      <c r="L42" s="83">
        <v>15.87232769368476</v>
      </c>
      <c r="M42" s="64">
        <v>9.0510622505704017</v>
      </c>
      <c r="N42" s="73">
        <v>143.66142601699329</v>
      </c>
      <c r="O42" s="41"/>
      <c r="P42" s="83">
        <f t="shared" si="1"/>
        <v>2.2627655626426004</v>
      </c>
      <c r="Q42" s="85">
        <f t="shared" si="2"/>
        <v>35.915356504248322</v>
      </c>
      <c r="R42" s="12"/>
      <c r="S42" s="89">
        <f t="shared" si="5"/>
        <v>7.3822863310549873E-3</v>
      </c>
      <c r="T42" s="90">
        <f t="shared" si="3"/>
        <v>8.497688280173778E-3</v>
      </c>
      <c r="U42" s="41"/>
      <c r="V42" s="89">
        <f t="shared" si="6"/>
        <v>0.32001966724065117</v>
      </c>
      <c r="W42" s="90">
        <f t="shared" si="7"/>
        <v>0.45430225913543426</v>
      </c>
      <c r="X42" s="41"/>
      <c r="Y42" s="9"/>
      <c r="Z42" s="9"/>
      <c r="AA42" s="9"/>
      <c r="AB42" s="9"/>
      <c r="AC42" s="41"/>
      <c r="AD42" s="42"/>
      <c r="AF42" s="1"/>
      <c r="AG42" s="1"/>
      <c r="AH42" s="1"/>
      <c r="AI42" s="1"/>
      <c r="AJ42" s="1"/>
      <c r="AK42" s="1"/>
    </row>
    <row r="43" spans="2:37" x14ac:dyDescent="0.25">
      <c r="B43" s="40"/>
      <c r="C43" s="72">
        <f t="shared" si="4"/>
        <v>8.5</v>
      </c>
      <c r="D43" s="64">
        <v>8.0603061723883602</v>
      </c>
      <c r="E43" s="73">
        <v>138.81666117368223</v>
      </c>
      <c r="F43" s="41"/>
      <c r="G43" s="80">
        <f t="shared" si="0"/>
        <v>17.222256599782398</v>
      </c>
      <c r="H43" s="83">
        <v>15.657479688012776</v>
      </c>
      <c r="I43" s="12">
        <v>15.690487837099042</v>
      </c>
      <c r="J43" s="85">
        <v>245.67349460438976</v>
      </c>
      <c r="K43" s="41"/>
      <c r="L43" s="83">
        <v>15.657479688012776</v>
      </c>
      <c r="M43" s="64">
        <v>15.690487837099042</v>
      </c>
      <c r="N43" s="73">
        <v>245.67349460438976</v>
      </c>
      <c r="O43" s="41"/>
      <c r="P43" s="83">
        <f t="shared" si="1"/>
        <v>3.9226219592747604</v>
      </c>
      <c r="Q43" s="85">
        <f t="shared" si="2"/>
        <v>61.41837365109744</v>
      </c>
      <c r="R43" s="12"/>
      <c r="S43" s="89">
        <f t="shared" si="5"/>
        <v>1.2797577862211812E-2</v>
      </c>
      <c r="T43" s="90">
        <f t="shared" si="3"/>
        <v>1.453178374828408E-2</v>
      </c>
      <c r="U43" s="41"/>
      <c r="V43" s="89">
        <f t="shared" si="6"/>
        <v>0.33281724510286298</v>
      </c>
      <c r="W43" s="90">
        <f t="shared" si="7"/>
        <v>0.46883404288371833</v>
      </c>
      <c r="X43" s="41"/>
      <c r="Y43" s="9"/>
      <c r="Z43" s="9"/>
      <c r="AA43" s="9"/>
      <c r="AB43" s="9"/>
      <c r="AC43" s="41"/>
      <c r="AD43" s="42"/>
      <c r="AF43" s="1"/>
      <c r="AG43" s="1"/>
      <c r="AH43" s="1"/>
      <c r="AI43" s="1"/>
      <c r="AJ43" s="1"/>
      <c r="AK43" s="1"/>
    </row>
    <row r="44" spans="2:37" x14ac:dyDescent="0.25">
      <c r="B44" s="40"/>
      <c r="C44" s="72">
        <f t="shared" si="4"/>
        <v>8.75</v>
      </c>
      <c r="D44" s="64">
        <v>10.657028379531884</v>
      </c>
      <c r="E44" s="73">
        <v>116.58495239660681</v>
      </c>
      <c r="F44" s="41"/>
      <c r="G44" s="80">
        <f t="shared" si="0"/>
        <v>10.9397243063106</v>
      </c>
      <c r="H44" s="83">
        <v>15.647137529833143</v>
      </c>
      <c r="I44" s="12">
        <v>14.985383780803165</v>
      </c>
      <c r="J44" s="85">
        <v>234.47836095555809</v>
      </c>
      <c r="K44" s="41"/>
      <c r="L44" s="83">
        <v>15.647137529833143</v>
      </c>
      <c r="M44" s="64">
        <v>14.985383780803165</v>
      </c>
      <c r="N44" s="73">
        <v>234.47836095555809</v>
      </c>
      <c r="O44" s="41"/>
      <c r="P44" s="83">
        <f t="shared" si="1"/>
        <v>3.7463459452007912</v>
      </c>
      <c r="Q44" s="85">
        <f t="shared" si="2"/>
        <v>58.619590238889522</v>
      </c>
      <c r="R44" s="12"/>
      <c r="S44" s="89">
        <f t="shared" si="5"/>
        <v>1.2222476300355197E-2</v>
      </c>
      <c r="T44" s="90">
        <f t="shared" si="3"/>
        <v>1.3869582636682953E-2</v>
      </c>
      <c r="U44" s="41"/>
      <c r="V44" s="89">
        <f t="shared" si="6"/>
        <v>0.3450397214032182</v>
      </c>
      <c r="W44" s="90">
        <f t="shared" si="7"/>
        <v>0.4827036255204013</v>
      </c>
      <c r="X44" s="41"/>
      <c r="Y44" s="41"/>
      <c r="Z44" s="41"/>
      <c r="AA44" s="41"/>
      <c r="AB44" s="41"/>
      <c r="AC44" s="41"/>
      <c r="AD44" s="42"/>
      <c r="AF44" s="1"/>
      <c r="AG44" s="1"/>
      <c r="AH44" s="1"/>
      <c r="AI44" s="1"/>
      <c r="AJ44" s="1"/>
      <c r="AK44" s="1"/>
    </row>
    <row r="45" spans="2:37" x14ac:dyDescent="0.25">
      <c r="B45" s="40"/>
      <c r="C45" s="72">
        <f t="shared" si="4"/>
        <v>9</v>
      </c>
      <c r="D45" s="64">
        <v>18.460821888761412</v>
      </c>
      <c r="E45" s="73">
        <v>213.74435059334965</v>
      </c>
      <c r="F45" s="41"/>
      <c r="G45" s="80">
        <f t="shared" si="0"/>
        <v>11.578268393536316</v>
      </c>
      <c r="H45" s="83">
        <v>15.276775558935208</v>
      </c>
      <c r="I45" s="12">
        <v>8.9626253776113387</v>
      </c>
      <c r="J45" s="85">
        <v>136.92001631258535</v>
      </c>
      <c r="K45" s="41"/>
      <c r="L45" s="83">
        <v>15.276775558935208</v>
      </c>
      <c r="M45" s="64">
        <v>8.9626253776113387</v>
      </c>
      <c r="N45" s="73">
        <v>136.92001631258535</v>
      </c>
      <c r="O45" s="41"/>
      <c r="P45" s="83">
        <f t="shared" si="1"/>
        <v>2.2406563444028347</v>
      </c>
      <c r="Q45" s="85">
        <f t="shared" si="2"/>
        <v>34.230004078146337</v>
      </c>
      <c r="R45" s="12"/>
      <c r="S45" s="89">
        <f t="shared" si="5"/>
        <v>7.3101548728534051E-3</v>
      </c>
      <c r="T45" s="90">
        <f t="shared" si="3"/>
        <v>8.0989285029304352E-3</v>
      </c>
      <c r="U45" s="41"/>
      <c r="V45" s="89">
        <f t="shared" si="6"/>
        <v>0.35234987627607162</v>
      </c>
      <c r="W45" s="90">
        <f t="shared" si="7"/>
        <v>0.49080255402333173</v>
      </c>
      <c r="X45" s="41"/>
      <c r="Z45" s="41"/>
      <c r="AA45" s="41"/>
      <c r="AB45" s="41"/>
      <c r="AC45" s="41"/>
      <c r="AD45" s="42"/>
      <c r="AF45" s="1"/>
      <c r="AG45" s="1"/>
      <c r="AH45" s="1"/>
      <c r="AI45" s="1"/>
      <c r="AJ45" s="1"/>
      <c r="AK45" s="1"/>
    </row>
    <row r="46" spans="2:37" x14ac:dyDescent="0.25">
      <c r="B46" s="40"/>
      <c r="C46" s="72">
        <f t="shared" si="4"/>
        <v>9.25</v>
      </c>
      <c r="D46" s="64">
        <v>9.0668324945284269</v>
      </c>
      <c r="E46" s="73">
        <v>54.31821533495043</v>
      </c>
      <c r="F46" s="41"/>
      <c r="G46" s="80">
        <f t="shared" si="0"/>
        <v>5.9908700604902441</v>
      </c>
      <c r="H46" s="83">
        <v>15.024534814581237</v>
      </c>
      <c r="I46" s="12">
        <v>5.7765030515772482</v>
      </c>
      <c r="J46" s="85">
        <v>86.789271204957117</v>
      </c>
      <c r="K46" s="41"/>
      <c r="L46" s="83">
        <v>15.024534814581237</v>
      </c>
      <c r="M46" s="64">
        <v>5.7765030515772482</v>
      </c>
      <c r="N46" s="73">
        <v>86.789271204957117</v>
      </c>
      <c r="O46" s="41"/>
      <c r="P46" s="83">
        <f t="shared" si="1"/>
        <v>1.444125762894312</v>
      </c>
      <c r="Q46" s="85">
        <f t="shared" si="2"/>
        <v>21.697317801239279</v>
      </c>
      <c r="R46" s="12"/>
      <c r="S46" s="89">
        <f t="shared" si="5"/>
        <v>4.7114690340648918E-3</v>
      </c>
      <c r="T46" s="90">
        <f t="shared" si="3"/>
        <v>5.1336548244756393E-3</v>
      </c>
      <c r="U46" s="41"/>
      <c r="V46" s="89">
        <f t="shared" si="6"/>
        <v>0.3570613453101365</v>
      </c>
      <c r="W46" s="90">
        <f t="shared" si="7"/>
        <v>0.49593620884780737</v>
      </c>
      <c r="X46" s="41"/>
      <c r="Y46" s="9"/>
      <c r="Z46" s="9"/>
      <c r="AA46" s="9"/>
      <c r="AB46" s="9"/>
      <c r="AC46" s="9"/>
      <c r="AD46" s="42"/>
      <c r="AF46" s="1"/>
      <c r="AG46" s="1"/>
      <c r="AH46" s="1"/>
      <c r="AI46" s="1"/>
      <c r="AJ46" s="1"/>
      <c r="AK46" s="1"/>
    </row>
    <row r="47" spans="2:37" x14ac:dyDescent="0.25">
      <c r="B47" s="40"/>
      <c r="C47" s="72">
        <f t="shared" si="4"/>
        <v>9.5</v>
      </c>
      <c r="D47" s="64">
        <v>14.810296408060026</v>
      </c>
      <c r="E47" s="73">
        <v>190.91878181421157</v>
      </c>
      <c r="F47" s="41"/>
      <c r="G47" s="80">
        <f t="shared" si="0"/>
        <v>12.890949414780799</v>
      </c>
      <c r="H47" s="83">
        <v>14.722960543316189</v>
      </c>
      <c r="I47" s="12">
        <v>12.551588491107971</v>
      </c>
      <c r="J47" s="85">
        <v>184.79654211052423</v>
      </c>
      <c r="K47" s="41"/>
      <c r="L47" s="83">
        <v>14.722960543316189</v>
      </c>
      <c r="M47" s="64">
        <v>12.551588491107971</v>
      </c>
      <c r="N47" s="73">
        <v>184.79654211052423</v>
      </c>
      <c r="O47" s="41"/>
      <c r="P47" s="83">
        <f t="shared" si="1"/>
        <v>3.1378971227769927</v>
      </c>
      <c r="Q47" s="85">
        <f t="shared" si="2"/>
        <v>46.199135527631057</v>
      </c>
      <c r="R47" s="12"/>
      <c r="S47" s="89">
        <f t="shared" si="5"/>
        <v>1.0237408337910175E-2</v>
      </c>
      <c r="T47" s="90">
        <f t="shared" si="3"/>
        <v>1.0930863305808272E-2</v>
      </c>
      <c r="U47" s="41"/>
      <c r="V47" s="89">
        <f t="shared" si="6"/>
        <v>0.36729875364804665</v>
      </c>
      <c r="W47" s="90">
        <f t="shared" si="7"/>
        <v>0.50686707215361559</v>
      </c>
      <c r="X47" s="41"/>
      <c r="Y47" s="9"/>
      <c r="Z47" s="9"/>
      <c r="AA47" s="9"/>
      <c r="AB47" s="9"/>
      <c r="AC47" s="9"/>
      <c r="AD47" s="42"/>
      <c r="AF47" s="1"/>
      <c r="AG47" s="1"/>
      <c r="AH47" s="1"/>
      <c r="AI47" s="1"/>
      <c r="AJ47" s="1"/>
      <c r="AK47" s="1"/>
    </row>
    <row r="48" spans="2:37" x14ac:dyDescent="0.25">
      <c r="B48" s="40"/>
      <c r="C48" s="72">
        <f t="shared" si="4"/>
        <v>9.75</v>
      </c>
      <c r="D48" s="64">
        <v>8.9016211530471239</v>
      </c>
      <c r="E48" s="73">
        <v>60.992737943747514</v>
      </c>
      <c r="F48" s="41"/>
      <c r="G48" s="80">
        <f t="shared" si="0"/>
        <v>6.8518685411442188</v>
      </c>
      <c r="H48" s="83">
        <v>14.521733208911728</v>
      </c>
      <c r="I48" s="12">
        <v>9.0963862153573878</v>
      </c>
      <c r="J48" s="85">
        <v>132.09529378464225</v>
      </c>
      <c r="K48" s="41"/>
      <c r="L48" s="83">
        <v>14.521733208911728</v>
      </c>
      <c r="M48" s="64">
        <v>9.0963862153573878</v>
      </c>
      <c r="N48" s="73">
        <v>132.09529378464225</v>
      </c>
      <c r="O48" s="41"/>
      <c r="P48" s="83">
        <f t="shared" si="1"/>
        <v>2.2740965538393469</v>
      </c>
      <c r="Q48" s="85">
        <f t="shared" si="2"/>
        <v>33.023823446160563</v>
      </c>
      <c r="R48" s="12"/>
      <c r="S48" s="89">
        <f t="shared" si="5"/>
        <v>7.4192537583528265E-3</v>
      </c>
      <c r="T48" s="90">
        <f t="shared" si="3"/>
        <v>7.813542305553119E-3</v>
      </c>
      <c r="U48" s="41"/>
      <c r="V48" s="89">
        <f t="shared" si="6"/>
        <v>0.37471800740639949</v>
      </c>
      <c r="W48" s="90">
        <f t="shared" si="7"/>
        <v>0.51468061445916868</v>
      </c>
      <c r="X48" s="41"/>
      <c r="Y48" s="9"/>
      <c r="Z48" s="9"/>
      <c r="AA48" s="9"/>
      <c r="AB48" s="9"/>
      <c r="AC48" s="9"/>
      <c r="AD48" s="42"/>
      <c r="AF48" s="1"/>
      <c r="AG48" s="1"/>
      <c r="AH48" s="1"/>
      <c r="AI48" s="1"/>
      <c r="AJ48" s="1"/>
      <c r="AK48" s="1"/>
    </row>
    <row r="49" spans="2:37" x14ac:dyDescent="0.25">
      <c r="B49" s="40"/>
      <c r="C49" s="72">
        <f t="shared" si="4"/>
        <v>10</v>
      </c>
      <c r="D49" s="64">
        <v>10.531694119592114</v>
      </c>
      <c r="E49" s="73">
        <v>205.09198421674003</v>
      </c>
      <c r="F49" s="41"/>
      <c r="G49" s="80">
        <f t="shared" si="0"/>
        <v>19.473788536566719</v>
      </c>
      <c r="H49" s="83">
        <v>14.41191865366944</v>
      </c>
      <c r="I49" s="12">
        <v>15.779465720490016</v>
      </c>
      <c r="J49" s="85">
        <v>227.41237636206756</v>
      </c>
      <c r="K49" s="41"/>
      <c r="L49" s="83">
        <v>14.41191865366944</v>
      </c>
      <c r="M49" s="64">
        <v>15.779465720490016</v>
      </c>
      <c r="N49" s="73">
        <v>227.41237636206756</v>
      </c>
      <c r="O49" s="41"/>
      <c r="P49" s="83">
        <f t="shared" si="1"/>
        <v>3.944866430122504</v>
      </c>
      <c r="Q49" s="85">
        <f t="shared" si="2"/>
        <v>56.85309409051689</v>
      </c>
      <c r="R49" s="12"/>
      <c r="S49" s="89">
        <f t="shared" si="5"/>
        <v>1.2870150582864793E-2</v>
      </c>
      <c r="T49" s="90">
        <f t="shared" si="3"/>
        <v>1.3451623995085657E-2</v>
      </c>
      <c r="U49" s="41"/>
      <c r="V49" s="89">
        <f t="shared" si="6"/>
        <v>0.38758815798926427</v>
      </c>
      <c r="W49" s="90">
        <f t="shared" si="7"/>
        <v>0.52813223845425439</v>
      </c>
      <c r="X49" s="41"/>
      <c r="Y49" s="9"/>
      <c r="Z49" s="9"/>
      <c r="AA49" s="9"/>
      <c r="AB49" s="9"/>
      <c r="AC49" s="9"/>
      <c r="AD49" s="42"/>
      <c r="AF49" s="1"/>
      <c r="AG49" s="1"/>
      <c r="AH49" s="1"/>
      <c r="AI49" s="1"/>
      <c r="AJ49" s="1"/>
      <c r="AK49" s="1"/>
    </row>
    <row r="50" spans="2:37" x14ac:dyDescent="0.25">
      <c r="B50" s="40"/>
      <c r="C50" s="72">
        <f t="shared" si="4"/>
        <v>10.25</v>
      </c>
      <c r="D50" s="64">
        <v>9.0963862153573878</v>
      </c>
      <c r="E50" s="73">
        <v>132.09529378464225</v>
      </c>
      <c r="F50" s="41"/>
      <c r="G50" s="80">
        <f t="shared" si="0"/>
        <v>14.521733208911728</v>
      </c>
      <c r="H50" s="83">
        <v>14.389617191901365</v>
      </c>
      <c r="I50" s="12">
        <v>4.1072223837238084</v>
      </c>
      <c r="J50" s="85">
        <v>59.101357823794217</v>
      </c>
      <c r="K50" s="41"/>
      <c r="L50" s="83">
        <v>14.389617191901365</v>
      </c>
      <c r="M50" s="64">
        <v>4.1072223837238084</v>
      </c>
      <c r="N50" s="73">
        <v>59.101357823794217</v>
      </c>
      <c r="O50" s="41"/>
      <c r="P50" s="83">
        <f t="shared" si="1"/>
        <v>1.0268055959309521</v>
      </c>
      <c r="Q50" s="85">
        <f t="shared" si="2"/>
        <v>14.775339455948554</v>
      </c>
      <c r="R50" s="12"/>
      <c r="S50" s="89">
        <f t="shared" si="5"/>
        <v>3.349959465813698E-3</v>
      </c>
      <c r="T50" s="90">
        <f t="shared" si="3"/>
        <v>3.4958925972390547E-3</v>
      </c>
      <c r="U50" s="41"/>
      <c r="V50" s="89">
        <f t="shared" si="6"/>
        <v>0.39093811745507795</v>
      </c>
      <c r="W50" s="90">
        <f t="shared" si="7"/>
        <v>0.53162813105149342</v>
      </c>
      <c r="X50" s="41"/>
      <c r="Y50" s="9"/>
      <c r="Z50" s="9"/>
      <c r="AA50" s="9"/>
      <c r="AB50" s="9"/>
      <c r="AC50" s="9"/>
      <c r="AD50" s="42"/>
      <c r="AF50" s="1"/>
      <c r="AG50" s="1"/>
      <c r="AH50" s="1"/>
      <c r="AI50" s="1"/>
      <c r="AJ50" s="1"/>
      <c r="AK50" s="1"/>
    </row>
    <row r="51" spans="2:37" x14ac:dyDescent="0.25">
      <c r="B51" s="40"/>
      <c r="C51" s="72">
        <f t="shared" si="4"/>
        <v>10.5</v>
      </c>
      <c r="D51" s="64">
        <v>9.0267876216939058</v>
      </c>
      <c r="E51" s="73">
        <v>66.921252145170115</v>
      </c>
      <c r="F51" s="41"/>
      <c r="G51" s="80">
        <f t="shared" si="0"/>
        <v>7.4136287403438574</v>
      </c>
      <c r="H51" s="83">
        <v>14.373552275108137</v>
      </c>
      <c r="I51" s="12">
        <v>7.1458906633533941</v>
      </c>
      <c r="J51" s="85">
        <v>102.71183300191717</v>
      </c>
      <c r="K51" s="41"/>
      <c r="L51" s="83">
        <v>14.373552275108137</v>
      </c>
      <c r="M51" s="64">
        <v>7.1458906633533941</v>
      </c>
      <c r="N51" s="73">
        <v>102.71183300191717</v>
      </c>
      <c r="O51" s="41"/>
      <c r="P51" s="83">
        <f t="shared" si="1"/>
        <v>1.7864726658383485</v>
      </c>
      <c r="Q51" s="85">
        <f t="shared" si="2"/>
        <v>25.677958250479293</v>
      </c>
      <c r="R51" s="12"/>
      <c r="S51" s="89">
        <f t="shared" si="5"/>
        <v>5.8283778750900421E-3</v>
      </c>
      <c r="T51" s="90">
        <f t="shared" si="3"/>
        <v>6.0754870930510973E-3</v>
      </c>
      <c r="U51" s="41"/>
      <c r="V51" s="89">
        <f t="shared" si="6"/>
        <v>0.396766495330168</v>
      </c>
      <c r="W51" s="90">
        <f t="shared" si="7"/>
        <v>0.53770361814454448</v>
      </c>
      <c r="X51" s="41"/>
      <c r="Y51" s="9"/>
      <c r="Z51" s="9"/>
      <c r="AA51" s="9"/>
      <c r="AB51" s="9"/>
      <c r="AC51" s="9"/>
      <c r="AD51" s="42"/>
      <c r="AF51" s="1"/>
      <c r="AG51" s="1"/>
      <c r="AH51" s="1"/>
      <c r="AI51" s="1"/>
      <c r="AJ51" s="1"/>
      <c r="AK51" s="1"/>
    </row>
    <row r="52" spans="2:37" x14ac:dyDescent="0.25">
      <c r="B52" s="40"/>
      <c r="C52" s="72">
        <f t="shared" si="4"/>
        <v>10.75</v>
      </c>
      <c r="D52" s="64">
        <v>5.2956026150083231</v>
      </c>
      <c r="E52" s="73">
        <v>56.328058117193933</v>
      </c>
      <c r="F52" s="41"/>
      <c r="G52" s="80">
        <f t="shared" si="0"/>
        <v>10.636760764025984</v>
      </c>
      <c r="H52" s="83">
        <v>14.180286483763577</v>
      </c>
      <c r="I52" s="12">
        <v>11.356849799992439</v>
      </c>
      <c r="J52" s="85">
        <v>161.04338371696588</v>
      </c>
      <c r="K52" s="41"/>
      <c r="L52" s="83">
        <v>14.180286483763577</v>
      </c>
      <c r="M52" s="64">
        <v>11.356849799992439</v>
      </c>
      <c r="N52" s="73">
        <v>161.04338371696588</v>
      </c>
      <c r="O52" s="41"/>
      <c r="P52" s="83">
        <f t="shared" si="1"/>
        <v>2.8392124499981097</v>
      </c>
      <c r="Q52" s="85">
        <f t="shared" si="2"/>
        <v>40.260845929241469</v>
      </c>
      <c r="R52" s="12"/>
      <c r="S52" s="89">
        <f t="shared" si="5"/>
        <v>9.2629477868241532E-3</v>
      </c>
      <c r="T52" s="90">
        <f t="shared" si="3"/>
        <v>9.5258449839507667E-3</v>
      </c>
      <c r="U52" s="41"/>
      <c r="V52" s="89">
        <f t="shared" si="6"/>
        <v>0.40602944311699213</v>
      </c>
      <c r="W52" s="90">
        <f t="shared" si="7"/>
        <v>0.5472294631284953</v>
      </c>
      <c r="X52" s="41"/>
      <c r="Y52" s="9"/>
      <c r="Z52" s="9"/>
      <c r="AA52" s="9"/>
      <c r="AB52" s="9"/>
      <c r="AC52" s="9"/>
      <c r="AD52" s="42"/>
      <c r="AF52" s="1"/>
      <c r="AG52" s="1"/>
      <c r="AH52" s="1"/>
      <c r="AI52" s="1"/>
      <c r="AJ52" s="1"/>
      <c r="AK52" s="1"/>
    </row>
    <row r="53" spans="2:37" x14ac:dyDescent="0.25">
      <c r="B53" s="40"/>
      <c r="C53" s="72">
        <f t="shared" si="4"/>
        <v>11</v>
      </c>
      <c r="D53" s="64">
        <v>9.9672995735711911</v>
      </c>
      <c r="E53" s="73">
        <v>108.59601885406906</v>
      </c>
      <c r="F53" s="41"/>
      <c r="G53" s="80">
        <f t="shared" si="0"/>
        <v>10.895229751297634</v>
      </c>
      <c r="H53" s="83">
        <v>14.136256517806078</v>
      </c>
      <c r="I53" s="12">
        <v>9.5314537590331962</v>
      </c>
      <c r="J53" s="85">
        <v>134.73907532530026</v>
      </c>
      <c r="K53" s="41"/>
      <c r="L53" s="83">
        <v>14.136256517806078</v>
      </c>
      <c r="M53" s="64">
        <v>9.5314537590331962</v>
      </c>
      <c r="N53" s="73">
        <v>134.73907532530026</v>
      </c>
      <c r="O53" s="41"/>
      <c r="P53" s="83">
        <f t="shared" si="1"/>
        <v>2.3828634397582991</v>
      </c>
      <c r="Q53" s="85">
        <f t="shared" si="2"/>
        <v>33.684768831325066</v>
      </c>
      <c r="R53" s="12"/>
      <c r="S53" s="89">
        <f t="shared" si="5"/>
        <v>7.7741063813762936E-3</v>
      </c>
      <c r="T53" s="90">
        <f t="shared" si="3"/>
        <v>7.9699240987474301E-3</v>
      </c>
      <c r="U53" s="41"/>
      <c r="V53" s="89">
        <f t="shared" si="6"/>
        <v>0.41380354949836839</v>
      </c>
      <c r="W53" s="90">
        <f t="shared" si="7"/>
        <v>0.55519938722724271</v>
      </c>
      <c r="X53" s="41"/>
      <c r="Y53" s="9"/>
      <c r="Z53" s="9"/>
      <c r="AA53" s="9"/>
      <c r="AB53" s="9"/>
      <c r="AC53" s="9"/>
      <c r="AD53" s="42"/>
      <c r="AF53" s="1"/>
      <c r="AG53" s="1"/>
      <c r="AH53" s="1"/>
      <c r="AI53" s="1"/>
      <c r="AJ53" s="1"/>
      <c r="AK53" s="1"/>
    </row>
    <row r="54" spans="2:37" x14ac:dyDescent="0.25">
      <c r="B54" s="40"/>
      <c r="C54" s="72">
        <f t="shared" si="4"/>
        <v>11.25</v>
      </c>
      <c r="D54" s="64">
        <v>14.129105370998179</v>
      </c>
      <c r="E54" s="73">
        <v>285.3406505068175</v>
      </c>
      <c r="F54" s="41"/>
      <c r="G54" s="80">
        <f t="shared" si="0"/>
        <v>20.195238340604082</v>
      </c>
      <c r="H54" s="83">
        <v>14.060902021804651</v>
      </c>
      <c r="I54" s="12">
        <v>7.5638095852330398</v>
      </c>
      <c r="J54" s="85">
        <v>106.35398548954865</v>
      </c>
      <c r="K54" s="41"/>
      <c r="L54" s="83">
        <v>14.060902021804651</v>
      </c>
      <c r="M54" s="64">
        <v>7.5638095852330398</v>
      </c>
      <c r="N54" s="73">
        <v>106.35398548954865</v>
      </c>
      <c r="O54" s="41"/>
      <c r="P54" s="83">
        <f t="shared" si="1"/>
        <v>1.89095239630826</v>
      </c>
      <c r="Q54" s="85">
        <f t="shared" si="2"/>
        <v>26.588496372387162</v>
      </c>
      <c r="R54" s="12"/>
      <c r="S54" s="89">
        <f t="shared" si="5"/>
        <v>6.1692436275366039E-3</v>
      </c>
      <c r="T54" s="90">
        <f t="shared" si="3"/>
        <v>6.2909233264704344E-3</v>
      </c>
      <c r="U54" s="41"/>
      <c r="V54" s="89">
        <f t="shared" si="6"/>
        <v>0.41997279312590502</v>
      </c>
      <c r="W54" s="90">
        <f t="shared" si="7"/>
        <v>0.56149031055371312</v>
      </c>
      <c r="X54" s="41"/>
      <c r="Y54" s="9"/>
      <c r="Z54" s="9"/>
      <c r="AA54" s="9"/>
      <c r="AB54" s="9"/>
      <c r="AC54" s="9"/>
      <c r="AD54" s="42"/>
      <c r="AF54" s="1"/>
      <c r="AG54" s="1"/>
      <c r="AH54" s="1"/>
      <c r="AI54" s="1"/>
      <c r="AJ54" s="1"/>
      <c r="AK54" s="1"/>
    </row>
    <row r="55" spans="2:37" x14ac:dyDescent="0.25">
      <c r="B55" s="40"/>
      <c r="C55" s="72">
        <f t="shared" si="4"/>
        <v>11.5</v>
      </c>
      <c r="D55" s="64">
        <v>7.5638095852330398</v>
      </c>
      <c r="E55" s="73">
        <v>106.35398548954865</v>
      </c>
      <c r="F55" s="41"/>
      <c r="G55" s="80">
        <f t="shared" si="0"/>
        <v>14.060902021804651</v>
      </c>
      <c r="H55" s="83">
        <v>13.963123876401333</v>
      </c>
      <c r="I55" s="12">
        <v>9.4244035050068824</v>
      </c>
      <c r="J55" s="85">
        <v>131.594113601602</v>
      </c>
      <c r="K55" s="41"/>
      <c r="L55" s="83">
        <v>13.963123876401333</v>
      </c>
      <c r="M55" s="64">
        <v>9.4244035050068824</v>
      </c>
      <c r="N55" s="73">
        <v>131.594113601602</v>
      </c>
      <c r="O55" s="41"/>
      <c r="P55" s="83">
        <f t="shared" si="1"/>
        <v>2.3561008762517206</v>
      </c>
      <c r="Q55" s="85">
        <f t="shared" si="2"/>
        <v>32.898528400400501</v>
      </c>
      <c r="R55" s="12"/>
      <c r="S55" s="89">
        <f t="shared" si="5"/>
        <v>7.686793356102976E-3</v>
      </c>
      <c r="T55" s="90">
        <f t="shared" si="3"/>
        <v>7.783897096774719E-3</v>
      </c>
      <c r="U55" s="41"/>
      <c r="V55" s="89">
        <f t="shared" si="6"/>
        <v>0.42765958648200797</v>
      </c>
      <c r="W55" s="90">
        <f t="shared" si="7"/>
        <v>0.56927420765048786</v>
      </c>
      <c r="X55" s="41"/>
      <c r="Y55" s="9"/>
      <c r="Z55" s="9"/>
      <c r="AA55" s="9"/>
      <c r="AB55" s="9"/>
      <c r="AC55" s="9"/>
      <c r="AD55" s="42"/>
      <c r="AF55" s="1"/>
      <c r="AG55" s="1"/>
      <c r="AH55" s="1"/>
      <c r="AI55" s="1"/>
      <c r="AJ55" s="1"/>
      <c r="AK55" s="1"/>
    </row>
    <row r="56" spans="2:37" ht="15.75" thickBot="1" x14ac:dyDescent="0.3">
      <c r="B56" s="40"/>
      <c r="C56" s="72">
        <f t="shared" si="4"/>
        <v>11.75</v>
      </c>
      <c r="D56" s="64">
        <v>10.424296794341819</v>
      </c>
      <c r="E56" s="73">
        <v>133.15716083186481</v>
      </c>
      <c r="F56" s="41"/>
      <c r="G56" s="80">
        <f t="shared" si="0"/>
        <v>12.773730780971325</v>
      </c>
      <c r="H56" s="83">
        <v>13.701297458548099</v>
      </c>
      <c r="I56" s="12">
        <v>6.1946507245862588</v>
      </c>
      <c r="J56" s="85">
        <v>84.874752229366848</v>
      </c>
      <c r="K56" s="41"/>
      <c r="L56" s="83">
        <v>13.701297458548099</v>
      </c>
      <c r="M56" s="64">
        <v>6.1946507245862588</v>
      </c>
      <c r="N56" s="73">
        <v>84.874752229366848</v>
      </c>
      <c r="O56" s="41"/>
      <c r="P56" s="83">
        <f t="shared" si="1"/>
        <v>1.5486626811465647</v>
      </c>
      <c r="Q56" s="85">
        <f t="shared" si="2"/>
        <v>21.218688057341712</v>
      </c>
      <c r="R56" s="12"/>
      <c r="S56" s="89">
        <f t="shared" si="5"/>
        <v>5.0525213619971561E-3</v>
      </c>
      <c r="T56" s="90">
        <f t="shared" si="3"/>
        <v>5.0204094954259372E-3</v>
      </c>
      <c r="U56" s="41"/>
      <c r="V56" s="89">
        <f t="shared" si="6"/>
        <v>0.4327121078440051</v>
      </c>
      <c r="W56" s="90">
        <f t="shared" si="7"/>
        <v>0.57429461714591379</v>
      </c>
      <c r="X56" s="41"/>
      <c r="Y56" s="9"/>
      <c r="Z56" s="9"/>
      <c r="AA56" s="9"/>
      <c r="AB56" s="9"/>
      <c r="AC56" s="9"/>
      <c r="AD56" s="42"/>
      <c r="AF56" s="1"/>
      <c r="AG56" s="1"/>
      <c r="AH56" s="1"/>
      <c r="AI56" s="1"/>
      <c r="AJ56" s="1"/>
      <c r="AK56" s="1"/>
    </row>
    <row r="57" spans="2:37" ht="15.75" thickBot="1" x14ac:dyDescent="0.3">
      <c r="B57" s="40"/>
      <c r="C57" s="72">
        <f t="shared" si="4"/>
        <v>12</v>
      </c>
      <c r="D57" s="64">
        <v>13.699106316952784</v>
      </c>
      <c r="E57" s="73">
        <v>179.73103182176146</v>
      </c>
      <c r="F57" s="41"/>
      <c r="G57" s="80">
        <f t="shared" si="0"/>
        <v>13.119909260018114</v>
      </c>
      <c r="H57" s="83">
        <v>13.295910447564079</v>
      </c>
      <c r="I57" s="12">
        <v>19.434158598371354</v>
      </c>
      <c r="J57" s="85">
        <v>258.39483234770296</v>
      </c>
      <c r="K57" s="41"/>
      <c r="L57" s="83">
        <v>13.295910447564079</v>
      </c>
      <c r="M57" s="64">
        <v>19.434158598371354</v>
      </c>
      <c r="N57" s="73">
        <v>258.39483234770296</v>
      </c>
      <c r="O57" s="41"/>
      <c r="P57" s="83">
        <f t="shared" si="1"/>
        <v>4.8585396495928386</v>
      </c>
      <c r="Q57" s="85">
        <f t="shared" si="2"/>
        <v>64.59870808692574</v>
      </c>
      <c r="R57" s="12"/>
      <c r="S57" s="89">
        <f t="shared" si="5"/>
        <v>1.5851014986364736E-2</v>
      </c>
      <c r="T57" s="90">
        <f t="shared" si="3"/>
        <v>1.528426105305967E-2</v>
      </c>
      <c r="U57" s="41"/>
      <c r="V57" s="89">
        <f t="shared" si="6"/>
        <v>0.44856312283036981</v>
      </c>
      <c r="W57" s="90">
        <f t="shared" si="7"/>
        <v>0.58957887819897348</v>
      </c>
      <c r="X57" s="41"/>
      <c r="Y57" s="126" t="s">
        <v>80</v>
      </c>
      <c r="Z57" s="127" t="s">
        <v>66</v>
      </c>
      <c r="AB57" s="120" t="s">
        <v>79</v>
      </c>
      <c r="AC57" s="9"/>
      <c r="AD57" s="42"/>
      <c r="AF57" s="1"/>
      <c r="AG57" s="1"/>
      <c r="AH57" s="1"/>
      <c r="AI57" s="1"/>
      <c r="AJ57" s="1"/>
      <c r="AK57" s="1"/>
    </row>
    <row r="58" spans="2:37" ht="15.75" thickBot="1" x14ac:dyDescent="0.3">
      <c r="B58" s="40"/>
      <c r="C58" s="72">
        <f t="shared" si="4"/>
        <v>12.25</v>
      </c>
      <c r="D58" s="64">
        <v>11.877667038631181</v>
      </c>
      <c r="E58" s="73">
        <v>206.71475208449425</v>
      </c>
      <c r="F58" s="41"/>
      <c r="G58" s="80">
        <f t="shared" si="0"/>
        <v>17.403649337211654</v>
      </c>
      <c r="H58" s="83">
        <v>13.119909260018114</v>
      </c>
      <c r="I58" s="12">
        <v>13.699106316952784</v>
      </c>
      <c r="J58" s="85">
        <v>179.73103182176146</v>
      </c>
      <c r="K58" s="41"/>
      <c r="L58" s="83">
        <v>13.119909260018114</v>
      </c>
      <c r="M58" s="64">
        <v>13.699106316952784</v>
      </c>
      <c r="N58" s="73">
        <v>179.73103182176146</v>
      </c>
      <c r="O58" s="41"/>
      <c r="P58" s="83">
        <f t="shared" si="1"/>
        <v>3.4247765792381961</v>
      </c>
      <c r="Q58" s="85">
        <f t="shared" si="2"/>
        <v>44.932757955440366</v>
      </c>
      <c r="R58" s="12"/>
      <c r="S58" s="89">
        <f t="shared" si="5"/>
        <v>1.1173354299373675E-2</v>
      </c>
      <c r="T58" s="90">
        <f t="shared" si="3"/>
        <v>1.0631234319744698E-2</v>
      </c>
      <c r="U58" s="41"/>
      <c r="V58" s="89">
        <f t="shared" si="6"/>
        <v>0.45973647712974347</v>
      </c>
      <c r="W58" s="90">
        <f t="shared" si="7"/>
        <v>0.60021011251871814</v>
      </c>
      <c r="X58" s="41"/>
      <c r="Y58" s="121">
        <f>Z36/4+Z37/3+(Z38-1)/2</f>
        <v>9.7129122400507417E-2</v>
      </c>
      <c r="Z58" s="122">
        <v>0.5</v>
      </c>
      <c r="AA58" s="9"/>
      <c r="AB58" s="100">
        <f>Y58/Z58</f>
        <v>0.19425824480101483</v>
      </c>
      <c r="AC58" s="9"/>
      <c r="AD58" s="42"/>
      <c r="AF58" s="1"/>
      <c r="AG58" s="1"/>
      <c r="AH58" s="1"/>
      <c r="AI58" s="1"/>
      <c r="AJ58" s="1"/>
      <c r="AK58" s="1"/>
    </row>
    <row r="59" spans="2:37" x14ac:dyDescent="0.25">
      <c r="B59" s="40"/>
      <c r="C59" s="72">
        <f t="shared" si="4"/>
        <v>12.5</v>
      </c>
      <c r="D59" s="64">
        <v>11.781449134239638</v>
      </c>
      <c r="E59" s="73">
        <v>141.81532618195874</v>
      </c>
      <c r="F59" s="41"/>
      <c r="G59" s="80">
        <f t="shared" si="0"/>
        <v>12.03717170664603</v>
      </c>
      <c r="H59" s="83">
        <v>12.985718927814993</v>
      </c>
      <c r="I59" s="12">
        <v>7.1369209432562588</v>
      </c>
      <c r="J59" s="85">
        <v>92.678049379162033</v>
      </c>
      <c r="K59" s="41"/>
      <c r="L59" s="83">
        <v>12.985718927814993</v>
      </c>
      <c r="M59" s="64">
        <v>7.1369209432562588</v>
      </c>
      <c r="N59" s="73">
        <v>92.678049379162033</v>
      </c>
      <c r="O59" s="41"/>
      <c r="P59" s="83">
        <f t="shared" si="1"/>
        <v>1.7842302358140647</v>
      </c>
      <c r="Q59" s="85">
        <f t="shared" si="2"/>
        <v>23.169512344790508</v>
      </c>
      <c r="R59" s="12"/>
      <c r="S59" s="89">
        <f t="shared" si="5"/>
        <v>5.8210619335758518E-3</v>
      </c>
      <c r="T59" s="90">
        <f t="shared" si="3"/>
        <v>5.4819807645896191E-3</v>
      </c>
      <c r="U59" s="41"/>
      <c r="V59" s="89">
        <f t="shared" si="6"/>
        <v>0.46555753906331931</v>
      </c>
      <c r="W59" s="90">
        <f t="shared" si="7"/>
        <v>0.60569209328330775</v>
      </c>
      <c r="X59" s="41"/>
      <c r="Y59" s="9"/>
      <c r="Z59" s="9"/>
      <c r="AA59" s="9"/>
      <c r="AB59" s="9"/>
      <c r="AC59" s="9"/>
      <c r="AD59" s="42"/>
      <c r="AF59" s="1"/>
      <c r="AG59" s="1"/>
      <c r="AH59" s="1"/>
      <c r="AI59" s="1"/>
      <c r="AJ59" s="1"/>
      <c r="AK59" s="1"/>
    </row>
    <row r="60" spans="2:37" ht="15.75" thickBot="1" x14ac:dyDescent="0.3">
      <c r="B60" s="40"/>
      <c r="C60" s="72">
        <f t="shared" si="4"/>
        <v>12.75</v>
      </c>
      <c r="D60" s="64">
        <v>14.074325170490827</v>
      </c>
      <c r="E60" s="73">
        <v>131.99187312771195</v>
      </c>
      <c r="F60" s="41"/>
      <c r="G60" s="80">
        <f t="shared" si="0"/>
        <v>9.3782026156717588</v>
      </c>
      <c r="H60" s="83">
        <v>12.890949414780799</v>
      </c>
      <c r="I60" s="12">
        <v>14.810296408060026</v>
      </c>
      <c r="J60" s="85">
        <v>190.91878181421157</v>
      </c>
      <c r="K60" s="41"/>
      <c r="L60" s="83">
        <v>12.890949414780799</v>
      </c>
      <c r="M60" s="64">
        <v>14.810296408060026</v>
      </c>
      <c r="N60" s="73">
        <v>190.91878181421157</v>
      </c>
      <c r="O60" s="41"/>
      <c r="P60" s="83">
        <f t="shared" si="1"/>
        <v>3.7025741020150065</v>
      </c>
      <c r="Q60" s="85">
        <f t="shared" si="2"/>
        <v>47.729695453552893</v>
      </c>
      <c r="R60" s="12"/>
      <c r="S60" s="89">
        <f t="shared" si="5"/>
        <v>1.2079670397273428E-2</v>
      </c>
      <c r="T60" s="90">
        <f t="shared" si="3"/>
        <v>1.129299868216382E-2</v>
      </c>
      <c r="U60" s="41"/>
      <c r="V60" s="89">
        <f t="shared" si="6"/>
        <v>0.47763720946059274</v>
      </c>
      <c r="W60" s="90">
        <f t="shared" si="7"/>
        <v>0.61698509196547158</v>
      </c>
      <c r="X60" s="41"/>
      <c r="Y60" s="9"/>
      <c r="Z60" s="9"/>
      <c r="AA60" s="9"/>
      <c r="AC60" s="9"/>
      <c r="AD60" s="42"/>
      <c r="AF60" s="1"/>
      <c r="AG60" s="1"/>
      <c r="AH60" s="1"/>
      <c r="AI60" s="1"/>
      <c r="AJ60" s="1"/>
      <c r="AK60" s="1"/>
    </row>
    <row r="61" spans="2:37" ht="15.75" thickBot="1" x14ac:dyDescent="0.3">
      <c r="B61" s="40"/>
      <c r="C61" s="72">
        <f t="shared" si="4"/>
        <v>13</v>
      </c>
      <c r="D61" s="64">
        <v>9.0071579127856669</v>
      </c>
      <c r="E61" s="73">
        <v>197.77336362410921</v>
      </c>
      <c r="F61" s="41"/>
      <c r="G61" s="80">
        <f t="shared" si="0"/>
        <v>21.957354976908952</v>
      </c>
      <c r="H61" s="83">
        <v>12.862648931337977</v>
      </c>
      <c r="I61" s="12">
        <v>12.47983916895185</v>
      </c>
      <c r="J61" s="85">
        <v>160.52378994978835</v>
      </c>
      <c r="K61" s="41"/>
      <c r="L61" s="83">
        <v>12.862648931337977</v>
      </c>
      <c r="M61" s="64">
        <v>12.47983916895185</v>
      </c>
      <c r="N61" s="73">
        <v>160.52378994978835</v>
      </c>
      <c r="O61" s="41"/>
      <c r="P61" s="83">
        <f t="shared" si="1"/>
        <v>3.1199597922379625</v>
      </c>
      <c r="Q61" s="85">
        <f t="shared" si="2"/>
        <v>40.130947487447088</v>
      </c>
      <c r="R61" s="12"/>
      <c r="S61" s="89">
        <f t="shared" si="5"/>
        <v>1.0178887688559629E-2</v>
      </c>
      <c r="T61" s="90">
        <f t="shared" si="3"/>
        <v>9.4951105969395058E-3</v>
      </c>
      <c r="U61" s="41"/>
      <c r="V61" s="89">
        <f t="shared" si="6"/>
        <v>0.48781609714915236</v>
      </c>
      <c r="W61" s="90">
        <f t="shared" si="7"/>
        <v>0.6264802025624111</v>
      </c>
      <c r="X61" s="41"/>
      <c r="Y61" s="125" t="s">
        <v>81</v>
      </c>
      <c r="Z61" s="128" t="s">
        <v>66</v>
      </c>
      <c r="AA61" s="41"/>
      <c r="AB61" s="99" t="s">
        <v>71</v>
      </c>
      <c r="AC61" s="9"/>
      <c r="AD61" s="42"/>
      <c r="AF61" s="1"/>
      <c r="AG61" s="1"/>
      <c r="AH61" s="1"/>
      <c r="AI61" s="1"/>
      <c r="AJ61" s="1"/>
      <c r="AK61" s="1"/>
    </row>
    <row r="62" spans="2:37" ht="15.75" thickBot="1" x14ac:dyDescent="0.3">
      <c r="B62" s="40"/>
      <c r="C62" s="72">
        <f t="shared" si="4"/>
        <v>13.25</v>
      </c>
      <c r="D62" s="64">
        <v>10.106085793268505</v>
      </c>
      <c r="E62" s="73">
        <v>183.06278414818615</v>
      </c>
      <c r="F62" s="41"/>
      <c r="G62" s="80">
        <f t="shared" si="0"/>
        <v>18.114113405817434</v>
      </c>
      <c r="H62" s="83">
        <v>12.773730780971325</v>
      </c>
      <c r="I62" s="12">
        <v>10.424296794341819</v>
      </c>
      <c r="J62" s="85">
        <v>133.15716083186481</v>
      </c>
      <c r="K62" s="41"/>
      <c r="L62" s="83">
        <v>12.773730780971325</v>
      </c>
      <c r="M62" s="64">
        <v>10.424296794341819</v>
      </c>
      <c r="N62" s="73">
        <v>133.15716083186481</v>
      </c>
      <c r="O62" s="41"/>
      <c r="P62" s="83">
        <f t="shared" si="1"/>
        <v>2.6060741985854547</v>
      </c>
      <c r="Q62" s="85">
        <f t="shared" si="2"/>
        <v>33.289290207966204</v>
      </c>
      <c r="R62" s="12"/>
      <c r="S62" s="89">
        <f t="shared" si="5"/>
        <v>8.502332831804375E-3</v>
      </c>
      <c r="T62" s="90">
        <f t="shared" si="3"/>
        <v>7.876352590905699E-3</v>
      </c>
      <c r="U62" s="41"/>
      <c r="V62" s="89">
        <f t="shared" si="6"/>
        <v>0.49631842998095671</v>
      </c>
      <c r="W62" s="90">
        <f t="shared" si="7"/>
        <v>0.63435655515331679</v>
      </c>
      <c r="X62" s="41"/>
      <c r="Y62" s="123">
        <f>SUM(AB66:AB105)</f>
        <v>9.7151412673891158E-2</v>
      </c>
      <c r="Z62" s="124">
        <f>SUM(AC66:AC105)</f>
        <v>0.50049999999999983</v>
      </c>
      <c r="AA62" s="41"/>
      <c r="AB62" s="100">
        <f>Y62/Z62</f>
        <v>0.19410871663115123</v>
      </c>
      <c r="AC62" s="9"/>
      <c r="AD62" s="42"/>
      <c r="AF62" s="1"/>
      <c r="AG62" s="1"/>
      <c r="AH62" s="1"/>
      <c r="AI62" s="1"/>
      <c r="AJ62" s="1"/>
      <c r="AK62" s="1"/>
    </row>
    <row r="63" spans="2:37" ht="15.75" thickBot="1" x14ac:dyDescent="0.3">
      <c r="B63" s="40"/>
      <c r="C63" s="72">
        <f t="shared" si="4"/>
        <v>13.5</v>
      </c>
      <c r="D63" s="64">
        <v>15.371810890213537</v>
      </c>
      <c r="E63" s="73">
        <v>166.88758242526947</v>
      </c>
      <c r="F63" s="41"/>
      <c r="G63" s="80">
        <f t="shared" si="0"/>
        <v>10.856728827669773</v>
      </c>
      <c r="H63" s="83">
        <v>12.746093791093866</v>
      </c>
      <c r="I63" s="12">
        <v>13.84200177883916</v>
      </c>
      <c r="J63" s="85">
        <v>176.43145292957206</v>
      </c>
      <c r="K63" s="41"/>
      <c r="L63" s="83">
        <v>12.746093791093866</v>
      </c>
      <c r="M63" s="64">
        <v>13.84200177883916</v>
      </c>
      <c r="N63" s="73">
        <v>176.43145292957206</v>
      </c>
      <c r="O63" s="41"/>
      <c r="P63" s="83">
        <f t="shared" si="1"/>
        <v>3.46050044470979</v>
      </c>
      <c r="Q63" s="85">
        <f t="shared" si="2"/>
        <v>44.107863232393015</v>
      </c>
      <c r="R63" s="12"/>
      <c r="S63" s="89">
        <f t="shared" si="5"/>
        <v>1.1289903626496808E-2</v>
      </c>
      <c r="T63" s="90">
        <f t="shared" si="3"/>
        <v>1.043606158855971E-2</v>
      </c>
      <c r="U63" s="41"/>
      <c r="V63" s="89">
        <f t="shared" si="6"/>
        <v>0.5076083336074535</v>
      </c>
      <c r="W63" s="90">
        <f t="shared" si="7"/>
        <v>0.64479261674187649</v>
      </c>
      <c r="X63" s="41"/>
      <c r="Y63" s="9"/>
      <c r="Z63" s="9"/>
      <c r="AA63" s="9"/>
      <c r="AB63" s="9"/>
      <c r="AC63" s="9"/>
      <c r="AD63" s="42"/>
      <c r="AF63" s="1"/>
      <c r="AG63" s="1"/>
      <c r="AH63" s="1"/>
      <c r="AI63" s="1"/>
      <c r="AJ63" s="1"/>
      <c r="AK63" s="1"/>
    </row>
    <row r="64" spans="2:37" ht="15.75" thickBot="1" x14ac:dyDescent="0.3">
      <c r="B64" s="40"/>
      <c r="C64" s="72">
        <f t="shared" si="4"/>
        <v>13.75</v>
      </c>
      <c r="D64" s="64">
        <v>9.5314537590331962</v>
      </c>
      <c r="E64" s="73">
        <v>134.73907532530026</v>
      </c>
      <c r="F64" s="41"/>
      <c r="G64" s="80">
        <f t="shared" si="0"/>
        <v>14.136256517806078</v>
      </c>
      <c r="H64" s="83">
        <v>12.506144006172006</v>
      </c>
      <c r="I64" s="12">
        <v>15.4364361025488</v>
      </c>
      <c r="J64" s="85">
        <v>193.05029284054783</v>
      </c>
      <c r="K64" s="41"/>
      <c r="L64" s="83">
        <v>12.506144006172006</v>
      </c>
      <c r="M64" s="64">
        <v>15.4364361025488</v>
      </c>
      <c r="N64" s="73">
        <v>193.05029284054783</v>
      </c>
      <c r="O64" s="41"/>
      <c r="P64" s="83">
        <f t="shared" si="1"/>
        <v>3.8591090256372</v>
      </c>
      <c r="Q64" s="85">
        <f t="shared" si="2"/>
        <v>48.262573210136956</v>
      </c>
      <c r="R64" s="12"/>
      <c r="S64" s="89">
        <f t="shared" si="5"/>
        <v>1.2590366532156836E-2</v>
      </c>
      <c r="T64" s="90">
        <f t="shared" si="3"/>
        <v>1.1419079264612001E-2</v>
      </c>
      <c r="U64" s="41"/>
      <c r="V64" s="89">
        <f t="shared" si="6"/>
        <v>0.52019870013961034</v>
      </c>
      <c r="W64" s="90">
        <f t="shared" si="7"/>
        <v>0.65621169600648854</v>
      </c>
      <c r="X64" s="41"/>
      <c r="Y64" s="95" t="s">
        <v>65</v>
      </c>
      <c r="Z64" s="66"/>
      <c r="AA64" s="66"/>
      <c r="AB64" s="66"/>
      <c r="AC64" s="67"/>
      <c r="AD64" s="42"/>
      <c r="AF64" s="1"/>
      <c r="AG64" s="1"/>
      <c r="AH64" s="1"/>
      <c r="AI64" s="1"/>
      <c r="AJ64" s="1"/>
      <c r="AK64" s="1"/>
    </row>
    <row r="65" spans="2:37" ht="16.5" customHeight="1" x14ac:dyDescent="0.25">
      <c r="B65" s="40"/>
      <c r="C65" s="72">
        <f t="shared" si="4"/>
        <v>14</v>
      </c>
      <c r="D65" s="64">
        <v>4.4048167884746565</v>
      </c>
      <c r="E65" s="73">
        <v>53.404829123947692</v>
      </c>
      <c r="F65" s="41"/>
      <c r="G65" s="80">
        <f t="shared" si="0"/>
        <v>12.124188516462961</v>
      </c>
      <c r="H65" s="83">
        <v>12.45522826887553</v>
      </c>
      <c r="I65" s="12">
        <v>11.725024832090853</v>
      </c>
      <c r="J65" s="85">
        <v>146.03786074192556</v>
      </c>
      <c r="K65" s="41"/>
      <c r="L65" s="83">
        <v>12.45522826887553</v>
      </c>
      <c r="M65" s="64">
        <v>11.725024832090853</v>
      </c>
      <c r="N65" s="73">
        <v>146.03786074192556</v>
      </c>
      <c r="O65" s="41"/>
      <c r="P65" s="83">
        <f t="shared" si="1"/>
        <v>2.9312562080227131</v>
      </c>
      <c r="Q65" s="85">
        <f t="shared" si="2"/>
        <v>36.509465185481389</v>
      </c>
      <c r="R65" s="12"/>
      <c r="S65" s="89">
        <f t="shared" si="5"/>
        <v>9.5632411039676263E-3</v>
      </c>
      <c r="T65" s="90">
        <f t="shared" si="3"/>
        <v>8.6382562953365005E-3</v>
      </c>
      <c r="U65" s="41"/>
      <c r="V65" s="89">
        <f t="shared" si="6"/>
        <v>0.52976194124357801</v>
      </c>
      <c r="W65" s="90">
        <f t="shared" si="7"/>
        <v>0.66484995230182509</v>
      </c>
      <c r="X65" s="41"/>
      <c r="Y65" s="101" t="s">
        <v>61</v>
      </c>
      <c r="Z65" s="102" t="s">
        <v>62</v>
      </c>
      <c r="AA65" s="102" t="s">
        <v>63</v>
      </c>
      <c r="AB65" s="103" t="s">
        <v>67</v>
      </c>
      <c r="AC65" s="104" t="s">
        <v>68</v>
      </c>
      <c r="AD65" s="42"/>
      <c r="AF65" s="1"/>
      <c r="AG65" s="1"/>
      <c r="AH65" s="1"/>
      <c r="AI65" s="1"/>
      <c r="AJ65" s="1"/>
      <c r="AK65" s="1"/>
    </row>
    <row r="66" spans="2:37" x14ac:dyDescent="0.25">
      <c r="B66" s="40"/>
      <c r="C66" s="72">
        <f t="shared" si="4"/>
        <v>14.25</v>
      </c>
      <c r="D66" s="64">
        <v>11.865355107070018</v>
      </c>
      <c r="E66" s="73">
        <v>138.79565316945664</v>
      </c>
      <c r="F66" s="41"/>
      <c r="G66" s="80">
        <f t="shared" si="0"/>
        <v>11.697555776207214</v>
      </c>
      <c r="H66" s="83">
        <v>12.371380845362633</v>
      </c>
      <c r="I66" s="12">
        <v>11.76804538598898</v>
      </c>
      <c r="J66" s="85">
        <v>145.58697127558219</v>
      </c>
      <c r="K66" s="41"/>
      <c r="L66" s="83">
        <v>12.371380845362633</v>
      </c>
      <c r="M66" s="64">
        <v>11.76804538598898</v>
      </c>
      <c r="N66" s="73">
        <v>145.58697127558219</v>
      </c>
      <c r="O66" s="41"/>
      <c r="P66" s="83">
        <f t="shared" si="1"/>
        <v>2.9420113464972451</v>
      </c>
      <c r="Q66" s="85">
        <f t="shared" si="2"/>
        <v>36.396742818895547</v>
      </c>
      <c r="R66" s="12"/>
      <c r="S66" s="89">
        <f t="shared" si="5"/>
        <v>9.5983298082770625E-3</v>
      </c>
      <c r="T66" s="90">
        <f t="shared" si="3"/>
        <v>8.6115858226840387E-3</v>
      </c>
      <c r="U66" s="41"/>
      <c r="V66" s="89">
        <f t="shared" si="6"/>
        <v>0.53936027105185502</v>
      </c>
      <c r="W66" s="90">
        <f t="shared" si="7"/>
        <v>0.67346153812450915</v>
      </c>
      <c r="X66" s="41"/>
      <c r="Y66" s="72">
        <v>1.2E-2</v>
      </c>
      <c r="Z66" s="62">
        <f t="shared" ref="Z66:Z105" si="8">$Z$36*Y66^3+$Z$37*Y66^2+$Z$38*Y66</f>
        <v>2.0758530318957046E-2</v>
      </c>
      <c r="AA66" s="62">
        <f>Y66</f>
        <v>1.2E-2</v>
      </c>
      <c r="AB66" s="105">
        <f t="shared" ref="AB66:AB105" si="9">(Z66-AA66)*($Y$67-$Y$66)</f>
        <v>2.1896325797392618E-4</v>
      </c>
      <c r="AC66" s="106">
        <f t="shared" ref="AC66:AC105" si="10">(1-AA66)*($Y$67-$Y$66)</f>
        <v>2.4700000000000003E-2</v>
      </c>
      <c r="AD66" s="42"/>
      <c r="AF66" s="1"/>
      <c r="AG66" s="1"/>
      <c r="AH66" s="1"/>
      <c r="AI66" s="1"/>
      <c r="AJ66" s="1"/>
      <c r="AK66" s="1"/>
    </row>
    <row r="67" spans="2:37" x14ac:dyDescent="0.25">
      <c r="B67" s="40"/>
      <c r="C67" s="72">
        <f t="shared" si="4"/>
        <v>14.5</v>
      </c>
      <c r="D67" s="64">
        <v>13.286331439505831</v>
      </c>
      <c r="E67" s="73">
        <v>92.06674678390894</v>
      </c>
      <c r="F67" s="41"/>
      <c r="G67" s="80">
        <f t="shared" si="0"/>
        <v>6.9294332452189114</v>
      </c>
      <c r="H67" s="83">
        <v>12.367209229481301</v>
      </c>
      <c r="I67" s="12">
        <v>17.041138742710814</v>
      </c>
      <c r="J67" s="85">
        <v>210.75132833972455</v>
      </c>
      <c r="K67" s="41"/>
      <c r="L67" s="83">
        <v>12.367209229481301</v>
      </c>
      <c r="M67" s="64">
        <v>17.041138742710814</v>
      </c>
      <c r="N67" s="73">
        <v>210.75132833972455</v>
      </c>
      <c r="O67" s="41"/>
      <c r="P67" s="83">
        <f t="shared" si="1"/>
        <v>4.2602846856777035</v>
      </c>
      <c r="Q67" s="85">
        <f t="shared" si="2"/>
        <v>52.687832084931138</v>
      </c>
      <c r="R67" s="12"/>
      <c r="S67" s="89">
        <f t="shared" si="5"/>
        <v>1.3899204548946449E-2</v>
      </c>
      <c r="T67" s="90">
        <f t="shared" si="3"/>
        <v>1.2466109675478879E-2</v>
      </c>
      <c r="U67" s="41"/>
      <c r="V67" s="89">
        <f t="shared" si="6"/>
        <v>0.55325947560080146</v>
      </c>
      <c r="W67" s="90">
        <f t="shared" si="7"/>
        <v>0.68592764779998805</v>
      </c>
      <c r="X67" s="41"/>
      <c r="Y67" s="72">
        <f t="shared" ref="Y67:Y105" si="11">Y66+0.025</f>
        <v>3.7000000000000005E-2</v>
      </c>
      <c r="Z67" s="62">
        <f t="shared" si="8"/>
        <v>6.3004799797148084E-2</v>
      </c>
      <c r="AA67" s="62">
        <f t="shared" ref="AA67:AA105" si="12">Y67</f>
        <v>3.7000000000000005E-2</v>
      </c>
      <c r="AB67" s="105">
        <f t="shared" si="9"/>
        <v>6.5011999492870214E-4</v>
      </c>
      <c r="AC67" s="106">
        <f t="shared" si="10"/>
        <v>2.4075000000000003E-2</v>
      </c>
      <c r="AD67" s="42"/>
      <c r="AF67" s="1"/>
      <c r="AG67" s="1"/>
      <c r="AH67" s="1"/>
      <c r="AI67" s="1"/>
      <c r="AJ67" s="1"/>
      <c r="AK67" s="1"/>
    </row>
    <row r="68" spans="2:37" x14ac:dyDescent="0.25">
      <c r="B68" s="40"/>
      <c r="C68" s="72">
        <f t="shared" si="4"/>
        <v>14.75</v>
      </c>
      <c r="D68" s="64">
        <v>7.2120253478261445</v>
      </c>
      <c r="E68" s="73">
        <v>85.025176535234749</v>
      </c>
      <c r="F68" s="41"/>
      <c r="G68" s="80">
        <f t="shared" si="0"/>
        <v>11.789361855316152</v>
      </c>
      <c r="H68" s="83">
        <v>12.286369238305545</v>
      </c>
      <c r="I68" s="12">
        <v>17.634878518746351</v>
      </c>
      <c r="J68" s="85">
        <v>216.66862895398043</v>
      </c>
      <c r="K68" s="41"/>
      <c r="L68" s="83">
        <v>12.286369238305545</v>
      </c>
      <c r="M68" s="64">
        <v>17.634878518746351</v>
      </c>
      <c r="N68" s="73">
        <v>216.66862895398043</v>
      </c>
      <c r="O68" s="41"/>
      <c r="P68" s="83">
        <f t="shared" si="1"/>
        <v>4.4087196296865878</v>
      </c>
      <c r="Q68" s="85">
        <f t="shared" si="2"/>
        <v>54.167157238495108</v>
      </c>
      <c r="R68" s="12"/>
      <c r="S68" s="89">
        <f t="shared" si="5"/>
        <v>1.4383474451360893E-2</v>
      </c>
      <c r="T68" s="90">
        <f t="shared" si="3"/>
        <v>1.2816122740740248E-2</v>
      </c>
      <c r="U68" s="41"/>
      <c r="V68" s="89">
        <f t="shared" si="6"/>
        <v>0.56764295005216237</v>
      </c>
      <c r="W68" s="90">
        <f t="shared" si="7"/>
        <v>0.69874377054072834</v>
      </c>
      <c r="X68" s="41"/>
      <c r="Y68" s="72">
        <f t="shared" si="11"/>
        <v>6.2000000000000006E-2</v>
      </c>
      <c r="Z68" s="62">
        <f t="shared" si="8"/>
        <v>0.10392741045040518</v>
      </c>
      <c r="AA68" s="62">
        <f t="shared" si="12"/>
        <v>6.2000000000000006E-2</v>
      </c>
      <c r="AB68" s="105">
        <f t="shared" si="9"/>
        <v>1.0481852612601297E-3</v>
      </c>
      <c r="AC68" s="106">
        <f t="shared" si="10"/>
        <v>2.3450000000000002E-2</v>
      </c>
      <c r="AD68" s="42"/>
      <c r="AF68" s="1"/>
      <c r="AG68" s="1"/>
      <c r="AH68" s="1"/>
      <c r="AI68" s="1"/>
      <c r="AJ68" s="1"/>
      <c r="AK68" s="1"/>
    </row>
    <row r="69" spans="2:37" x14ac:dyDescent="0.25">
      <c r="B69" s="40"/>
      <c r="C69" s="72">
        <f t="shared" si="4"/>
        <v>15</v>
      </c>
      <c r="D69" s="64">
        <v>16.041265537549165</v>
      </c>
      <c r="E69" s="73">
        <v>168.42150887637433</v>
      </c>
      <c r="F69" s="41"/>
      <c r="G69" s="80">
        <f t="shared" si="0"/>
        <v>10.499265689613807</v>
      </c>
      <c r="H69" s="83">
        <v>12.185655713477056</v>
      </c>
      <c r="I69" s="12">
        <v>16.950999359420862</v>
      </c>
      <c r="J69" s="85">
        <v>206.55904219327275</v>
      </c>
      <c r="K69" s="41"/>
      <c r="L69" s="83">
        <v>12.185655713477056</v>
      </c>
      <c r="M69" s="64">
        <v>16.950999359420862</v>
      </c>
      <c r="N69" s="73">
        <v>206.55904219327275</v>
      </c>
      <c r="O69" s="41"/>
      <c r="P69" s="83">
        <f t="shared" si="1"/>
        <v>4.2377498398552156</v>
      </c>
      <c r="Q69" s="85">
        <f t="shared" si="2"/>
        <v>51.639760548318186</v>
      </c>
      <c r="R69" s="12"/>
      <c r="S69" s="89">
        <f t="shared" si="5"/>
        <v>1.3825684478182467E-2</v>
      </c>
      <c r="T69" s="90">
        <f t="shared" si="3"/>
        <v>1.2218132596025244E-2</v>
      </c>
      <c r="U69" s="41"/>
      <c r="V69" s="89">
        <f t="shared" si="6"/>
        <v>0.58146863453034481</v>
      </c>
      <c r="W69" s="90">
        <f t="shared" si="7"/>
        <v>0.71096190313675356</v>
      </c>
      <c r="X69" s="41"/>
      <c r="Y69" s="72">
        <f t="shared" si="11"/>
        <v>8.7000000000000008E-2</v>
      </c>
      <c r="Z69" s="62">
        <f t="shared" si="8"/>
        <v>0.1435609544035949</v>
      </c>
      <c r="AA69" s="62">
        <f t="shared" si="12"/>
        <v>8.7000000000000008E-2</v>
      </c>
      <c r="AB69" s="105">
        <f t="shared" si="9"/>
        <v>1.4140238600898725E-3</v>
      </c>
      <c r="AC69" s="106">
        <f t="shared" si="10"/>
        <v>2.2825000000000005E-2</v>
      </c>
      <c r="AD69" s="42"/>
      <c r="AF69" s="1"/>
      <c r="AG69" s="1"/>
      <c r="AH69" s="1"/>
      <c r="AI69" s="1"/>
      <c r="AJ69" s="1"/>
      <c r="AK69" s="1"/>
    </row>
    <row r="70" spans="2:37" x14ac:dyDescent="0.25">
      <c r="B70" s="40"/>
      <c r="C70" s="72">
        <f t="shared" si="4"/>
        <v>15.25</v>
      </c>
      <c r="D70" s="64">
        <v>8.356492506631449</v>
      </c>
      <c r="E70" s="73">
        <v>132.7074899430566</v>
      </c>
      <c r="F70" s="41"/>
      <c r="G70" s="80">
        <f t="shared" si="0"/>
        <v>15.880764547774573</v>
      </c>
      <c r="H70" s="83">
        <v>12.124188516462961</v>
      </c>
      <c r="I70" s="12">
        <v>4.4048167884746565</v>
      </c>
      <c r="J70" s="85">
        <v>53.404829123947692</v>
      </c>
      <c r="K70" s="41"/>
      <c r="L70" s="83">
        <v>12.124188516462961</v>
      </c>
      <c r="M70" s="64">
        <v>4.4048167884746565</v>
      </c>
      <c r="N70" s="73">
        <v>53.404829123947692</v>
      </c>
      <c r="O70" s="41"/>
      <c r="P70" s="83">
        <f t="shared" si="1"/>
        <v>1.1012041971186641</v>
      </c>
      <c r="Q70" s="85">
        <f t="shared" si="2"/>
        <v>13.351207280986923</v>
      </c>
      <c r="R70" s="12"/>
      <c r="S70" s="89">
        <f t="shared" si="5"/>
        <v>3.5926853520766261E-3</v>
      </c>
      <c r="T70" s="90">
        <f t="shared" si="3"/>
        <v>3.1589383673357998E-3</v>
      </c>
      <c r="U70" s="41"/>
      <c r="V70" s="89">
        <f t="shared" si="6"/>
        <v>0.58506131988242138</v>
      </c>
      <c r="W70" s="90">
        <f t="shared" si="7"/>
        <v>0.71412084150408939</v>
      </c>
      <c r="X70" s="41"/>
      <c r="Y70" s="72">
        <f t="shared" si="11"/>
        <v>0.11200000000000002</v>
      </c>
      <c r="Z70" s="62">
        <f t="shared" si="8"/>
        <v>0.18194002378158383</v>
      </c>
      <c r="AA70" s="62">
        <f t="shared" si="12"/>
        <v>0.11200000000000002</v>
      </c>
      <c r="AB70" s="105">
        <f t="shared" si="9"/>
        <v>1.7485005945395958E-3</v>
      </c>
      <c r="AC70" s="106">
        <f t="shared" si="10"/>
        <v>2.2200000000000004E-2</v>
      </c>
      <c r="AD70" s="42"/>
      <c r="AF70" s="1"/>
      <c r="AG70" s="1"/>
      <c r="AH70" s="1"/>
      <c r="AI70" s="1"/>
      <c r="AJ70" s="1"/>
      <c r="AK70" s="1"/>
    </row>
    <row r="71" spans="2:37" x14ac:dyDescent="0.25">
      <c r="B71" s="40"/>
      <c r="C71" s="72">
        <f t="shared" si="4"/>
        <v>15.5</v>
      </c>
      <c r="D71" s="64">
        <v>12.47983916895185</v>
      </c>
      <c r="E71" s="73">
        <v>160.52378994978835</v>
      </c>
      <c r="F71" s="41"/>
      <c r="G71" s="80">
        <f t="shared" si="0"/>
        <v>12.862648931337977</v>
      </c>
      <c r="H71" s="83">
        <v>12.03717170664603</v>
      </c>
      <c r="I71" s="12">
        <v>11.781449134239638</v>
      </c>
      <c r="J71" s="85">
        <v>141.81532618195874</v>
      </c>
      <c r="K71" s="41"/>
      <c r="L71" s="83">
        <v>12.03717170664603</v>
      </c>
      <c r="M71" s="64">
        <v>11.781449134239638</v>
      </c>
      <c r="N71" s="73">
        <v>141.81532618195874</v>
      </c>
      <c r="O71" s="41"/>
      <c r="P71" s="83">
        <f t="shared" si="1"/>
        <v>2.9453622835599096</v>
      </c>
      <c r="Q71" s="85">
        <f t="shared" si="2"/>
        <v>35.453831545489685</v>
      </c>
      <c r="R71" s="12"/>
      <c r="S71" s="89">
        <f t="shared" si="5"/>
        <v>9.6092622607071073E-3</v>
      </c>
      <c r="T71" s="90">
        <f t="shared" si="3"/>
        <v>8.3884899980242733E-3</v>
      </c>
      <c r="U71" s="41"/>
      <c r="V71" s="89">
        <f t="shared" si="6"/>
        <v>0.59467058214312851</v>
      </c>
      <c r="W71" s="90">
        <f t="shared" si="7"/>
        <v>0.72250933150211361</v>
      </c>
      <c r="X71" s="41"/>
      <c r="Y71" s="72">
        <f t="shared" si="11"/>
        <v>0.13700000000000001</v>
      </c>
      <c r="Z71" s="62">
        <f t="shared" si="8"/>
        <v>0.21909921070923852</v>
      </c>
      <c r="AA71" s="62">
        <f t="shared" si="12"/>
        <v>0.13700000000000001</v>
      </c>
      <c r="AB71" s="105">
        <f t="shared" si="9"/>
        <v>2.052480267730963E-3</v>
      </c>
      <c r="AC71" s="106">
        <f t="shared" si="10"/>
        <v>2.1575000000000004E-2</v>
      </c>
      <c r="AD71" s="42"/>
      <c r="AF71" s="1"/>
      <c r="AG71" s="1"/>
      <c r="AH71" s="1"/>
      <c r="AI71" s="1"/>
      <c r="AJ71" s="1"/>
      <c r="AK71" s="1"/>
    </row>
    <row r="72" spans="2:37" x14ac:dyDescent="0.25">
      <c r="B72" s="40"/>
      <c r="C72" s="72">
        <f t="shared" si="4"/>
        <v>15.75</v>
      </c>
      <c r="D72" s="64">
        <v>5.7765030515772482</v>
      </c>
      <c r="E72" s="73">
        <v>86.789271204957117</v>
      </c>
      <c r="F72" s="41"/>
      <c r="G72" s="80">
        <f t="shared" si="0"/>
        <v>15.024534814581237</v>
      </c>
      <c r="H72" s="83">
        <v>11.994318873467698</v>
      </c>
      <c r="I72" s="12">
        <v>12.585481333324832</v>
      </c>
      <c r="J72" s="85">
        <v>150.95427628797344</v>
      </c>
      <c r="K72" s="41"/>
      <c r="L72" s="83">
        <v>11.994318873467698</v>
      </c>
      <c r="M72" s="64">
        <v>12.585481333324832</v>
      </c>
      <c r="N72" s="73">
        <v>150.95427628797344</v>
      </c>
      <c r="O72" s="41"/>
      <c r="P72" s="83">
        <f t="shared" si="1"/>
        <v>3.1463703333312081</v>
      </c>
      <c r="Q72" s="85">
        <f t="shared" si="2"/>
        <v>37.738569071993361</v>
      </c>
      <c r="R72" s="12"/>
      <c r="S72" s="89">
        <f t="shared" si="5"/>
        <v>1.026505223858077E-2</v>
      </c>
      <c r="T72" s="90">
        <f t="shared" si="3"/>
        <v>8.9290662080904869E-3</v>
      </c>
      <c r="U72" s="41"/>
      <c r="V72" s="89">
        <f t="shared" si="6"/>
        <v>0.60493563438170928</v>
      </c>
      <c r="W72" s="90">
        <f t="shared" si="7"/>
        <v>0.73143839771020414</v>
      </c>
      <c r="X72" s="41"/>
      <c r="Y72" s="72">
        <f t="shared" si="11"/>
        <v>0.16200000000000001</v>
      </c>
      <c r="Z72" s="62">
        <f t="shared" si="8"/>
        <v>0.25507310731142552</v>
      </c>
      <c r="AA72" s="62">
        <f t="shared" si="12"/>
        <v>0.16200000000000001</v>
      </c>
      <c r="AB72" s="105">
        <f t="shared" si="9"/>
        <v>2.3268276827856384E-3</v>
      </c>
      <c r="AC72" s="106">
        <f t="shared" si="10"/>
        <v>2.0950000000000003E-2</v>
      </c>
      <c r="AD72" s="42"/>
      <c r="AF72" s="1"/>
      <c r="AG72" s="1"/>
      <c r="AH72" s="1"/>
      <c r="AI72" s="1"/>
      <c r="AJ72" s="1"/>
      <c r="AK72" s="1"/>
    </row>
    <row r="73" spans="2:37" x14ac:dyDescent="0.25">
      <c r="B73" s="40"/>
      <c r="C73" s="72">
        <f t="shared" si="4"/>
        <v>16</v>
      </c>
      <c r="D73" s="64">
        <v>14.012131131529362</v>
      </c>
      <c r="E73" s="73">
        <v>264.19490176478814</v>
      </c>
      <c r="F73" s="41"/>
      <c r="G73" s="80">
        <f t="shared" si="0"/>
        <v>18.854726614020237</v>
      </c>
      <c r="H73" s="83">
        <v>11.789361855316152</v>
      </c>
      <c r="I73" s="12">
        <v>7.2120253478261445</v>
      </c>
      <c r="J73" s="85">
        <v>85.025176535234749</v>
      </c>
      <c r="K73" s="41"/>
      <c r="L73" s="83">
        <v>11.789361855316152</v>
      </c>
      <c r="M73" s="64">
        <v>7.2120253478261445</v>
      </c>
      <c r="N73" s="73">
        <v>85.025176535234749</v>
      </c>
      <c r="O73" s="41"/>
      <c r="P73" s="83">
        <f t="shared" si="1"/>
        <v>1.8030063369565361</v>
      </c>
      <c r="Q73" s="85">
        <f t="shared" si="2"/>
        <v>21.256294133808687</v>
      </c>
      <c r="R73" s="12"/>
      <c r="S73" s="89">
        <f t="shared" si="5"/>
        <v>5.8823190770921664E-3</v>
      </c>
      <c r="T73" s="90">
        <f t="shared" si="3"/>
        <v>5.0293072134596963E-3</v>
      </c>
      <c r="U73" s="41"/>
      <c r="V73" s="89">
        <f t="shared" si="6"/>
        <v>0.61081795345880141</v>
      </c>
      <c r="W73" s="90">
        <f t="shared" si="7"/>
        <v>0.73646770492366387</v>
      </c>
      <c r="X73" s="41"/>
      <c r="Y73" s="72">
        <f t="shared" si="11"/>
        <v>0.187</v>
      </c>
      <c r="Z73" s="62">
        <f t="shared" si="8"/>
        <v>0.28989630571301145</v>
      </c>
      <c r="AA73" s="62">
        <f t="shared" si="12"/>
        <v>0.187</v>
      </c>
      <c r="AB73" s="105">
        <f t="shared" si="9"/>
        <v>2.5724076428252866E-3</v>
      </c>
      <c r="AC73" s="106">
        <f t="shared" si="10"/>
        <v>2.0325000000000003E-2</v>
      </c>
      <c r="AD73" s="42"/>
      <c r="AF73" s="1"/>
      <c r="AG73" s="1"/>
      <c r="AH73" s="1"/>
      <c r="AI73" s="1"/>
      <c r="AJ73" s="1"/>
      <c r="AK73" s="1"/>
    </row>
    <row r="74" spans="2:37" x14ac:dyDescent="0.25">
      <c r="B74" s="40"/>
      <c r="C74" s="72">
        <f t="shared" si="4"/>
        <v>16.25</v>
      </c>
      <c r="D74" s="64">
        <v>15.080295232184774</v>
      </c>
      <c r="E74" s="73">
        <v>257.44773735676074</v>
      </c>
      <c r="F74" s="41"/>
      <c r="G74" s="80">
        <f t="shared" si="0"/>
        <v>17.07179689740482</v>
      </c>
      <c r="H74" s="83">
        <v>11.697555776207214</v>
      </c>
      <c r="I74" s="12">
        <v>11.865355107070018</v>
      </c>
      <c r="J74" s="85">
        <v>138.79565316945664</v>
      </c>
      <c r="K74" s="41"/>
      <c r="L74" s="83">
        <v>11.697555776207214</v>
      </c>
      <c r="M74" s="64">
        <v>11.865355107070018</v>
      </c>
      <c r="N74" s="73">
        <v>138.79565316945664</v>
      </c>
      <c r="O74" s="41"/>
      <c r="P74" s="83">
        <f t="shared" si="1"/>
        <v>2.9663387767675045</v>
      </c>
      <c r="Q74" s="85">
        <f t="shared" si="2"/>
        <v>34.698913292364161</v>
      </c>
      <c r="R74" s="12"/>
      <c r="S74" s="89">
        <f t="shared" si="5"/>
        <v>9.6776981966416476E-3</v>
      </c>
      <c r="T74" s="90">
        <f t="shared" si="3"/>
        <v>8.2098739235516392E-3</v>
      </c>
      <c r="U74" s="41"/>
      <c r="V74" s="89">
        <f t="shared" si="6"/>
        <v>0.62049565165544307</v>
      </c>
      <c r="W74" s="90">
        <f t="shared" si="7"/>
        <v>0.74467757884721553</v>
      </c>
      <c r="X74" s="41"/>
      <c r="Y74" s="72">
        <f t="shared" si="11"/>
        <v>0.21199999999999999</v>
      </c>
      <c r="Z74" s="62">
        <f t="shared" si="8"/>
        <v>0.32360339803886284</v>
      </c>
      <c r="AA74" s="62">
        <f t="shared" si="12"/>
        <v>0.21199999999999999</v>
      </c>
      <c r="AB74" s="105">
        <f t="shared" si="9"/>
        <v>2.7900849509715719E-3</v>
      </c>
      <c r="AC74" s="106">
        <f t="shared" si="10"/>
        <v>1.9700000000000006E-2</v>
      </c>
      <c r="AD74" s="42"/>
      <c r="AF74" s="1"/>
      <c r="AG74" s="1"/>
      <c r="AH74" s="1"/>
      <c r="AI74" s="1"/>
      <c r="AJ74" s="1"/>
      <c r="AK74" s="1"/>
    </row>
    <row r="75" spans="2:37" x14ac:dyDescent="0.25">
      <c r="B75" s="40"/>
      <c r="C75" s="72">
        <f t="shared" si="4"/>
        <v>16.5</v>
      </c>
      <c r="D75" s="64">
        <v>17.500287423311217</v>
      </c>
      <c r="E75" s="73">
        <v>286.76482382591371</v>
      </c>
      <c r="F75" s="41"/>
      <c r="G75" s="80">
        <f t="shared" ref="G75:G114" si="13">E75/D75</f>
        <v>16.386292229916709</v>
      </c>
      <c r="H75" s="83">
        <v>11.681082189492727</v>
      </c>
      <c r="I75" s="12">
        <v>10.069905626229589</v>
      </c>
      <c r="J75" s="85">
        <v>117.62739526042306</v>
      </c>
      <c r="K75" s="41"/>
      <c r="L75" s="83">
        <v>11.681082189492727</v>
      </c>
      <c r="M75" s="64">
        <v>10.069905626229589</v>
      </c>
      <c r="N75" s="73">
        <v>117.62739526042306</v>
      </c>
      <c r="O75" s="41"/>
      <c r="P75" s="83">
        <f t="shared" ref="P75:P114" si="14">M75*0.25</f>
        <v>2.5174764065573974</v>
      </c>
      <c r="Q75" s="85">
        <f t="shared" ref="Q75:Q114" si="15">N75*0.25</f>
        <v>29.406848815105764</v>
      </c>
      <c r="R75" s="12"/>
      <c r="S75" s="89">
        <f t="shared" si="5"/>
        <v>8.2132819995623767E-3</v>
      </c>
      <c r="T75" s="90">
        <f t="shared" ref="T75:T114" si="16">Q75/SUM($Q$10:$Q$114)</f>
        <v>6.9577545333124463E-3</v>
      </c>
      <c r="U75" s="41"/>
      <c r="V75" s="89">
        <f t="shared" si="6"/>
        <v>0.62870893365500546</v>
      </c>
      <c r="W75" s="90">
        <f t="shared" si="7"/>
        <v>0.75163533338052801</v>
      </c>
      <c r="X75" s="41"/>
      <c r="Y75" s="72">
        <f t="shared" si="11"/>
        <v>0.23699999999999999</v>
      </c>
      <c r="Z75" s="62">
        <f t="shared" si="8"/>
        <v>0.35622897641384632</v>
      </c>
      <c r="AA75" s="62">
        <f t="shared" si="12"/>
        <v>0.23699999999999999</v>
      </c>
      <c r="AB75" s="105">
        <f t="shared" si="9"/>
        <v>2.9807244103461591E-3</v>
      </c>
      <c r="AC75" s="106">
        <f t="shared" si="10"/>
        <v>1.9075000000000005E-2</v>
      </c>
      <c r="AD75" s="42"/>
      <c r="AF75" s="1"/>
      <c r="AG75" s="1"/>
      <c r="AH75" s="1"/>
      <c r="AI75" s="1"/>
      <c r="AJ75" s="1"/>
      <c r="AK75" s="1"/>
    </row>
    <row r="76" spans="2:37" x14ac:dyDescent="0.25">
      <c r="B76" s="40"/>
      <c r="C76" s="72">
        <f t="shared" ref="C76:C113" si="17">C75+0.25</f>
        <v>16.75</v>
      </c>
      <c r="D76" s="64">
        <v>10.026689831069332</v>
      </c>
      <c r="E76" s="73">
        <v>80.446872995016662</v>
      </c>
      <c r="F76" s="41"/>
      <c r="G76" s="80">
        <f t="shared" si="13"/>
        <v>8.0232733185521425</v>
      </c>
      <c r="H76" s="83">
        <v>11.578268393536316</v>
      </c>
      <c r="I76" s="12">
        <v>18.460821888761412</v>
      </c>
      <c r="J76" s="85">
        <v>213.74435059334965</v>
      </c>
      <c r="K76" s="41"/>
      <c r="L76" s="83">
        <v>11.578268393536316</v>
      </c>
      <c r="M76" s="64">
        <v>18.460821888761412</v>
      </c>
      <c r="N76" s="73">
        <v>213.74435059334965</v>
      </c>
      <c r="O76" s="41"/>
      <c r="P76" s="83">
        <f t="shared" si="14"/>
        <v>4.615205472190353</v>
      </c>
      <c r="Q76" s="85">
        <f t="shared" si="15"/>
        <v>53.436087648337413</v>
      </c>
      <c r="R76" s="12"/>
      <c r="S76" s="89">
        <f t="shared" ref="S76:S114" si="18">P76/SUM($P$10:$P$114)</f>
        <v>1.5057135761148418E-2</v>
      </c>
      <c r="T76" s="90">
        <f t="shared" si="16"/>
        <v>1.2643149336242937E-2</v>
      </c>
      <c r="U76" s="41"/>
      <c r="V76" s="89">
        <f t="shared" ref="V76:V114" si="19">S76+V75</f>
        <v>0.64376606941615389</v>
      </c>
      <c r="W76" s="90">
        <f t="shared" ref="W76:W114" si="20">T76+W75</f>
        <v>0.7642784827167709</v>
      </c>
      <c r="X76" s="41"/>
      <c r="Y76" s="72">
        <f t="shared" si="11"/>
        <v>0.26200000000000001</v>
      </c>
      <c r="Z76" s="62">
        <f t="shared" si="8"/>
        <v>0.38780763296282839</v>
      </c>
      <c r="AA76" s="62">
        <f t="shared" si="12"/>
        <v>0.26200000000000001</v>
      </c>
      <c r="AB76" s="105">
        <f t="shared" si="9"/>
        <v>3.1451908240707101E-3</v>
      </c>
      <c r="AC76" s="106">
        <f t="shared" si="10"/>
        <v>1.8450000000000005E-2</v>
      </c>
      <c r="AD76" s="42"/>
      <c r="AF76" s="1"/>
      <c r="AG76" s="1"/>
      <c r="AH76" s="1"/>
      <c r="AI76" s="1"/>
      <c r="AJ76" s="1"/>
      <c r="AK76" s="1"/>
    </row>
    <row r="77" spans="2:37" x14ac:dyDescent="0.25">
      <c r="B77" s="40"/>
      <c r="C77" s="72">
        <f t="shared" si="17"/>
        <v>17</v>
      </c>
      <c r="D77" s="64">
        <v>9.5360750983315548</v>
      </c>
      <c r="E77" s="73">
        <v>89.637283133448108</v>
      </c>
      <c r="F77" s="41"/>
      <c r="G77" s="80">
        <f t="shared" si="13"/>
        <v>9.3998088531340507</v>
      </c>
      <c r="H77" s="83">
        <v>11.576172644593326</v>
      </c>
      <c r="I77" s="12">
        <v>11.729583658895885</v>
      </c>
      <c r="J77" s="85">
        <v>135.78368548457945</v>
      </c>
      <c r="K77" s="41"/>
      <c r="L77" s="83">
        <v>11.576172644593326</v>
      </c>
      <c r="M77" s="64">
        <v>11.729583658895885</v>
      </c>
      <c r="N77" s="73">
        <v>135.78368548457945</v>
      </c>
      <c r="O77" s="41"/>
      <c r="P77" s="83">
        <f t="shared" si="14"/>
        <v>2.9323959147239713</v>
      </c>
      <c r="Q77" s="85">
        <f t="shared" si="15"/>
        <v>33.945921371144863</v>
      </c>
      <c r="R77" s="12"/>
      <c r="S77" s="89">
        <f t="shared" si="18"/>
        <v>9.5669594039722826E-3</v>
      </c>
      <c r="T77" s="90">
        <f t="shared" si="16"/>
        <v>8.0317136253723938E-3</v>
      </c>
      <c r="U77" s="41"/>
      <c r="V77" s="89">
        <f t="shared" si="19"/>
        <v>0.65333302882012612</v>
      </c>
      <c r="W77" s="90">
        <f t="shared" si="20"/>
        <v>0.77231019634214326</v>
      </c>
      <c r="X77" s="41"/>
      <c r="Y77" s="72">
        <f t="shared" si="11"/>
        <v>0.28700000000000003</v>
      </c>
      <c r="Z77" s="62">
        <f t="shared" si="8"/>
        <v>0.41837395981067566</v>
      </c>
      <c r="AA77" s="62">
        <f t="shared" si="12"/>
        <v>0.28700000000000003</v>
      </c>
      <c r="AB77" s="105">
        <f t="shared" si="9"/>
        <v>3.2843489952668913E-3</v>
      </c>
      <c r="AC77" s="106">
        <f t="shared" si="10"/>
        <v>1.7825000000000004E-2</v>
      </c>
      <c r="AD77" s="42"/>
      <c r="AF77" s="1"/>
      <c r="AG77" s="1"/>
      <c r="AH77" s="1"/>
      <c r="AI77" s="1"/>
      <c r="AJ77" s="1"/>
      <c r="AK77" s="1"/>
    </row>
    <row r="78" spans="2:37" x14ac:dyDescent="0.25">
      <c r="B78" s="40"/>
      <c r="C78" s="72">
        <f t="shared" si="17"/>
        <v>17.25</v>
      </c>
      <c r="D78" s="64">
        <v>8.9052474051926218</v>
      </c>
      <c r="E78" s="73">
        <v>144.71798216087598</v>
      </c>
      <c r="F78" s="41"/>
      <c r="G78" s="80">
        <f t="shared" si="13"/>
        <v>16.25086598677667</v>
      </c>
      <c r="H78" s="83">
        <v>11.541898522809619</v>
      </c>
      <c r="I78" s="12">
        <v>14.113337103503477</v>
      </c>
      <c r="J78" s="85">
        <v>162.89470466684097</v>
      </c>
      <c r="K78" s="41"/>
      <c r="L78" s="83">
        <v>11.541898522809619</v>
      </c>
      <c r="M78" s="64">
        <v>14.113337103503477</v>
      </c>
      <c r="N78" s="73">
        <v>162.89470466684097</v>
      </c>
      <c r="O78" s="41"/>
      <c r="P78" s="83">
        <f t="shared" si="14"/>
        <v>3.5283342758758693</v>
      </c>
      <c r="Q78" s="85">
        <f t="shared" si="15"/>
        <v>40.723676166710241</v>
      </c>
      <c r="R78" s="12"/>
      <c r="S78" s="89">
        <f t="shared" si="18"/>
        <v>1.1511211910867025E-2</v>
      </c>
      <c r="T78" s="90">
        <f t="shared" si="16"/>
        <v>9.6353520992200573E-3</v>
      </c>
      <c r="U78" s="41"/>
      <c r="V78" s="89">
        <f t="shared" si="19"/>
        <v>0.66484424073099313</v>
      </c>
      <c r="W78" s="90">
        <f t="shared" si="20"/>
        <v>0.78194554844136333</v>
      </c>
      <c r="X78" s="41"/>
      <c r="Y78" s="72">
        <f t="shared" si="11"/>
        <v>0.31200000000000006</v>
      </c>
      <c r="Z78" s="62">
        <f t="shared" si="8"/>
        <v>0.44796254908225469</v>
      </c>
      <c r="AA78" s="62">
        <f t="shared" si="12"/>
        <v>0.31200000000000006</v>
      </c>
      <c r="AB78" s="105">
        <f t="shared" si="9"/>
        <v>3.3990637270563664E-3</v>
      </c>
      <c r="AC78" s="106">
        <f t="shared" si="10"/>
        <v>1.7200000000000003E-2</v>
      </c>
      <c r="AD78" s="42"/>
      <c r="AF78" s="1"/>
      <c r="AG78" s="1"/>
      <c r="AH78" s="1"/>
      <c r="AI78" s="1"/>
      <c r="AJ78" s="1"/>
      <c r="AK78" s="1"/>
    </row>
    <row r="79" spans="2:37" x14ac:dyDescent="0.25">
      <c r="B79" s="40"/>
      <c r="C79" s="72">
        <f t="shared" si="17"/>
        <v>17.5</v>
      </c>
      <c r="D79" s="64">
        <v>13.274762438257856</v>
      </c>
      <c r="E79" s="73">
        <v>214.0875635384501</v>
      </c>
      <c r="F79" s="41"/>
      <c r="G79" s="80">
        <f t="shared" si="13"/>
        <v>16.127412037254235</v>
      </c>
      <c r="H79" s="83">
        <v>11.179945728059987</v>
      </c>
      <c r="I79" s="12">
        <v>11.869217161588034</v>
      </c>
      <c r="J79" s="85">
        <v>132.69720370111244</v>
      </c>
      <c r="K79" s="41"/>
      <c r="L79" s="83">
        <v>11.179945728059987</v>
      </c>
      <c r="M79" s="64">
        <v>11.869217161588034</v>
      </c>
      <c r="N79" s="73">
        <v>132.69720370111244</v>
      </c>
      <c r="O79" s="41"/>
      <c r="P79" s="83">
        <f t="shared" si="14"/>
        <v>2.9673042903970086</v>
      </c>
      <c r="Q79" s="85">
        <f t="shared" si="15"/>
        <v>33.174300925278111</v>
      </c>
      <c r="R79" s="12"/>
      <c r="S79" s="89">
        <f t="shared" si="18"/>
        <v>9.6808481906963621E-3</v>
      </c>
      <c r="T79" s="90">
        <f t="shared" si="16"/>
        <v>7.84914575864918E-3</v>
      </c>
      <c r="U79" s="41"/>
      <c r="V79" s="89">
        <f t="shared" si="19"/>
        <v>0.6745250889216895</v>
      </c>
      <c r="W79" s="90">
        <f t="shared" si="20"/>
        <v>0.78979469420001247</v>
      </c>
      <c r="X79" s="41"/>
      <c r="Y79" s="72">
        <f t="shared" si="11"/>
        <v>0.33700000000000008</v>
      </c>
      <c r="Z79" s="62">
        <f t="shared" si="8"/>
        <v>0.476607992902432</v>
      </c>
      <c r="AA79" s="62">
        <f t="shared" si="12"/>
        <v>0.33700000000000008</v>
      </c>
      <c r="AB79" s="105">
        <f t="shared" si="9"/>
        <v>3.4901998225607988E-3</v>
      </c>
      <c r="AC79" s="106">
        <f t="shared" si="10"/>
        <v>1.6575000000000003E-2</v>
      </c>
      <c r="AD79" s="42"/>
      <c r="AF79" s="1"/>
      <c r="AG79" s="1"/>
      <c r="AH79" s="1"/>
      <c r="AI79" s="1"/>
      <c r="AJ79" s="1"/>
      <c r="AK79" s="1"/>
    </row>
    <row r="80" spans="2:37" x14ac:dyDescent="0.25">
      <c r="B80" s="40"/>
      <c r="C80" s="72">
        <f t="shared" si="17"/>
        <v>17.75</v>
      </c>
      <c r="D80" s="64">
        <v>9.0510622505704017</v>
      </c>
      <c r="E80" s="73">
        <v>143.66142601699329</v>
      </c>
      <c r="F80" s="41"/>
      <c r="G80" s="80">
        <f t="shared" si="13"/>
        <v>15.87232769368476</v>
      </c>
      <c r="H80" s="83">
        <v>11.175887603172185</v>
      </c>
      <c r="I80" s="12">
        <v>11.266081308841894</v>
      </c>
      <c r="J80" s="85">
        <v>125.908458435816</v>
      </c>
      <c r="K80" s="41"/>
      <c r="L80" s="83">
        <v>11.175887603172185</v>
      </c>
      <c r="M80" s="64">
        <v>11.266081308841894</v>
      </c>
      <c r="N80" s="73">
        <v>125.908458435816</v>
      </c>
      <c r="O80" s="41"/>
      <c r="P80" s="83">
        <f t="shared" si="14"/>
        <v>2.8165203272104735</v>
      </c>
      <c r="Q80" s="85">
        <f t="shared" si="15"/>
        <v>31.477114608954</v>
      </c>
      <c r="R80" s="12"/>
      <c r="S80" s="89">
        <f t="shared" si="18"/>
        <v>9.1889145990103234E-3</v>
      </c>
      <c r="T80" s="90">
        <f t="shared" si="16"/>
        <v>7.4475860451101326E-3</v>
      </c>
      <c r="U80" s="41"/>
      <c r="V80" s="89">
        <f t="shared" si="19"/>
        <v>0.68371400352069978</v>
      </c>
      <c r="W80" s="90">
        <f t="shared" si="20"/>
        <v>0.79724228024512256</v>
      </c>
      <c r="X80" s="41"/>
      <c r="Y80" s="72">
        <f t="shared" si="11"/>
        <v>0.3620000000000001</v>
      </c>
      <c r="Z80" s="62">
        <f t="shared" si="8"/>
        <v>0.5043448833960742</v>
      </c>
      <c r="AA80" s="62">
        <f t="shared" si="12"/>
        <v>0.3620000000000001</v>
      </c>
      <c r="AB80" s="105">
        <f t="shared" si="9"/>
        <v>3.5586220849018529E-3</v>
      </c>
      <c r="AC80" s="106">
        <f t="shared" si="10"/>
        <v>1.5949999999999999E-2</v>
      </c>
      <c r="AD80" s="42"/>
      <c r="AF80" s="1"/>
      <c r="AG80" s="1"/>
      <c r="AH80" s="1"/>
      <c r="AI80" s="1"/>
      <c r="AJ80" s="1"/>
      <c r="AK80" s="1"/>
    </row>
    <row r="81" spans="2:37" x14ac:dyDescent="0.25">
      <c r="B81" s="40"/>
      <c r="C81" s="72">
        <f t="shared" si="17"/>
        <v>18</v>
      </c>
      <c r="D81" s="64">
        <v>13.409486005614427</v>
      </c>
      <c r="E81" s="73">
        <v>126.26309995803415</v>
      </c>
      <c r="F81" s="41"/>
      <c r="G81" s="80">
        <f t="shared" si="13"/>
        <v>9.4159537438772052</v>
      </c>
      <c r="H81" s="83">
        <v>10.965073254635545</v>
      </c>
      <c r="I81" s="12">
        <v>13.167871017141561</v>
      </c>
      <c r="J81" s="85">
        <v>144.38667031054948</v>
      </c>
      <c r="K81" s="41"/>
      <c r="L81" s="83">
        <v>10.965073254635545</v>
      </c>
      <c r="M81" s="64">
        <v>13.167871017141561</v>
      </c>
      <c r="N81" s="73">
        <v>144.38667031054948</v>
      </c>
      <c r="O81" s="41"/>
      <c r="P81" s="83">
        <f t="shared" si="14"/>
        <v>3.2919677542853902</v>
      </c>
      <c r="Q81" s="85">
        <f t="shared" si="15"/>
        <v>36.096667577637369</v>
      </c>
      <c r="R81" s="12"/>
      <c r="S81" s="89">
        <f t="shared" si="18"/>
        <v>1.074006470487076E-2</v>
      </c>
      <c r="T81" s="90">
        <f t="shared" si="16"/>
        <v>8.5405870603438034E-3</v>
      </c>
      <c r="U81" s="41"/>
      <c r="V81" s="89">
        <f t="shared" si="19"/>
        <v>0.69445406822557054</v>
      </c>
      <c r="W81" s="90">
        <f t="shared" si="20"/>
        <v>0.80578286730546633</v>
      </c>
      <c r="X81" s="41"/>
      <c r="Y81" s="72">
        <f t="shared" si="11"/>
        <v>0.38700000000000012</v>
      </c>
      <c r="Z81" s="62">
        <f t="shared" si="8"/>
        <v>0.53120781268804784</v>
      </c>
      <c r="AA81" s="62">
        <f t="shared" si="12"/>
        <v>0.38700000000000012</v>
      </c>
      <c r="AB81" s="105">
        <f t="shared" si="9"/>
        <v>3.6051953172011935E-3</v>
      </c>
      <c r="AC81" s="106">
        <f t="shared" si="10"/>
        <v>1.5325E-2</v>
      </c>
      <c r="AD81" s="42"/>
      <c r="AF81" s="1"/>
      <c r="AG81" s="1"/>
      <c r="AH81" s="1"/>
      <c r="AI81" s="1"/>
      <c r="AJ81" s="1"/>
      <c r="AK81" s="1"/>
    </row>
    <row r="82" spans="2:37" x14ac:dyDescent="0.25">
      <c r="B82" s="40"/>
      <c r="C82" s="72">
        <f t="shared" si="17"/>
        <v>18.25</v>
      </c>
      <c r="D82" s="64">
        <v>8.8993318796707683</v>
      </c>
      <c r="E82" s="73">
        <v>244.05807626699351</v>
      </c>
      <c r="F82" s="41"/>
      <c r="G82" s="80">
        <f t="shared" si="13"/>
        <v>27.424314495395858</v>
      </c>
      <c r="H82" s="83">
        <v>10.9397243063106</v>
      </c>
      <c r="I82" s="12">
        <v>10.657028379531884</v>
      </c>
      <c r="J82" s="85">
        <v>116.58495239660681</v>
      </c>
      <c r="K82" s="41"/>
      <c r="L82" s="83">
        <v>10.9397243063106</v>
      </c>
      <c r="M82" s="64">
        <v>10.657028379531884</v>
      </c>
      <c r="N82" s="73">
        <v>116.58495239660681</v>
      </c>
      <c r="O82" s="41"/>
      <c r="P82" s="83">
        <f t="shared" si="14"/>
        <v>2.6642570948829709</v>
      </c>
      <c r="Q82" s="85">
        <f t="shared" si="15"/>
        <v>29.146238099151702</v>
      </c>
      <c r="R82" s="12"/>
      <c r="S82" s="89">
        <f t="shared" si="18"/>
        <v>8.6921548828067432E-3</v>
      </c>
      <c r="T82" s="90">
        <f t="shared" si="16"/>
        <v>6.8960932039479842E-3</v>
      </c>
      <c r="U82" s="41"/>
      <c r="V82" s="89">
        <f t="shared" si="19"/>
        <v>0.70314622310837727</v>
      </c>
      <c r="W82" s="90">
        <f t="shared" si="20"/>
        <v>0.81267896050941435</v>
      </c>
      <c r="X82" s="41"/>
      <c r="Y82" s="72">
        <f t="shared" si="11"/>
        <v>0.41200000000000014</v>
      </c>
      <c r="Z82" s="62">
        <f t="shared" si="8"/>
        <v>0.55723137290321956</v>
      </c>
      <c r="AA82" s="62">
        <f t="shared" si="12"/>
        <v>0.41200000000000014</v>
      </c>
      <c r="AB82" s="105">
        <f t="shared" si="9"/>
        <v>3.6307843225804859E-3</v>
      </c>
      <c r="AC82" s="106">
        <f t="shared" si="10"/>
        <v>1.47E-2</v>
      </c>
      <c r="AD82" s="42"/>
      <c r="AF82" s="1"/>
      <c r="AG82" s="1"/>
      <c r="AH82" s="1"/>
      <c r="AI82" s="1"/>
      <c r="AJ82" s="1"/>
      <c r="AK82" s="1"/>
    </row>
    <row r="83" spans="2:37" x14ac:dyDescent="0.25">
      <c r="B83" s="40"/>
      <c r="C83" s="72">
        <f t="shared" si="17"/>
        <v>18.5</v>
      </c>
      <c r="D83" s="64">
        <v>13.351450439475785</v>
      </c>
      <c r="E83" s="73">
        <v>258.55027148751708</v>
      </c>
      <c r="F83" s="41"/>
      <c r="G83" s="80">
        <f t="shared" si="13"/>
        <v>19.364957587159982</v>
      </c>
      <c r="H83" s="83">
        <v>10.895229751297634</v>
      </c>
      <c r="I83" s="12">
        <v>9.9672995735711911</v>
      </c>
      <c r="J83" s="85">
        <v>108.59601885406906</v>
      </c>
      <c r="K83" s="41"/>
      <c r="L83" s="83">
        <v>10.895229751297634</v>
      </c>
      <c r="M83" s="64">
        <v>9.9672995735711911</v>
      </c>
      <c r="N83" s="73">
        <v>108.59601885406906</v>
      </c>
      <c r="O83" s="41"/>
      <c r="P83" s="83">
        <f t="shared" si="14"/>
        <v>2.4918248933927978</v>
      </c>
      <c r="Q83" s="85">
        <f t="shared" si="15"/>
        <v>27.149004713517265</v>
      </c>
      <c r="R83" s="12"/>
      <c r="S83" s="89">
        <f t="shared" si="18"/>
        <v>8.1295937827482821E-3</v>
      </c>
      <c r="T83" s="90">
        <f t="shared" si="16"/>
        <v>6.4235413936417161E-3</v>
      </c>
      <c r="U83" s="41"/>
      <c r="V83" s="89">
        <f t="shared" si="19"/>
        <v>0.71127581689112551</v>
      </c>
      <c r="W83" s="90">
        <f t="shared" si="20"/>
        <v>0.81910250190305611</v>
      </c>
      <c r="X83" s="41"/>
      <c r="Y83" s="72">
        <f t="shared" si="11"/>
        <v>0.43700000000000017</v>
      </c>
      <c r="Z83" s="62">
        <f t="shared" si="8"/>
        <v>0.58245015616645579</v>
      </c>
      <c r="AA83" s="62">
        <f t="shared" si="12"/>
        <v>0.43700000000000017</v>
      </c>
      <c r="AB83" s="105">
        <f t="shared" si="9"/>
        <v>3.6362539041613915E-3</v>
      </c>
      <c r="AC83" s="106">
        <f t="shared" si="10"/>
        <v>1.4074999999999999E-2</v>
      </c>
      <c r="AD83" s="42"/>
      <c r="AF83" s="1"/>
      <c r="AG83" s="1"/>
      <c r="AH83" s="1"/>
      <c r="AI83" s="1"/>
      <c r="AJ83" s="1"/>
      <c r="AK83" s="1"/>
    </row>
    <row r="84" spans="2:37" x14ac:dyDescent="0.25">
      <c r="B84" s="40"/>
      <c r="C84" s="72">
        <f t="shared" si="17"/>
        <v>18.75</v>
      </c>
      <c r="D84" s="64">
        <v>17.041138742710814</v>
      </c>
      <c r="E84" s="73">
        <v>210.75132833972455</v>
      </c>
      <c r="F84" s="41"/>
      <c r="G84" s="80">
        <f t="shared" si="13"/>
        <v>12.367209229481301</v>
      </c>
      <c r="H84" s="83">
        <v>10.856728827669773</v>
      </c>
      <c r="I84" s="12">
        <v>15.371810890213537</v>
      </c>
      <c r="J84" s="85">
        <v>166.88758242526947</v>
      </c>
      <c r="K84" s="41"/>
      <c r="L84" s="83">
        <v>10.856728827669773</v>
      </c>
      <c r="M84" s="64">
        <v>15.371810890213537</v>
      </c>
      <c r="N84" s="73">
        <v>166.88758242526947</v>
      </c>
      <c r="O84" s="41"/>
      <c r="P84" s="83">
        <f t="shared" si="14"/>
        <v>3.8429527225533842</v>
      </c>
      <c r="Q84" s="85">
        <f t="shared" si="15"/>
        <v>41.721895606317368</v>
      </c>
      <c r="R84" s="12"/>
      <c r="S84" s="89">
        <f t="shared" si="18"/>
        <v>1.2537656495648794E-2</v>
      </c>
      <c r="T84" s="90">
        <f t="shared" si="16"/>
        <v>9.8715340129924504E-3</v>
      </c>
      <c r="U84" s="41"/>
      <c r="V84" s="89">
        <f t="shared" si="19"/>
        <v>0.72381347338677426</v>
      </c>
      <c r="W84" s="90">
        <f t="shared" si="20"/>
        <v>0.82897403591604857</v>
      </c>
      <c r="X84" s="41"/>
      <c r="Y84" s="72">
        <f t="shared" si="11"/>
        <v>0.46200000000000019</v>
      </c>
      <c r="Z84" s="62">
        <f t="shared" si="8"/>
        <v>0.60689875460262321</v>
      </c>
      <c r="AA84" s="62">
        <f t="shared" si="12"/>
        <v>0.46200000000000019</v>
      </c>
      <c r="AB84" s="105">
        <f t="shared" si="9"/>
        <v>3.6224688650655762E-3</v>
      </c>
      <c r="AC84" s="106">
        <f t="shared" si="10"/>
        <v>1.3449999999999998E-2</v>
      </c>
      <c r="AD84" s="42"/>
      <c r="AF84" s="1"/>
      <c r="AG84" s="1"/>
      <c r="AH84" s="1"/>
      <c r="AI84" s="1"/>
      <c r="AJ84" s="1"/>
      <c r="AK84" s="1"/>
    </row>
    <row r="85" spans="2:37" x14ac:dyDescent="0.25">
      <c r="B85" s="40"/>
      <c r="C85" s="72">
        <f t="shared" si="17"/>
        <v>19</v>
      </c>
      <c r="D85" s="64">
        <v>9.9249727704631638</v>
      </c>
      <c r="E85" s="73">
        <v>103.49592883360368</v>
      </c>
      <c r="F85" s="41"/>
      <c r="G85" s="80">
        <f t="shared" si="13"/>
        <v>10.427830002880087</v>
      </c>
      <c r="H85" s="83">
        <v>10.636760764025984</v>
      </c>
      <c r="I85" s="12">
        <v>5.2956026150083231</v>
      </c>
      <c r="J85" s="85">
        <v>56.328058117193933</v>
      </c>
      <c r="K85" s="41"/>
      <c r="L85" s="83">
        <v>10.636760764025984</v>
      </c>
      <c r="M85" s="64">
        <v>5.2956026150083231</v>
      </c>
      <c r="N85" s="73">
        <v>56.328058117193933</v>
      </c>
      <c r="O85" s="41"/>
      <c r="P85" s="83">
        <f t="shared" si="14"/>
        <v>1.3239006537520808</v>
      </c>
      <c r="Q85" s="85">
        <f t="shared" si="15"/>
        <v>14.082014529298483</v>
      </c>
      <c r="R85" s="12"/>
      <c r="S85" s="89">
        <f t="shared" si="18"/>
        <v>4.3192338884876511E-3</v>
      </c>
      <c r="T85" s="90">
        <f t="shared" si="16"/>
        <v>3.3318497009128065E-3</v>
      </c>
      <c r="U85" s="41"/>
      <c r="V85" s="89">
        <f t="shared" si="19"/>
        <v>0.72813270727526191</v>
      </c>
      <c r="W85" s="90">
        <f t="shared" si="20"/>
        <v>0.83230588561696139</v>
      </c>
      <c r="X85" s="41"/>
      <c r="Y85" s="72">
        <f t="shared" si="11"/>
        <v>0.48700000000000021</v>
      </c>
      <c r="Z85" s="62">
        <f t="shared" si="8"/>
        <v>0.63061176033658828</v>
      </c>
      <c r="AA85" s="62">
        <f t="shared" si="12"/>
        <v>0.48700000000000021</v>
      </c>
      <c r="AB85" s="105">
        <f t="shared" si="9"/>
        <v>3.5902940084147025E-3</v>
      </c>
      <c r="AC85" s="106">
        <f t="shared" si="10"/>
        <v>1.2824999999999998E-2</v>
      </c>
      <c r="AD85" s="42"/>
      <c r="AF85" s="1"/>
      <c r="AG85" s="1"/>
      <c r="AH85" s="1"/>
      <c r="AI85" s="1"/>
      <c r="AJ85" s="1"/>
      <c r="AK85" s="1"/>
    </row>
    <row r="86" spans="2:37" x14ac:dyDescent="0.25">
      <c r="B86" s="40"/>
      <c r="C86" s="72">
        <f t="shared" si="17"/>
        <v>19.25</v>
      </c>
      <c r="D86" s="64">
        <v>14.113337103503477</v>
      </c>
      <c r="E86" s="73">
        <v>162.89470466684097</v>
      </c>
      <c r="F86" s="41"/>
      <c r="G86" s="80">
        <f t="shared" si="13"/>
        <v>11.541898522809619</v>
      </c>
      <c r="H86" s="83">
        <v>10.499265689613807</v>
      </c>
      <c r="I86" s="12">
        <v>16.041265537549165</v>
      </c>
      <c r="J86" s="85">
        <v>168.42150887637433</v>
      </c>
      <c r="K86" s="41"/>
      <c r="L86" s="83">
        <v>10.499265689613807</v>
      </c>
      <c r="M86" s="64">
        <v>16.041265537549165</v>
      </c>
      <c r="N86" s="73">
        <v>168.42150887637433</v>
      </c>
      <c r="O86" s="41"/>
      <c r="P86" s="83">
        <f t="shared" si="14"/>
        <v>4.0103163843872913</v>
      </c>
      <c r="Q86" s="85">
        <f t="shared" si="15"/>
        <v>42.105377219093583</v>
      </c>
      <c r="R86" s="12"/>
      <c r="S86" s="89">
        <f t="shared" si="18"/>
        <v>1.3083681454429249E-2</v>
      </c>
      <c r="T86" s="90">
        <f t="shared" si="16"/>
        <v>9.9622669897391838E-3</v>
      </c>
      <c r="U86" s="41"/>
      <c r="V86" s="89">
        <f t="shared" si="19"/>
        <v>0.7412163887296912</v>
      </c>
      <c r="W86" s="90">
        <f t="shared" si="20"/>
        <v>0.84226815260670063</v>
      </c>
      <c r="X86" s="41"/>
      <c r="Y86" s="72">
        <f t="shared" si="11"/>
        <v>0.51200000000000023</v>
      </c>
      <c r="Z86" s="62">
        <f t="shared" si="8"/>
        <v>0.65362376549321766</v>
      </c>
      <c r="AA86" s="62">
        <f t="shared" si="12"/>
        <v>0.51200000000000023</v>
      </c>
      <c r="AB86" s="105">
        <f t="shared" si="9"/>
        <v>3.5405941373304363E-3</v>
      </c>
      <c r="AC86" s="106">
        <f t="shared" si="10"/>
        <v>1.2199999999999997E-2</v>
      </c>
      <c r="AD86" s="42"/>
      <c r="AF86" s="1"/>
      <c r="AG86" s="1"/>
      <c r="AH86" s="1"/>
      <c r="AI86" s="1"/>
      <c r="AJ86" s="1"/>
      <c r="AK86" s="1"/>
    </row>
    <row r="87" spans="2:37" x14ac:dyDescent="0.25">
      <c r="B87" s="40"/>
      <c r="C87" s="72">
        <f t="shared" si="17"/>
        <v>19.5</v>
      </c>
      <c r="D87" s="64">
        <v>16.950999359420862</v>
      </c>
      <c r="E87" s="73">
        <v>206.55904219327275</v>
      </c>
      <c r="F87" s="41"/>
      <c r="G87" s="80">
        <f t="shared" si="13"/>
        <v>12.185655713477056</v>
      </c>
      <c r="H87" s="83">
        <v>10.43260483058074</v>
      </c>
      <c r="I87" s="12">
        <v>7.9809319228458673</v>
      </c>
      <c r="J87" s="85">
        <v>83.261908930817825</v>
      </c>
      <c r="K87" s="41"/>
      <c r="L87" s="83">
        <v>10.43260483058074</v>
      </c>
      <c r="M87" s="64">
        <v>7.9809319228458673</v>
      </c>
      <c r="N87" s="73">
        <v>83.261908930817825</v>
      </c>
      <c r="O87" s="41"/>
      <c r="P87" s="83">
        <f t="shared" si="14"/>
        <v>1.9952329807114668</v>
      </c>
      <c r="Q87" s="85">
        <f t="shared" si="15"/>
        <v>20.815477232704456</v>
      </c>
      <c r="R87" s="12"/>
      <c r="S87" s="89">
        <f t="shared" si="18"/>
        <v>6.5094596647363055E-3</v>
      </c>
      <c r="T87" s="90">
        <f t="shared" si="16"/>
        <v>4.9250085240182357E-3</v>
      </c>
      <c r="U87" s="41"/>
      <c r="V87" s="89">
        <f t="shared" si="19"/>
        <v>0.74772584839442746</v>
      </c>
      <c r="W87" s="90">
        <f t="shared" si="20"/>
        <v>0.84719316113071885</v>
      </c>
      <c r="X87" s="41"/>
      <c r="Y87" s="72">
        <f t="shared" si="11"/>
        <v>0.53700000000000025</v>
      </c>
      <c r="Z87" s="62">
        <f t="shared" si="8"/>
        <v>0.67596936219737791</v>
      </c>
      <c r="AA87" s="62">
        <f t="shared" si="12"/>
        <v>0.53700000000000025</v>
      </c>
      <c r="AB87" s="105">
        <f t="shared" si="9"/>
        <v>3.4742340549344421E-3</v>
      </c>
      <c r="AC87" s="106">
        <f t="shared" si="10"/>
        <v>1.1574999999999995E-2</v>
      </c>
      <c r="AD87" s="42"/>
      <c r="AF87" s="1"/>
      <c r="AG87" s="1"/>
      <c r="AH87" s="1"/>
      <c r="AI87" s="1"/>
      <c r="AJ87" s="1"/>
      <c r="AK87" s="1"/>
    </row>
    <row r="88" spans="2:37" x14ac:dyDescent="0.25">
      <c r="B88" s="40"/>
      <c r="C88" s="72">
        <f t="shared" si="17"/>
        <v>19.75</v>
      </c>
      <c r="D88" s="64">
        <v>17.201147426789067</v>
      </c>
      <c r="E88" s="73">
        <v>573.4618834647697</v>
      </c>
      <c r="F88" s="41"/>
      <c r="G88" s="80">
        <f t="shared" si="13"/>
        <v>33.338583132638007</v>
      </c>
      <c r="H88" s="83">
        <v>10.427830002880087</v>
      </c>
      <c r="I88" s="12">
        <v>9.9249727704631638</v>
      </c>
      <c r="J88" s="85">
        <v>103.49592883360368</v>
      </c>
      <c r="K88" s="41"/>
      <c r="L88" s="83">
        <v>10.427830002880087</v>
      </c>
      <c r="M88" s="64">
        <v>9.9249727704631638</v>
      </c>
      <c r="N88" s="73">
        <v>103.49592883360368</v>
      </c>
      <c r="O88" s="41"/>
      <c r="P88" s="83">
        <f t="shared" si="14"/>
        <v>2.481243192615791</v>
      </c>
      <c r="Q88" s="85">
        <f t="shared" si="15"/>
        <v>25.873982208400921</v>
      </c>
      <c r="R88" s="12"/>
      <c r="S88" s="89">
        <f t="shared" si="18"/>
        <v>8.095070919975798E-3</v>
      </c>
      <c r="T88" s="90">
        <f t="shared" si="16"/>
        <v>6.1218669887836332E-3</v>
      </c>
      <c r="U88" s="41"/>
      <c r="V88" s="89">
        <f t="shared" si="19"/>
        <v>0.75582091931440321</v>
      </c>
      <c r="W88" s="90">
        <f t="shared" si="20"/>
        <v>0.85331502811950244</v>
      </c>
      <c r="X88" s="41"/>
      <c r="Y88" s="72">
        <f t="shared" si="11"/>
        <v>0.56200000000000028</v>
      </c>
      <c r="Z88" s="62">
        <f t="shared" si="8"/>
        <v>0.69768314257393549</v>
      </c>
      <c r="AA88" s="62">
        <f t="shared" si="12"/>
        <v>0.56200000000000028</v>
      </c>
      <c r="AB88" s="105">
        <f t="shared" si="9"/>
        <v>3.3920785643483812E-3</v>
      </c>
      <c r="AC88" s="106">
        <f t="shared" si="10"/>
        <v>1.0949999999999994E-2</v>
      </c>
      <c r="AD88" s="42"/>
      <c r="AF88" s="1"/>
      <c r="AG88" s="1"/>
      <c r="AH88" s="1"/>
      <c r="AI88" s="1"/>
      <c r="AJ88" s="1"/>
      <c r="AK88" s="1"/>
    </row>
    <row r="89" spans="2:37" x14ac:dyDescent="0.25">
      <c r="B89" s="40"/>
      <c r="C89" s="72">
        <f t="shared" si="17"/>
        <v>20</v>
      </c>
      <c r="D89" s="64">
        <v>11.356849799992439</v>
      </c>
      <c r="E89" s="73">
        <v>161.04338371696588</v>
      </c>
      <c r="F89" s="41"/>
      <c r="G89" s="80">
        <f t="shared" si="13"/>
        <v>14.180286483763577</v>
      </c>
      <c r="H89" s="83">
        <v>10.414490549474156</v>
      </c>
      <c r="I89" s="12">
        <v>12.375371532054952</v>
      </c>
      <c r="J89" s="85">
        <v>128.88318986681782</v>
      </c>
      <c r="K89" s="41"/>
      <c r="L89" s="83">
        <v>10.414490549474156</v>
      </c>
      <c r="M89" s="64">
        <v>12.375371532054952</v>
      </c>
      <c r="N89" s="73">
        <v>128.88318986681782</v>
      </c>
      <c r="O89" s="41"/>
      <c r="P89" s="83">
        <f t="shared" si="14"/>
        <v>3.0938428830137381</v>
      </c>
      <c r="Q89" s="85">
        <f t="shared" si="15"/>
        <v>32.220797466704454</v>
      </c>
      <c r="R89" s="12"/>
      <c r="S89" s="89">
        <f t="shared" si="18"/>
        <v>1.0093681114286761E-2</v>
      </c>
      <c r="T89" s="90">
        <f t="shared" si="16"/>
        <v>7.623543789083094E-3</v>
      </c>
      <c r="U89" s="41"/>
      <c r="V89" s="89">
        <f t="shared" si="19"/>
        <v>0.76591460042868997</v>
      </c>
      <c r="W89" s="90">
        <f t="shared" si="20"/>
        <v>0.86093857190858558</v>
      </c>
      <c r="X89" s="41"/>
      <c r="Y89" s="72">
        <f t="shared" si="11"/>
        <v>0.5870000000000003</v>
      </c>
      <c r="Z89" s="62">
        <f t="shared" si="8"/>
        <v>0.71879969874775718</v>
      </c>
      <c r="AA89" s="62">
        <f t="shared" si="12"/>
        <v>0.5870000000000003</v>
      </c>
      <c r="AB89" s="105">
        <f t="shared" si="9"/>
        <v>3.2949924686939227E-3</v>
      </c>
      <c r="AC89" s="106">
        <f t="shared" si="10"/>
        <v>1.0324999999999994E-2</v>
      </c>
      <c r="AD89" s="42"/>
      <c r="AF89" s="1"/>
      <c r="AG89" s="1"/>
      <c r="AH89" s="1"/>
      <c r="AI89" s="1"/>
      <c r="AJ89" s="1"/>
      <c r="AK89" s="1"/>
    </row>
    <row r="90" spans="2:37" x14ac:dyDescent="0.25">
      <c r="B90" s="40"/>
      <c r="C90" s="72">
        <f t="shared" si="17"/>
        <v>20.25</v>
      </c>
      <c r="D90" s="64">
        <v>15.789876247345301</v>
      </c>
      <c r="E90" s="73">
        <v>279.83900038893358</v>
      </c>
      <c r="F90" s="41"/>
      <c r="G90" s="80">
        <f t="shared" si="13"/>
        <v>17.722684839659966</v>
      </c>
      <c r="H90" s="83">
        <v>10.016506814520152</v>
      </c>
      <c r="I90" s="12">
        <v>16.207818106538124</v>
      </c>
      <c r="J90" s="85">
        <v>162.34572051264223</v>
      </c>
      <c r="K90" s="41"/>
      <c r="L90" s="83">
        <v>10.016506814520152</v>
      </c>
      <c r="M90" s="64">
        <v>16.207818106538124</v>
      </c>
      <c r="N90" s="73">
        <v>162.34572051264223</v>
      </c>
      <c r="O90" s="41"/>
      <c r="P90" s="83">
        <f t="shared" si="14"/>
        <v>4.0519545266345309</v>
      </c>
      <c r="Q90" s="85">
        <f t="shared" si="15"/>
        <v>40.586430128160558</v>
      </c>
      <c r="R90" s="12"/>
      <c r="S90" s="89">
        <f t="shared" si="18"/>
        <v>1.3219526145296534E-2</v>
      </c>
      <c r="T90" s="90">
        <f t="shared" si="16"/>
        <v>9.6028792473037486E-3</v>
      </c>
      <c r="U90" s="41"/>
      <c r="V90" s="89">
        <f t="shared" si="19"/>
        <v>0.77913412657398651</v>
      </c>
      <c r="W90" s="90">
        <f t="shared" si="20"/>
        <v>0.87054145115588932</v>
      </c>
      <c r="X90" s="41"/>
      <c r="Y90" s="72">
        <f t="shared" si="11"/>
        <v>0.61200000000000032</v>
      </c>
      <c r="Z90" s="62">
        <f t="shared" si="8"/>
        <v>0.73935362284370942</v>
      </c>
      <c r="AA90" s="62">
        <f t="shared" si="12"/>
        <v>0.61200000000000032</v>
      </c>
      <c r="AB90" s="105">
        <f t="shared" si="9"/>
        <v>3.1838405710927281E-3</v>
      </c>
      <c r="AC90" s="106">
        <f t="shared" si="10"/>
        <v>9.6999999999999933E-3</v>
      </c>
      <c r="AD90" s="42"/>
      <c r="AF90" s="1"/>
      <c r="AG90" s="1"/>
      <c r="AH90" s="1"/>
      <c r="AI90" s="1"/>
      <c r="AJ90" s="1"/>
      <c r="AK90" s="1"/>
    </row>
    <row r="91" spans="2:37" x14ac:dyDescent="0.25">
      <c r="B91" s="40"/>
      <c r="C91" s="72">
        <f t="shared" si="17"/>
        <v>20.5</v>
      </c>
      <c r="D91" s="64">
        <v>12.072817959683491</v>
      </c>
      <c r="E91" s="73">
        <v>112.27302338862073</v>
      </c>
      <c r="F91" s="41"/>
      <c r="G91" s="80">
        <f t="shared" si="13"/>
        <v>9.2996534664525132</v>
      </c>
      <c r="H91" s="83">
        <v>9.8096736244350318</v>
      </c>
      <c r="I91" s="12">
        <v>15.91117106051739</v>
      </c>
      <c r="J91" s="85">
        <v>156.08339508623141</v>
      </c>
      <c r="K91" s="41"/>
      <c r="L91" s="83">
        <v>9.8096736244350318</v>
      </c>
      <c r="M91" s="64">
        <v>15.91117106051739</v>
      </c>
      <c r="N91" s="73">
        <v>156.08339508623141</v>
      </c>
      <c r="O91" s="41"/>
      <c r="P91" s="83">
        <f t="shared" si="14"/>
        <v>3.9777927651293474</v>
      </c>
      <c r="Q91" s="85">
        <f t="shared" si="15"/>
        <v>39.020848771557851</v>
      </c>
      <c r="R91" s="12"/>
      <c r="S91" s="89">
        <f t="shared" si="18"/>
        <v>1.2977572949930023E-2</v>
      </c>
      <c r="T91" s="90">
        <f t="shared" si="16"/>
        <v>9.2324576883784544E-3</v>
      </c>
      <c r="U91" s="41"/>
      <c r="V91" s="89">
        <f t="shared" si="19"/>
        <v>0.79211169952391658</v>
      </c>
      <c r="W91" s="90">
        <f t="shared" si="20"/>
        <v>0.87977390884426776</v>
      </c>
      <c r="X91" s="41"/>
      <c r="Y91" s="72">
        <f t="shared" si="11"/>
        <v>0.63700000000000034</v>
      </c>
      <c r="Z91" s="62">
        <f t="shared" si="8"/>
        <v>0.75937950698665879</v>
      </c>
      <c r="AA91" s="62">
        <f t="shared" si="12"/>
        <v>0.63700000000000034</v>
      </c>
      <c r="AB91" s="105">
        <f t="shared" si="9"/>
        <v>3.0594876746664616E-3</v>
      </c>
      <c r="AC91" s="106">
        <f t="shared" si="10"/>
        <v>9.0749999999999928E-3</v>
      </c>
      <c r="AD91" s="42"/>
      <c r="AF91" s="1"/>
      <c r="AG91" s="1"/>
      <c r="AH91" s="1"/>
      <c r="AI91" s="1"/>
      <c r="AJ91" s="1"/>
      <c r="AK91" s="1"/>
    </row>
    <row r="92" spans="2:37" x14ac:dyDescent="0.25">
      <c r="B92" s="40"/>
      <c r="C92" s="72">
        <f t="shared" si="17"/>
        <v>20.75</v>
      </c>
      <c r="D92" s="64">
        <v>14.411136826530798</v>
      </c>
      <c r="E92" s="73">
        <v>123.32646328000929</v>
      </c>
      <c r="F92" s="41"/>
      <c r="G92" s="80">
        <f t="shared" si="13"/>
        <v>8.5577192670161981</v>
      </c>
      <c r="H92" s="83">
        <v>9.5439363998964097</v>
      </c>
      <c r="I92" s="12">
        <v>8.1473992035942402</v>
      </c>
      <c r="J92" s="85">
        <v>77.758259823670087</v>
      </c>
      <c r="K92" s="41"/>
      <c r="L92" s="83">
        <v>9.5439363998964097</v>
      </c>
      <c r="M92" s="64">
        <v>8.1473992035942402</v>
      </c>
      <c r="N92" s="73">
        <v>77.758259823670087</v>
      </c>
      <c r="O92" s="41"/>
      <c r="P92" s="83">
        <f t="shared" si="14"/>
        <v>2.03684980089856</v>
      </c>
      <c r="Q92" s="85">
        <f t="shared" si="15"/>
        <v>19.439564955917522</v>
      </c>
      <c r="R92" s="12"/>
      <c r="S92" s="89">
        <f t="shared" si="18"/>
        <v>6.6452347922534277E-3</v>
      </c>
      <c r="T92" s="90">
        <f t="shared" si="16"/>
        <v>4.5994632763296447E-3</v>
      </c>
      <c r="U92" s="41"/>
      <c r="V92" s="89">
        <f t="shared" si="19"/>
        <v>0.79875693431617001</v>
      </c>
      <c r="W92" s="90">
        <f t="shared" si="20"/>
        <v>0.88437337212059741</v>
      </c>
      <c r="X92" s="41"/>
      <c r="Y92" s="72">
        <f t="shared" si="11"/>
        <v>0.66200000000000037</v>
      </c>
      <c r="Z92" s="62">
        <f t="shared" si="8"/>
        <v>0.77891194330147173</v>
      </c>
      <c r="AA92" s="62">
        <f t="shared" si="12"/>
        <v>0.66200000000000037</v>
      </c>
      <c r="AB92" s="105">
        <f t="shared" si="9"/>
        <v>2.9227985825367848E-3</v>
      </c>
      <c r="AC92" s="106">
        <f t="shared" si="10"/>
        <v>8.4499999999999922E-3</v>
      </c>
      <c r="AD92" s="42"/>
      <c r="AF92" s="1"/>
      <c r="AG92" s="1"/>
      <c r="AH92" s="1"/>
      <c r="AI92" s="1"/>
      <c r="AJ92" s="1"/>
      <c r="AK92" s="1"/>
    </row>
    <row r="93" spans="2:37" x14ac:dyDescent="0.25">
      <c r="B93" s="40"/>
      <c r="C93" s="72">
        <f t="shared" si="17"/>
        <v>21</v>
      </c>
      <c r="D93" s="64">
        <v>16.893730320308673</v>
      </c>
      <c r="E93" s="73">
        <v>321.06221782085635</v>
      </c>
      <c r="F93" s="41"/>
      <c r="G93" s="80">
        <f t="shared" si="13"/>
        <v>19.004814906681311</v>
      </c>
      <c r="H93" s="83">
        <v>9.4159537438772052</v>
      </c>
      <c r="I93" s="12">
        <v>13.409486005614427</v>
      </c>
      <c r="J93" s="85">
        <v>126.26309995803415</v>
      </c>
      <c r="K93" s="41"/>
      <c r="L93" s="83">
        <v>9.4159537438772052</v>
      </c>
      <c r="M93" s="64">
        <v>13.409486005614427</v>
      </c>
      <c r="N93" s="73">
        <v>126.26309995803415</v>
      </c>
      <c r="O93" s="41"/>
      <c r="P93" s="83">
        <f t="shared" si="14"/>
        <v>3.3523715014036068</v>
      </c>
      <c r="Q93" s="85">
        <f t="shared" si="15"/>
        <v>31.565774989508537</v>
      </c>
      <c r="R93" s="12"/>
      <c r="S93" s="89">
        <f t="shared" si="18"/>
        <v>1.0937132295105137E-2</v>
      </c>
      <c r="T93" s="90">
        <f t="shared" si="16"/>
        <v>7.4685633748678062E-3</v>
      </c>
      <c r="U93" s="41"/>
      <c r="V93" s="89">
        <f t="shared" si="19"/>
        <v>0.80969406661127519</v>
      </c>
      <c r="W93" s="90">
        <f t="shared" si="20"/>
        <v>0.8918419354954652</v>
      </c>
      <c r="X93" s="41"/>
      <c r="Y93" s="72">
        <f t="shared" si="11"/>
        <v>0.68700000000000039</v>
      </c>
      <c r="Z93" s="62">
        <f t="shared" si="8"/>
        <v>0.79798552391301514</v>
      </c>
      <c r="AA93" s="62">
        <f t="shared" si="12"/>
        <v>0.68700000000000039</v>
      </c>
      <c r="AB93" s="105">
        <f t="shared" si="9"/>
        <v>2.7746380978253692E-3</v>
      </c>
      <c r="AC93" s="106">
        <f t="shared" si="10"/>
        <v>7.8249999999999917E-3</v>
      </c>
      <c r="AD93" s="42"/>
      <c r="AF93" s="1"/>
      <c r="AG93" s="1"/>
      <c r="AH93" s="1"/>
      <c r="AI93" s="1"/>
      <c r="AJ93" s="1"/>
      <c r="AK93" s="1"/>
    </row>
    <row r="94" spans="2:37" x14ac:dyDescent="0.25">
      <c r="B94" s="40"/>
      <c r="C94" s="72">
        <f t="shared" si="17"/>
        <v>21.25</v>
      </c>
      <c r="D94" s="64">
        <v>14.985383780803165</v>
      </c>
      <c r="E94" s="73">
        <v>234.47836095555809</v>
      </c>
      <c r="F94" s="41"/>
      <c r="G94" s="80">
        <f t="shared" si="13"/>
        <v>15.647137529833143</v>
      </c>
      <c r="H94" s="83">
        <v>9.3998088531340507</v>
      </c>
      <c r="I94" s="12">
        <v>9.5360750983315548</v>
      </c>
      <c r="J94" s="85">
        <v>89.637283133448108</v>
      </c>
      <c r="K94" s="41"/>
      <c r="L94" s="83">
        <v>9.3998088531340507</v>
      </c>
      <c r="M94" s="64">
        <v>9.5360750983315548</v>
      </c>
      <c r="N94" s="73">
        <v>89.637283133448108</v>
      </c>
      <c r="O94" s="41"/>
      <c r="P94" s="83">
        <f t="shared" si="14"/>
        <v>2.3840187745828887</v>
      </c>
      <c r="Q94" s="85">
        <f t="shared" si="15"/>
        <v>22.409320783362027</v>
      </c>
      <c r="R94" s="12"/>
      <c r="S94" s="89">
        <f t="shared" si="18"/>
        <v>7.7778756682278221E-3</v>
      </c>
      <c r="T94" s="90">
        <f t="shared" si="16"/>
        <v>5.3021170084976066E-3</v>
      </c>
      <c r="U94" s="41"/>
      <c r="V94" s="89">
        <f t="shared" si="19"/>
        <v>0.81747194227950304</v>
      </c>
      <c r="W94" s="90">
        <f t="shared" si="20"/>
        <v>0.89714405250396279</v>
      </c>
      <c r="X94" s="41"/>
      <c r="Y94" s="72">
        <f t="shared" si="11"/>
        <v>0.71200000000000041</v>
      </c>
      <c r="Z94" s="62">
        <f t="shared" si="8"/>
        <v>0.81663484094615524</v>
      </c>
      <c r="AA94" s="62">
        <f t="shared" si="12"/>
        <v>0.71200000000000041</v>
      </c>
      <c r="AB94" s="105">
        <f t="shared" si="9"/>
        <v>2.615871023653871E-3</v>
      </c>
      <c r="AC94" s="106">
        <f t="shared" si="10"/>
        <v>7.1999999999999911E-3</v>
      </c>
      <c r="AD94" s="42"/>
      <c r="AF94" s="1"/>
      <c r="AG94" s="1"/>
      <c r="AH94" s="1"/>
      <c r="AI94" s="1"/>
      <c r="AJ94" s="1"/>
      <c r="AK94" s="1"/>
    </row>
    <row r="95" spans="2:37" x14ac:dyDescent="0.25">
      <c r="B95" s="40"/>
      <c r="C95" s="72">
        <f t="shared" si="17"/>
        <v>21.5</v>
      </c>
      <c r="D95" s="64">
        <v>10.658562097656317</v>
      </c>
      <c r="E95" s="73">
        <v>97.691796518661732</v>
      </c>
      <c r="F95" s="41"/>
      <c r="G95" s="80">
        <f t="shared" si="13"/>
        <v>9.1655699543321063</v>
      </c>
      <c r="H95" s="83">
        <v>9.3782026156717588</v>
      </c>
      <c r="I95" s="12">
        <v>14.074325170490827</v>
      </c>
      <c r="J95" s="85">
        <v>131.99187312771195</v>
      </c>
      <c r="K95" s="41"/>
      <c r="L95" s="83">
        <v>9.3782026156717588</v>
      </c>
      <c r="M95" s="64">
        <v>14.074325170490827</v>
      </c>
      <c r="N95" s="73">
        <v>131.99187312771195</v>
      </c>
      <c r="O95" s="41"/>
      <c r="P95" s="83">
        <f t="shared" si="14"/>
        <v>3.5185812926227067</v>
      </c>
      <c r="Q95" s="85">
        <f t="shared" si="15"/>
        <v>32.997968281927989</v>
      </c>
      <c r="R95" s="12"/>
      <c r="S95" s="89">
        <f t="shared" si="18"/>
        <v>1.1479392744027334E-2</v>
      </c>
      <c r="T95" s="90">
        <f t="shared" si="16"/>
        <v>7.8074248909576352E-3</v>
      </c>
      <c r="U95" s="41"/>
      <c r="V95" s="89">
        <f t="shared" si="19"/>
        <v>0.82895133502353036</v>
      </c>
      <c r="W95" s="90">
        <f t="shared" si="20"/>
        <v>0.90495147739492043</v>
      </c>
      <c r="X95" s="41"/>
      <c r="Y95" s="72">
        <f t="shared" si="11"/>
        <v>0.73700000000000043</v>
      </c>
      <c r="Z95" s="62">
        <f t="shared" si="8"/>
        <v>0.83489448652575882</v>
      </c>
      <c r="AA95" s="62">
        <f t="shared" si="12"/>
        <v>0.73700000000000043</v>
      </c>
      <c r="AB95" s="105">
        <f t="shared" si="9"/>
        <v>2.4473621631439599E-3</v>
      </c>
      <c r="AC95" s="106">
        <f t="shared" si="10"/>
        <v>6.5749999999999906E-3</v>
      </c>
      <c r="AD95" s="42"/>
      <c r="AF95" s="1"/>
      <c r="AG95" s="1"/>
      <c r="AH95" s="1"/>
      <c r="AI95" s="1"/>
      <c r="AJ95" s="1"/>
      <c r="AK95" s="1"/>
    </row>
    <row r="96" spans="2:37" x14ac:dyDescent="0.25">
      <c r="B96" s="40"/>
      <c r="C96" s="72">
        <f t="shared" si="17"/>
        <v>21.75</v>
      </c>
      <c r="D96" s="64">
        <v>12.551588491107971</v>
      </c>
      <c r="E96" s="73">
        <v>184.79654211052423</v>
      </c>
      <c r="F96" s="41"/>
      <c r="G96" s="80">
        <f t="shared" si="13"/>
        <v>14.722960543316189</v>
      </c>
      <c r="H96" s="83">
        <v>9.2996534664525132</v>
      </c>
      <c r="I96" s="12">
        <v>12.072817959683491</v>
      </c>
      <c r="J96" s="85">
        <v>112.27302338862073</v>
      </c>
      <c r="K96" s="41"/>
      <c r="L96" s="83">
        <v>9.2996534664525132</v>
      </c>
      <c r="M96" s="64">
        <v>12.072817959683491</v>
      </c>
      <c r="N96" s="73">
        <v>112.27302338862073</v>
      </c>
      <c r="O96" s="41"/>
      <c r="P96" s="83">
        <f t="shared" si="14"/>
        <v>3.0182044899208726</v>
      </c>
      <c r="Q96" s="85">
        <f t="shared" si="15"/>
        <v>28.068255847155182</v>
      </c>
      <c r="R96" s="12"/>
      <c r="S96" s="89">
        <f t="shared" si="18"/>
        <v>9.8469103994362536E-3</v>
      </c>
      <c r="T96" s="90">
        <f t="shared" si="16"/>
        <v>6.641039153518536E-3</v>
      </c>
      <c r="U96" s="41"/>
      <c r="V96" s="89">
        <f t="shared" si="19"/>
        <v>0.83879824542296666</v>
      </c>
      <c r="W96" s="90">
        <f t="shared" si="20"/>
        <v>0.91159251654843898</v>
      </c>
      <c r="X96" s="41"/>
      <c r="Y96" s="72">
        <f t="shared" si="11"/>
        <v>0.76200000000000045</v>
      </c>
      <c r="Z96" s="62">
        <f t="shared" si="8"/>
        <v>0.85279905277669221</v>
      </c>
      <c r="AA96" s="62">
        <f t="shared" si="12"/>
        <v>0.76200000000000045</v>
      </c>
      <c r="AB96" s="105">
        <f t="shared" si="9"/>
        <v>2.2699763194172942E-3</v>
      </c>
      <c r="AC96" s="106">
        <f t="shared" si="10"/>
        <v>5.94999999999999E-3</v>
      </c>
      <c r="AD96" s="42"/>
      <c r="AF96" s="1"/>
      <c r="AG96" s="1"/>
      <c r="AH96" s="1"/>
      <c r="AI96" s="1"/>
      <c r="AJ96" s="1"/>
      <c r="AK96" s="1"/>
    </row>
    <row r="97" spans="2:37" x14ac:dyDescent="0.25">
      <c r="B97" s="40"/>
      <c r="C97" s="72">
        <f t="shared" si="17"/>
        <v>22</v>
      </c>
      <c r="D97" s="64">
        <v>10.910806464060617</v>
      </c>
      <c r="E97" s="73">
        <v>84.657524923775526</v>
      </c>
      <c r="F97" s="41"/>
      <c r="G97" s="80">
        <f t="shared" si="13"/>
        <v>7.7590529355122468</v>
      </c>
      <c r="H97" s="83">
        <v>9.1655699543321063</v>
      </c>
      <c r="I97" s="12">
        <v>10.658562097656317</v>
      </c>
      <c r="J97" s="85">
        <v>97.691796518661732</v>
      </c>
      <c r="K97" s="41"/>
      <c r="L97" s="83">
        <v>9.1655699543321063</v>
      </c>
      <c r="M97" s="64">
        <v>10.658562097656317</v>
      </c>
      <c r="N97" s="73">
        <v>97.691796518661732</v>
      </c>
      <c r="O97" s="41"/>
      <c r="P97" s="83">
        <f t="shared" si="14"/>
        <v>2.6646405244140792</v>
      </c>
      <c r="Q97" s="85">
        <f t="shared" si="15"/>
        <v>24.422949129665433</v>
      </c>
      <c r="R97" s="12"/>
      <c r="S97" s="89">
        <f t="shared" si="18"/>
        <v>8.6934058239705805E-3</v>
      </c>
      <c r="T97" s="90">
        <f t="shared" si="16"/>
        <v>5.7785479189629988E-3</v>
      </c>
      <c r="U97" s="41"/>
      <c r="V97" s="89">
        <f t="shared" si="19"/>
        <v>0.84749165124693726</v>
      </c>
      <c r="W97" s="90">
        <f t="shared" si="20"/>
        <v>0.91737106446740202</v>
      </c>
      <c r="X97" s="41"/>
      <c r="Y97" s="72">
        <f t="shared" si="11"/>
        <v>0.78700000000000048</v>
      </c>
      <c r="Z97" s="62">
        <f t="shared" si="8"/>
        <v>0.87038313182382243</v>
      </c>
      <c r="AA97" s="62">
        <f t="shared" si="12"/>
        <v>0.78700000000000048</v>
      </c>
      <c r="AB97" s="105">
        <f t="shared" si="9"/>
        <v>2.0845782955955495E-3</v>
      </c>
      <c r="AC97" s="106">
        <f t="shared" si="10"/>
        <v>5.3249999999999895E-3</v>
      </c>
      <c r="AD97" s="42"/>
      <c r="AF97" s="1"/>
      <c r="AG97" s="1"/>
      <c r="AH97" s="1"/>
      <c r="AI97" s="1"/>
      <c r="AJ97" s="1"/>
      <c r="AK97" s="1"/>
    </row>
    <row r="98" spans="2:37" x14ac:dyDescent="0.25">
      <c r="B98" s="40"/>
      <c r="C98" s="72">
        <f t="shared" si="17"/>
        <v>22.25</v>
      </c>
      <c r="D98" s="64">
        <v>9.4684597845256846</v>
      </c>
      <c r="E98" s="73">
        <v>151.54939725240956</v>
      </c>
      <c r="F98" s="41"/>
      <c r="G98" s="80">
        <f t="shared" si="13"/>
        <v>16.005707443578832</v>
      </c>
      <c r="H98" s="83">
        <v>9.1195795292314141</v>
      </c>
      <c r="I98" s="12">
        <v>9.1993583324563062</v>
      </c>
      <c r="J98" s="85">
        <v>83.894279930732964</v>
      </c>
      <c r="K98" s="41"/>
      <c r="L98" s="83">
        <v>9.1195795292314141</v>
      </c>
      <c r="M98" s="64">
        <v>9.1993583324563062</v>
      </c>
      <c r="N98" s="73">
        <v>83.894279930732964</v>
      </c>
      <c r="O98" s="41"/>
      <c r="P98" s="83">
        <f t="shared" si="14"/>
        <v>2.2998395831140765</v>
      </c>
      <c r="Q98" s="85">
        <f t="shared" si="15"/>
        <v>20.973569982683241</v>
      </c>
      <c r="R98" s="12"/>
      <c r="S98" s="89">
        <f t="shared" si="18"/>
        <v>7.5032405470296182E-3</v>
      </c>
      <c r="T98" s="90">
        <f t="shared" si="16"/>
        <v>4.9624137745693823E-3</v>
      </c>
      <c r="U98" s="41"/>
      <c r="V98" s="89">
        <f t="shared" si="19"/>
        <v>0.85499489179396693</v>
      </c>
      <c r="W98" s="90">
        <f t="shared" si="20"/>
        <v>0.92233347824197143</v>
      </c>
      <c r="X98" s="41"/>
      <c r="Y98" s="72">
        <f t="shared" si="11"/>
        <v>0.8120000000000005</v>
      </c>
      <c r="Z98" s="62">
        <f t="shared" si="8"/>
        <v>0.88768131579201537</v>
      </c>
      <c r="AA98" s="62">
        <f t="shared" si="12"/>
        <v>0.8120000000000005</v>
      </c>
      <c r="AB98" s="105">
        <f t="shared" si="9"/>
        <v>1.8920328948003721E-3</v>
      </c>
      <c r="AC98" s="106">
        <f t="shared" si="10"/>
        <v>4.699999999999988E-3</v>
      </c>
      <c r="AD98" s="42"/>
      <c r="AF98" s="1"/>
      <c r="AG98" s="1"/>
      <c r="AH98" s="1"/>
      <c r="AI98" s="1"/>
      <c r="AJ98" s="1"/>
      <c r="AK98" s="1"/>
    </row>
    <row r="99" spans="2:37" x14ac:dyDescent="0.25">
      <c r="B99" s="40"/>
      <c r="C99" s="72">
        <f t="shared" si="17"/>
        <v>22.5</v>
      </c>
      <c r="D99" s="64">
        <v>12.654314016490973</v>
      </c>
      <c r="E99" s="73">
        <v>103.97861054834233</v>
      </c>
      <c r="F99" s="41"/>
      <c r="G99" s="80">
        <f t="shared" si="13"/>
        <v>8.2168508235877873</v>
      </c>
      <c r="H99" s="83">
        <v>8.602526316253913</v>
      </c>
      <c r="I99" s="12">
        <v>13.588010773256277</v>
      </c>
      <c r="J99" s="85">
        <v>116.8912202624788</v>
      </c>
      <c r="K99" s="41"/>
      <c r="L99" s="83">
        <v>8.602526316253913</v>
      </c>
      <c r="M99" s="64">
        <v>13.588010773256277</v>
      </c>
      <c r="N99" s="73">
        <v>116.8912202624788</v>
      </c>
      <c r="O99" s="41"/>
      <c r="P99" s="83">
        <f t="shared" si="14"/>
        <v>3.3970026933140693</v>
      </c>
      <c r="Q99" s="85">
        <f t="shared" si="15"/>
        <v>29.222805065619699</v>
      </c>
      <c r="R99" s="12"/>
      <c r="S99" s="89">
        <f t="shared" si="18"/>
        <v>1.1082741828597644E-2</v>
      </c>
      <c r="T99" s="90">
        <f t="shared" si="16"/>
        <v>6.9142091932331414E-3</v>
      </c>
      <c r="U99" s="41"/>
      <c r="V99" s="89">
        <f t="shared" si="19"/>
        <v>0.86607763362256462</v>
      </c>
      <c r="W99" s="90">
        <f t="shared" si="20"/>
        <v>0.92924768743520458</v>
      </c>
      <c r="X99" s="41"/>
      <c r="Y99" s="72">
        <f t="shared" si="11"/>
        <v>0.83700000000000052</v>
      </c>
      <c r="Z99" s="62">
        <f t="shared" si="8"/>
        <v>0.90472819680613803</v>
      </c>
      <c r="AA99" s="62">
        <f t="shared" si="12"/>
        <v>0.83700000000000052</v>
      </c>
      <c r="AB99" s="105">
        <f t="shared" si="9"/>
        <v>1.6932049201534381E-3</v>
      </c>
      <c r="AC99" s="106">
        <f t="shared" si="10"/>
        <v>4.0749999999999875E-3</v>
      </c>
      <c r="AD99" s="42"/>
      <c r="AF99" s="1"/>
      <c r="AG99" s="1"/>
      <c r="AH99" s="1"/>
      <c r="AI99" s="1"/>
      <c r="AJ99" s="1"/>
      <c r="AK99" s="1"/>
    </row>
    <row r="100" spans="2:37" x14ac:dyDescent="0.25">
      <c r="B100" s="40"/>
      <c r="C100" s="72">
        <f t="shared" si="17"/>
        <v>22.75</v>
      </c>
      <c r="D100" s="64">
        <v>7.9649775327046903</v>
      </c>
      <c r="E100" s="73">
        <v>43.534147286300616</v>
      </c>
      <c r="F100" s="41"/>
      <c r="G100" s="80">
        <f t="shared" si="13"/>
        <v>5.4656961815079468</v>
      </c>
      <c r="H100" s="83">
        <v>8.5996019190637991</v>
      </c>
      <c r="I100" s="12">
        <v>9.0161847222762752</v>
      </c>
      <c r="J100" s="85">
        <v>77.535599440320766</v>
      </c>
      <c r="K100" s="41"/>
      <c r="L100" s="83">
        <v>8.5996019190637991</v>
      </c>
      <c r="M100" s="64">
        <v>9.0161847222762752</v>
      </c>
      <c r="N100" s="73">
        <v>77.535599440320766</v>
      </c>
      <c r="O100" s="41"/>
      <c r="P100" s="83">
        <f t="shared" si="14"/>
        <v>2.2540461805690688</v>
      </c>
      <c r="Q100" s="85">
        <f t="shared" si="15"/>
        <v>19.383899860080192</v>
      </c>
      <c r="R100" s="12"/>
      <c r="S100" s="89">
        <f t="shared" si="18"/>
        <v>7.3538392943140246E-3</v>
      </c>
      <c r="T100" s="90">
        <f t="shared" si="16"/>
        <v>4.5862927365229282E-3</v>
      </c>
      <c r="U100" s="41"/>
      <c r="V100" s="89">
        <f t="shared" si="19"/>
        <v>0.87343147291687862</v>
      </c>
      <c r="W100" s="90">
        <f t="shared" si="20"/>
        <v>0.93383398017172747</v>
      </c>
      <c r="X100" s="41"/>
      <c r="Y100" s="72">
        <f t="shared" si="11"/>
        <v>0.86200000000000054</v>
      </c>
      <c r="Z100" s="62">
        <f t="shared" si="8"/>
        <v>0.9215583669910572</v>
      </c>
      <c r="AA100" s="62">
        <f t="shared" si="12"/>
        <v>0.86200000000000054</v>
      </c>
      <c r="AB100" s="105">
        <f t="shared" si="9"/>
        <v>1.4889591747764166E-3</v>
      </c>
      <c r="AC100" s="106">
        <f t="shared" si="10"/>
        <v>3.4499999999999869E-3</v>
      </c>
      <c r="AD100" s="42"/>
      <c r="AF100" s="1"/>
      <c r="AG100" s="1"/>
      <c r="AH100" s="1"/>
      <c r="AI100" s="1"/>
      <c r="AJ100" s="1"/>
      <c r="AK100" s="1"/>
    </row>
    <row r="101" spans="2:37" x14ac:dyDescent="0.25">
      <c r="B101" s="40"/>
      <c r="C101" s="72">
        <f t="shared" si="17"/>
        <v>23</v>
      </c>
      <c r="D101" s="64">
        <v>17.185293331367784</v>
      </c>
      <c r="E101" s="73">
        <v>380.08881721091836</v>
      </c>
      <c r="F101" s="41"/>
      <c r="G101" s="80">
        <f t="shared" si="13"/>
        <v>22.117098025737739</v>
      </c>
      <c r="H101" s="83">
        <v>8.5765158021212446</v>
      </c>
      <c r="I101" s="12">
        <v>16.635320886311725</v>
      </c>
      <c r="J101" s="85">
        <v>142.6730924548101</v>
      </c>
      <c r="K101" s="41"/>
      <c r="L101" s="83">
        <v>8.5765158021212446</v>
      </c>
      <c r="M101" s="64">
        <v>16.635320886311725</v>
      </c>
      <c r="N101" s="73">
        <v>142.6730924548101</v>
      </c>
      <c r="O101" s="41"/>
      <c r="P101" s="83">
        <f t="shared" si="14"/>
        <v>4.1588302215779311</v>
      </c>
      <c r="Q101" s="85">
        <f t="shared" si="15"/>
        <v>35.668273113702526</v>
      </c>
      <c r="R101" s="12"/>
      <c r="S101" s="89">
        <f t="shared" si="18"/>
        <v>1.3568208746326239E-2</v>
      </c>
      <c r="T101" s="90">
        <f t="shared" si="16"/>
        <v>8.4392275592891555E-3</v>
      </c>
      <c r="U101" s="41"/>
      <c r="V101" s="89">
        <f t="shared" si="19"/>
        <v>0.88699968166320486</v>
      </c>
      <c r="W101" s="90">
        <f t="shared" si="20"/>
        <v>0.94227320773101664</v>
      </c>
      <c r="X101" s="41"/>
      <c r="Y101" s="72">
        <f t="shared" si="11"/>
        <v>0.88700000000000057</v>
      </c>
      <c r="Z101" s="62">
        <f t="shared" si="8"/>
        <v>0.93820641847163888</v>
      </c>
      <c r="AA101" s="62">
        <f t="shared" si="12"/>
        <v>0.88700000000000057</v>
      </c>
      <c r="AB101" s="105">
        <f t="shared" si="9"/>
        <v>1.2801604617909581E-3</v>
      </c>
      <c r="AC101" s="106">
        <f t="shared" si="10"/>
        <v>2.8249999999999864E-3</v>
      </c>
      <c r="AD101" s="42"/>
      <c r="AF101" s="1"/>
      <c r="AG101" s="1"/>
      <c r="AH101" s="1"/>
      <c r="AI101" s="1"/>
      <c r="AJ101" s="1"/>
      <c r="AK101" s="1"/>
    </row>
    <row r="102" spans="2:37" x14ac:dyDescent="0.25">
      <c r="B102" s="40"/>
      <c r="C102" s="72">
        <f t="shared" si="17"/>
        <v>23.25</v>
      </c>
      <c r="D102" s="64">
        <v>13.072299468133846</v>
      </c>
      <c r="E102" s="73">
        <v>240.56025834110108</v>
      </c>
      <c r="F102" s="41"/>
      <c r="G102" s="80">
        <f t="shared" si="13"/>
        <v>18.402290960937005</v>
      </c>
      <c r="H102" s="83">
        <v>8.5577192670161981</v>
      </c>
      <c r="I102" s="12">
        <v>14.411136826530798</v>
      </c>
      <c r="J102" s="85">
        <v>123.32646328000929</v>
      </c>
      <c r="K102" s="41"/>
      <c r="L102" s="83">
        <v>8.5577192670161981</v>
      </c>
      <c r="M102" s="64">
        <v>14.411136826530798</v>
      </c>
      <c r="N102" s="73">
        <v>123.32646328000929</v>
      </c>
      <c r="O102" s="41"/>
      <c r="P102" s="83">
        <f t="shared" si="14"/>
        <v>3.6027842066326996</v>
      </c>
      <c r="Q102" s="85">
        <f t="shared" si="15"/>
        <v>30.831615820002323</v>
      </c>
      <c r="R102" s="12"/>
      <c r="S102" s="89">
        <f t="shared" si="18"/>
        <v>1.1754105260159591E-2</v>
      </c>
      <c r="T102" s="90">
        <f t="shared" si="16"/>
        <v>7.2948589660097986E-3</v>
      </c>
      <c r="U102" s="41"/>
      <c r="V102" s="89">
        <f t="shared" si="19"/>
        <v>0.89875378692336449</v>
      </c>
      <c r="W102" s="90">
        <f t="shared" si="20"/>
        <v>0.94956806669702642</v>
      </c>
      <c r="X102" s="41"/>
      <c r="Y102" s="72">
        <f t="shared" si="11"/>
        <v>0.91200000000000059</v>
      </c>
      <c r="Z102" s="62">
        <f t="shared" si="8"/>
        <v>0.95470694337275031</v>
      </c>
      <c r="AA102" s="62">
        <f t="shared" si="12"/>
        <v>0.91200000000000059</v>
      </c>
      <c r="AB102" s="105">
        <f t="shared" si="9"/>
        <v>1.0676735843187432E-3</v>
      </c>
      <c r="AC102" s="106">
        <f t="shared" si="10"/>
        <v>2.1999999999999858E-3</v>
      </c>
      <c r="AD102" s="42"/>
      <c r="AF102" s="1"/>
      <c r="AG102" s="1"/>
      <c r="AH102" s="1"/>
      <c r="AI102" s="1"/>
      <c r="AJ102" s="1"/>
      <c r="AK102" s="1"/>
    </row>
    <row r="103" spans="2:37" x14ac:dyDescent="0.25">
      <c r="B103" s="40"/>
      <c r="C103" s="72">
        <f t="shared" si="17"/>
        <v>23.5</v>
      </c>
      <c r="D103" s="64">
        <v>19.434158598371354</v>
      </c>
      <c r="E103" s="73">
        <v>258.39483234770296</v>
      </c>
      <c r="F103" s="41"/>
      <c r="G103" s="80">
        <f t="shared" si="13"/>
        <v>13.295910447564079</v>
      </c>
      <c r="H103" s="83">
        <v>8.2168508235877873</v>
      </c>
      <c r="I103" s="12">
        <v>12.654314016490973</v>
      </c>
      <c r="J103" s="85">
        <v>103.97861054834233</v>
      </c>
      <c r="K103" s="41"/>
      <c r="L103" s="83">
        <v>8.2168508235877873</v>
      </c>
      <c r="M103" s="64">
        <v>12.654314016490973</v>
      </c>
      <c r="N103" s="73">
        <v>103.97861054834233</v>
      </c>
      <c r="O103" s="41"/>
      <c r="P103" s="83">
        <f t="shared" si="14"/>
        <v>3.1635785041227433</v>
      </c>
      <c r="Q103" s="85">
        <f t="shared" si="15"/>
        <v>25.994652637085583</v>
      </c>
      <c r="R103" s="12"/>
      <c r="S103" s="89">
        <f t="shared" si="18"/>
        <v>1.0321193999845888E-2</v>
      </c>
      <c r="T103" s="90">
        <f t="shared" si="16"/>
        <v>6.1504179983629453E-3</v>
      </c>
      <c r="U103" s="41"/>
      <c r="V103" s="89">
        <f t="shared" si="19"/>
        <v>0.90907498092321037</v>
      </c>
      <c r="W103" s="90">
        <f t="shared" si="20"/>
        <v>0.95571848469538934</v>
      </c>
      <c r="X103" s="41"/>
      <c r="Y103" s="72">
        <f t="shared" si="11"/>
        <v>0.93700000000000061</v>
      </c>
      <c r="Z103" s="62">
        <f t="shared" si="8"/>
        <v>0.97109453381925737</v>
      </c>
      <c r="AA103" s="62">
        <f t="shared" si="12"/>
        <v>0.93700000000000061</v>
      </c>
      <c r="AB103" s="105">
        <f t="shared" si="9"/>
        <v>8.5236334548141905E-4</v>
      </c>
      <c r="AC103" s="106">
        <f t="shared" si="10"/>
        <v>1.574999999999985E-3</v>
      </c>
      <c r="AD103" s="42"/>
      <c r="AF103" s="1"/>
      <c r="AG103" s="1"/>
      <c r="AH103" s="1"/>
      <c r="AI103" s="1"/>
      <c r="AJ103" s="1"/>
      <c r="AK103" s="1"/>
    </row>
    <row r="104" spans="2:37" x14ac:dyDescent="0.25">
      <c r="B104" s="40"/>
      <c r="C104" s="72">
        <f t="shared" si="17"/>
        <v>23.75</v>
      </c>
      <c r="D104" s="64">
        <v>11.76804538598898</v>
      </c>
      <c r="E104" s="73">
        <v>145.58697127558219</v>
      </c>
      <c r="F104" s="41"/>
      <c r="G104" s="80">
        <f t="shared" si="13"/>
        <v>12.371380845362633</v>
      </c>
      <c r="H104" s="83">
        <v>8.0232733185521425</v>
      </c>
      <c r="I104" s="12">
        <v>10.026689831069332</v>
      </c>
      <c r="J104" s="85">
        <v>80.446872995016662</v>
      </c>
      <c r="K104" s="41"/>
      <c r="L104" s="83">
        <v>8.0232733185521425</v>
      </c>
      <c r="M104" s="64">
        <v>10.026689831069332</v>
      </c>
      <c r="N104" s="73">
        <v>80.446872995016662</v>
      </c>
      <c r="O104" s="41"/>
      <c r="P104" s="83">
        <f t="shared" si="14"/>
        <v>2.5066724577673329</v>
      </c>
      <c r="Q104" s="85">
        <f t="shared" si="15"/>
        <v>20.111718248754165</v>
      </c>
      <c r="R104" s="12"/>
      <c r="S104" s="89">
        <f t="shared" si="18"/>
        <v>8.1780340513033598E-3</v>
      </c>
      <c r="T104" s="90">
        <f t="shared" si="16"/>
        <v>4.7584968963451536E-3</v>
      </c>
      <c r="U104" s="41"/>
      <c r="V104" s="89">
        <f t="shared" si="19"/>
        <v>0.91725301497451373</v>
      </c>
      <c r="W104" s="90">
        <f t="shared" si="20"/>
        <v>0.96047698159173445</v>
      </c>
      <c r="X104" s="41"/>
      <c r="Y104" s="72">
        <f t="shared" si="11"/>
        <v>0.96200000000000063</v>
      </c>
      <c r="Z104" s="62">
        <f t="shared" si="8"/>
        <v>0.98740378193602707</v>
      </c>
      <c r="AA104" s="62">
        <f t="shared" si="12"/>
        <v>0.96200000000000063</v>
      </c>
      <c r="AB104" s="105">
        <f t="shared" si="9"/>
        <v>6.3509454840066104E-4</v>
      </c>
      <c r="AC104" s="106">
        <f t="shared" si="10"/>
        <v>9.4999999999998439E-4</v>
      </c>
      <c r="AD104" s="42"/>
      <c r="AF104" s="1"/>
      <c r="AG104" s="1"/>
      <c r="AH104" s="1"/>
      <c r="AI104" s="1"/>
      <c r="AJ104" s="1"/>
      <c r="AK104" s="1"/>
    </row>
    <row r="105" spans="2:37" ht="15.75" thickBot="1" x14ac:dyDescent="0.3">
      <c r="B105" s="40"/>
      <c r="C105" s="72">
        <f t="shared" si="17"/>
        <v>24</v>
      </c>
      <c r="D105" s="64">
        <v>10.270127630036789</v>
      </c>
      <c r="E105" s="73">
        <v>61.916303089977326</v>
      </c>
      <c r="F105" s="41"/>
      <c r="G105" s="80">
        <f t="shared" si="13"/>
        <v>6.028776400878626</v>
      </c>
      <c r="H105" s="83">
        <v>7.7590529355122468</v>
      </c>
      <c r="I105" s="12">
        <v>10.910806464060617</v>
      </c>
      <c r="J105" s="85">
        <v>84.657524923775526</v>
      </c>
      <c r="K105" s="41"/>
      <c r="L105" s="83">
        <v>7.7590529355122468</v>
      </c>
      <c r="M105" s="64">
        <v>10.910806464060617</v>
      </c>
      <c r="N105" s="73">
        <v>84.657524923775526</v>
      </c>
      <c r="O105" s="41"/>
      <c r="P105" s="83">
        <f t="shared" si="14"/>
        <v>2.7277016160151542</v>
      </c>
      <c r="Q105" s="85">
        <f t="shared" si="15"/>
        <v>21.164381230943881</v>
      </c>
      <c r="R105" s="12"/>
      <c r="S105" s="89">
        <f t="shared" si="18"/>
        <v>8.8991430166492341E-3</v>
      </c>
      <c r="T105" s="90">
        <f t="shared" si="16"/>
        <v>5.0075603265151486E-3</v>
      </c>
      <c r="U105" s="41"/>
      <c r="V105" s="89">
        <f t="shared" si="19"/>
        <v>0.92615215799116291</v>
      </c>
      <c r="W105" s="90">
        <f t="shared" si="20"/>
        <v>0.96548454191824962</v>
      </c>
      <c r="X105" s="41"/>
      <c r="Y105" s="74">
        <f t="shared" si="11"/>
        <v>0.98700000000000065</v>
      </c>
      <c r="Z105" s="63">
        <f t="shared" si="8"/>
        <v>1.0036692798479256</v>
      </c>
      <c r="AA105" s="63">
        <f t="shared" si="12"/>
        <v>0.98700000000000065</v>
      </c>
      <c r="AB105" s="107">
        <f t="shared" si="9"/>
        <v>4.167319961981248E-4</v>
      </c>
      <c r="AC105" s="108">
        <f t="shared" si="10"/>
        <v>3.2499999999998372E-4</v>
      </c>
      <c r="AD105" s="42"/>
      <c r="AF105" s="1"/>
      <c r="AG105" s="1"/>
      <c r="AH105" s="1"/>
      <c r="AI105" s="1"/>
      <c r="AJ105" s="1"/>
      <c r="AK105" s="1"/>
    </row>
    <row r="106" spans="2:37" x14ac:dyDescent="0.25">
      <c r="B106" s="40"/>
      <c r="C106" s="72">
        <f t="shared" si="17"/>
        <v>24.25</v>
      </c>
      <c r="D106" s="64">
        <v>11.121394767336547</v>
      </c>
      <c r="E106" s="73">
        <v>214.9201233394314</v>
      </c>
      <c r="F106" s="41"/>
      <c r="G106" s="80">
        <f t="shared" si="13"/>
        <v>19.324925320576714</v>
      </c>
      <c r="H106" s="83">
        <v>7.4136287403438574</v>
      </c>
      <c r="I106" s="12">
        <v>9.0267876216939058</v>
      </c>
      <c r="J106" s="85">
        <v>66.921252145170115</v>
      </c>
      <c r="K106" s="41"/>
      <c r="L106" s="83">
        <v>7.4136287403438574</v>
      </c>
      <c r="M106" s="64">
        <v>9.0267876216939058</v>
      </c>
      <c r="N106" s="73">
        <v>66.921252145170115</v>
      </c>
      <c r="O106" s="41"/>
      <c r="P106" s="83">
        <f t="shared" si="14"/>
        <v>2.2566969054234765</v>
      </c>
      <c r="Q106" s="85">
        <f t="shared" si="15"/>
        <v>16.730313036292529</v>
      </c>
      <c r="R106" s="12"/>
      <c r="S106" s="89">
        <f t="shared" si="18"/>
        <v>7.3624873001804508E-3</v>
      </c>
      <c r="T106" s="90">
        <f t="shared" si="16"/>
        <v>3.9584456023797187E-3</v>
      </c>
      <c r="U106" s="41"/>
      <c r="V106" s="89">
        <f t="shared" si="19"/>
        <v>0.93351464529134331</v>
      </c>
      <c r="W106" s="90">
        <f t="shared" si="20"/>
        <v>0.9694429875206293</v>
      </c>
      <c r="X106" s="41"/>
      <c r="Y106" s="41"/>
      <c r="Z106" s="41"/>
      <c r="AA106" s="41"/>
      <c r="AB106" s="41"/>
      <c r="AC106" s="41"/>
      <c r="AD106" s="42"/>
      <c r="AF106" s="1"/>
      <c r="AG106" s="1"/>
      <c r="AH106" s="1"/>
      <c r="AI106" s="1"/>
      <c r="AJ106" s="1"/>
      <c r="AK106" s="1"/>
    </row>
    <row r="107" spans="2:37" x14ac:dyDescent="0.25">
      <c r="B107" s="40"/>
      <c r="C107" s="72">
        <f t="shared" si="17"/>
        <v>24.5</v>
      </c>
      <c r="D107" s="64">
        <v>10.997725002107014</v>
      </c>
      <c r="E107" s="73">
        <v>305.1321743825589</v>
      </c>
      <c r="F107" s="41"/>
      <c r="G107" s="80">
        <f t="shared" si="13"/>
        <v>27.745026750905279</v>
      </c>
      <c r="H107" s="83">
        <v>6.9547591684039949</v>
      </c>
      <c r="I107" s="12">
        <v>11.417318407733386</v>
      </c>
      <c r="J107" s="85">
        <v>79.404699874771467</v>
      </c>
      <c r="K107" s="41"/>
      <c r="L107" s="83">
        <v>6.9547591684039949</v>
      </c>
      <c r="M107" s="64">
        <v>11.417318407733386</v>
      </c>
      <c r="N107" s="73">
        <v>79.404699874771467</v>
      </c>
      <c r="O107" s="41"/>
      <c r="P107" s="83">
        <f t="shared" si="14"/>
        <v>2.8543296019333466</v>
      </c>
      <c r="Q107" s="85">
        <f t="shared" si="15"/>
        <v>19.851174968692867</v>
      </c>
      <c r="R107" s="12"/>
      <c r="S107" s="89">
        <f t="shared" si="18"/>
        <v>9.3122675864262157E-3</v>
      </c>
      <c r="T107" s="90">
        <f t="shared" si="16"/>
        <v>4.6968515225287184E-3</v>
      </c>
      <c r="U107" s="41"/>
      <c r="V107" s="89">
        <f t="shared" si="19"/>
        <v>0.94282691287776954</v>
      </c>
      <c r="W107" s="90">
        <f t="shared" si="20"/>
        <v>0.97413983904315804</v>
      </c>
      <c r="X107" s="41"/>
      <c r="Y107" s="41"/>
      <c r="Z107" s="41"/>
      <c r="AA107" s="41"/>
      <c r="AB107" s="41"/>
      <c r="AC107" s="41"/>
      <c r="AD107" s="42"/>
      <c r="AF107" s="1"/>
      <c r="AG107" s="1"/>
      <c r="AH107" s="1"/>
      <c r="AI107" s="1"/>
      <c r="AJ107" s="1"/>
      <c r="AK107" s="1"/>
    </row>
    <row r="108" spans="2:37" x14ac:dyDescent="0.25">
      <c r="B108" s="40"/>
      <c r="C108" s="72">
        <f t="shared" si="17"/>
        <v>24.75</v>
      </c>
      <c r="D108" s="64">
        <v>15.690487837099042</v>
      </c>
      <c r="E108" s="73">
        <v>245.67349460438976</v>
      </c>
      <c r="F108" s="41"/>
      <c r="G108" s="80">
        <f t="shared" si="13"/>
        <v>15.657479688012776</v>
      </c>
      <c r="H108" s="83">
        <v>6.9294332452189114</v>
      </c>
      <c r="I108" s="12">
        <v>13.286331439505831</v>
      </c>
      <c r="J108" s="85">
        <v>92.06674678390894</v>
      </c>
      <c r="K108" s="41"/>
      <c r="L108" s="83">
        <v>6.9294332452189114</v>
      </c>
      <c r="M108" s="64">
        <v>13.286331439505831</v>
      </c>
      <c r="N108" s="73">
        <v>92.06674678390894</v>
      </c>
      <c r="O108" s="41"/>
      <c r="P108" s="83">
        <f t="shared" si="14"/>
        <v>3.3215828598764578</v>
      </c>
      <c r="Q108" s="85">
        <f t="shared" si="15"/>
        <v>23.016686695977235</v>
      </c>
      <c r="R108" s="12"/>
      <c r="S108" s="89">
        <f t="shared" si="18"/>
        <v>1.0836684165944032E-2</v>
      </c>
      <c r="T108" s="90">
        <f t="shared" si="16"/>
        <v>5.4458217270292684E-3</v>
      </c>
      <c r="U108" s="41"/>
      <c r="V108" s="89">
        <f t="shared" si="19"/>
        <v>0.95366359704371362</v>
      </c>
      <c r="W108" s="90">
        <f t="shared" si="20"/>
        <v>0.97958566077018727</v>
      </c>
      <c r="X108" s="41"/>
      <c r="Y108" s="41"/>
      <c r="Z108" s="41"/>
      <c r="AA108" s="41"/>
      <c r="AB108" s="41"/>
      <c r="AC108" s="41"/>
      <c r="AD108" s="42"/>
      <c r="AF108" s="1"/>
      <c r="AG108" s="1"/>
      <c r="AH108" s="1"/>
      <c r="AI108" s="1"/>
      <c r="AJ108" s="1"/>
      <c r="AK108" s="1"/>
    </row>
    <row r="109" spans="2:37" x14ac:dyDescent="0.25">
      <c r="B109" s="40"/>
      <c r="C109" s="72">
        <f t="shared" si="17"/>
        <v>25</v>
      </c>
      <c r="D109" s="64">
        <v>15.4364361025488</v>
      </c>
      <c r="E109" s="73">
        <v>193.05029284054783</v>
      </c>
      <c r="F109" s="41"/>
      <c r="G109" s="80">
        <f t="shared" si="13"/>
        <v>12.506144006172006</v>
      </c>
      <c r="H109" s="83">
        <v>6.8518685411442188</v>
      </c>
      <c r="I109" s="12">
        <v>8.9016211530471239</v>
      </c>
      <c r="J109" s="85">
        <v>60.992737943747514</v>
      </c>
      <c r="K109" s="41"/>
      <c r="L109" s="83">
        <v>6.8518685411442188</v>
      </c>
      <c r="M109" s="64">
        <v>8.9016211530471239</v>
      </c>
      <c r="N109" s="73">
        <v>60.992737943747514</v>
      </c>
      <c r="O109" s="41"/>
      <c r="P109" s="83">
        <f t="shared" si="14"/>
        <v>2.225405288261781</v>
      </c>
      <c r="Q109" s="85">
        <f t="shared" si="15"/>
        <v>15.248184485936878</v>
      </c>
      <c r="R109" s="12"/>
      <c r="S109" s="89">
        <f t="shared" si="18"/>
        <v>7.2603982099701467E-3</v>
      </c>
      <c r="T109" s="90">
        <f t="shared" si="16"/>
        <v>3.6077692444664018E-3</v>
      </c>
      <c r="U109" s="41"/>
      <c r="V109" s="89">
        <f t="shared" si="19"/>
        <v>0.96092399525368377</v>
      </c>
      <c r="W109" s="90">
        <f t="shared" si="20"/>
        <v>0.98319343001465365</v>
      </c>
      <c r="X109" s="41"/>
      <c r="Y109" s="41"/>
      <c r="Z109" s="41"/>
      <c r="AA109" s="41"/>
      <c r="AB109" s="41"/>
      <c r="AC109" s="41"/>
      <c r="AD109" s="42"/>
      <c r="AF109" s="1"/>
      <c r="AG109" s="1"/>
      <c r="AH109" s="1"/>
      <c r="AI109" s="1"/>
      <c r="AJ109" s="1"/>
      <c r="AK109" s="1"/>
    </row>
    <row r="110" spans="2:37" x14ac:dyDescent="0.25">
      <c r="B110" s="40"/>
      <c r="C110" s="72">
        <f t="shared" si="17"/>
        <v>25.25</v>
      </c>
      <c r="D110" s="64">
        <v>17.767901048212885</v>
      </c>
      <c r="E110" s="73">
        <v>311.63745058442851</v>
      </c>
      <c r="F110" s="41"/>
      <c r="G110" s="80">
        <f t="shared" si="13"/>
        <v>17.539350863042618</v>
      </c>
      <c r="H110" s="83">
        <v>6.4044220408164438</v>
      </c>
      <c r="I110" s="12">
        <v>9.1829319389941553</v>
      </c>
      <c r="J110" s="85">
        <v>58.811371709411453</v>
      </c>
      <c r="K110" s="41"/>
      <c r="L110" s="83">
        <v>6.4044220408164438</v>
      </c>
      <c r="M110" s="64">
        <v>9.1829319389941553</v>
      </c>
      <c r="N110" s="73">
        <v>58.811371709411453</v>
      </c>
      <c r="O110" s="41"/>
      <c r="P110" s="83">
        <f t="shared" si="14"/>
        <v>2.2957329847485388</v>
      </c>
      <c r="Q110" s="85">
        <f t="shared" si="15"/>
        <v>14.702842927352863</v>
      </c>
      <c r="R110" s="12"/>
      <c r="S110" s="89">
        <f t="shared" si="18"/>
        <v>7.4898427450294687E-3</v>
      </c>
      <c r="T110" s="90">
        <f t="shared" si="16"/>
        <v>3.4787396865801276E-3</v>
      </c>
      <c r="U110" s="41"/>
      <c r="V110" s="89">
        <f t="shared" si="19"/>
        <v>0.96841383799871328</v>
      </c>
      <c r="W110" s="90">
        <f t="shared" si="20"/>
        <v>0.98667216970123373</v>
      </c>
      <c r="X110" s="41"/>
      <c r="Y110" s="41"/>
      <c r="Z110" s="41"/>
      <c r="AA110" s="41"/>
      <c r="AB110" s="41"/>
      <c r="AC110" s="41"/>
      <c r="AD110" s="42"/>
      <c r="AF110" s="1"/>
      <c r="AG110" s="1"/>
      <c r="AH110" s="1"/>
      <c r="AI110" s="1"/>
      <c r="AJ110" s="1"/>
      <c r="AK110" s="1"/>
    </row>
    <row r="111" spans="2:37" x14ac:dyDescent="0.25">
      <c r="B111" s="40"/>
      <c r="C111" s="72">
        <f t="shared" si="17"/>
        <v>25.5</v>
      </c>
      <c r="D111" s="64">
        <v>7.879788001505962</v>
      </c>
      <c r="E111" s="73">
        <v>144.32983688029989</v>
      </c>
      <c r="F111" s="41"/>
      <c r="G111" s="80">
        <f t="shared" si="13"/>
        <v>18.316461921655254</v>
      </c>
      <c r="H111" s="83">
        <v>6.028776400878626</v>
      </c>
      <c r="I111" s="12">
        <v>10.270127630036789</v>
      </c>
      <c r="J111" s="85">
        <v>61.916303089977326</v>
      </c>
      <c r="K111" s="41"/>
      <c r="L111" s="83">
        <v>6.028776400878626</v>
      </c>
      <c r="M111" s="64">
        <v>10.270127630036789</v>
      </c>
      <c r="N111" s="73">
        <v>61.916303089977326</v>
      </c>
      <c r="O111" s="41"/>
      <c r="P111" s="83">
        <f t="shared" si="14"/>
        <v>2.5675319075091974</v>
      </c>
      <c r="Q111" s="85">
        <f t="shared" si="15"/>
        <v>15.479075772494332</v>
      </c>
      <c r="R111" s="12"/>
      <c r="S111" s="89">
        <f t="shared" si="18"/>
        <v>8.3765883741030202E-3</v>
      </c>
      <c r="T111" s="90">
        <f t="shared" si="16"/>
        <v>3.6623988617316915E-3</v>
      </c>
      <c r="U111" s="41"/>
      <c r="V111" s="89">
        <f t="shared" si="19"/>
        <v>0.97679042637281632</v>
      </c>
      <c r="W111" s="90">
        <f t="shared" si="20"/>
        <v>0.99033456856296542</v>
      </c>
      <c r="X111" s="41"/>
      <c r="Y111" s="41"/>
      <c r="Z111" s="41"/>
      <c r="AA111" s="41"/>
      <c r="AB111" s="41"/>
      <c r="AC111" s="41"/>
      <c r="AD111" s="42"/>
      <c r="AF111" s="1"/>
      <c r="AG111" s="1"/>
      <c r="AH111" s="1"/>
      <c r="AI111" s="1"/>
      <c r="AJ111" s="1"/>
      <c r="AK111" s="1"/>
    </row>
    <row r="112" spans="2:37" x14ac:dyDescent="0.25">
      <c r="B112" s="40"/>
      <c r="C112" s="72">
        <f t="shared" si="17"/>
        <v>25.75</v>
      </c>
      <c r="D112" s="64">
        <v>16.207818106538124</v>
      </c>
      <c r="E112" s="73">
        <v>162.34572051264223</v>
      </c>
      <c r="F112" s="41"/>
      <c r="G112" s="80">
        <f t="shared" si="13"/>
        <v>10.016506814520152</v>
      </c>
      <c r="H112" s="83">
        <v>5.9908700604902441</v>
      </c>
      <c r="I112" s="12">
        <v>9.0668324945284269</v>
      </c>
      <c r="J112" s="85">
        <v>54.31821533495043</v>
      </c>
      <c r="K112" s="41"/>
      <c r="L112" s="83">
        <v>5.9908700604902441</v>
      </c>
      <c r="M112" s="64">
        <v>9.0668324945284269</v>
      </c>
      <c r="N112" s="73">
        <v>54.31821533495043</v>
      </c>
      <c r="O112" s="41"/>
      <c r="P112" s="83">
        <f t="shared" si="14"/>
        <v>2.2667081236321067</v>
      </c>
      <c r="Q112" s="85">
        <f t="shared" si="15"/>
        <v>13.579553833737608</v>
      </c>
      <c r="R112" s="12"/>
      <c r="S112" s="89">
        <f t="shared" si="18"/>
        <v>7.3951489601239003E-3</v>
      </c>
      <c r="T112" s="90">
        <f t="shared" si="16"/>
        <v>3.2129658924391091E-3</v>
      </c>
      <c r="U112" s="41"/>
      <c r="V112" s="89">
        <f t="shared" si="19"/>
        <v>0.98418557533294027</v>
      </c>
      <c r="W112" s="90">
        <f t="shared" si="20"/>
        <v>0.99354753445540456</v>
      </c>
      <c r="X112" s="41"/>
      <c r="Y112" s="41"/>
      <c r="Z112" s="41"/>
      <c r="AA112" s="41"/>
      <c r="AB112" s="41"/>
      <c r="AC112" s="41"/>
      <c r="AD112" s="42"/>
      <c r="AF112" s="1"/>
      <c r="AG112" s="1"/>
      <c r="AH112" s="1"/>
      <c r="AI112" s="1"/>
      <c r="AJ112" s="1"/>
      <c r="AK112" s="1"/>
    </row>
    <row r="113" spans="2:37" x14ac:dyDescent="0.25">
      <c r="B113" s="40"/>
      <c r="C113" s="72">
        <f t="shared" si="17"/>
        <v>26</v>
      </c>
      <c r="D113" s="64">
        <v>9.2170458171482927</v>
      </c>
      <c r="E113" s="73">
        <v>263.49602258373699</v>
      </c>
      <c r="F113" s="41"/>
      <c r="G113" s="80">
        <f t="shared" si="13"/>
        <v>28.587904173537169</v>
      </c>
      <c r="H113" s="83">
        <v>5.7378351375055514</v>
      </c>
      <c r="I113" s="12">
        <v>11.42431945464952</v>
      </c>
      <c r="J113" s="85">
        <v>65.550861588976275</v>
      </c>
      <c r="K113" s="41"/>
      <c r="L113" s="83">
        <v>5.7378351375055514</v>
      </c>
      <c r="M113" s="64">
        <v>11.42431945464952</v>
      </c>
      <c r="N113" s="73">
        <v>65.550861588976275</v>
      </c>
      <c r="O113" s="41"/>
      <c r="P113" s="83">
        <f t="shared" si="14"/>
        <v>2.8560798636623801</v>
      </c>
      <c r="Q113" s="85">
        <f t="shared" si="15"/>
        <v>16.387715397244069</v>
      </c>
      <c r="R113" s="12"/>
      <c r="S113" s="89">
        <f t="shared" si="18"/>
        <v>9.3179778259010124E-3</v>
      </c>
      <c r="T113" s="90">
        <f t="shared" si="16"/>
        <v>3.8773859046481109E-3</v>
      </c>
      <c r="U113" s="41"/>
      <c r="V113" s="89">
        <f t="shared" si="19"/>
        <v>0.99350355315884131</v>
      </c>
      <c r="W113" s="90">
        <f t="shared" si="20"/>
        <v>0.9974249203600527</v>
      </c>
      <c r="X113" s="41"/>
      <c r="Y113" s="41"/>
      <c r="Z113" s="41"/>
      <c r="AA113" s="41"/>
      <c r="AB113" s="41"/>
      <c r="AC113" s="41"/>
      <c r="AD113" s="42"/>
      <c r="AF113" s="1"/>
      <c r="AG113" s="1"/>
      <c r="AH113" s="1"/>
      <c r="AI113" s="1"/>
      <c r="AJ113" s="1"/>
      <c r="AK113" s="1"/>
    </row>
    <row r="114" spans="2:37" ht="15.75" thickBot="1" x14ac:dyDescent="0.3">
      <c r="B114" s="40"/>
      <c r="C114" s="74">
        <f>C113+0.25</f>
        <v>26.25</v>
      </c>
      <c r="D114" s="75">
        <v>11.869217161588034</v>
      </c>
      <c r="E114" s="76">
        <v>132.69720370111244</v>
      </c>
      <c r="F114" s="41"/>
      <c r="G114" s="81">
        <f t="shared" si="13"/>
        <v>11.179945728059987</v>
      </c>
      <c r="H114" s="84">
        <v>5.4656961815079468</v>
      </c>
      <c r="I114" s="14">
        <v>7.9649775327046903</v>
      </c>
      <c r="J114" s="86">
        <v>43.534147286300616</v>
      </c>
      <c r="K114" s="41"/>
      <c r="L114" s="84">
        <v>5.4656961815079468</v>
      </c>
      <c r="M114" s="75">
        <v>7.9649775327046903</v>
      </c>
      <c r="N114" s="76">
        <v>43.534147286300616</v>
      </c>
      <c r="O114" s="41"/>
      <c r="P114" s="84">
        <f t="shared" si="14"/>
        <v>1.9912443831761726</v>
      </c>
      <c r="Q114" s="86">
        <f t="shared" si="15"/>
        <v>10.883536821575154</v>
      </c>
      <c r="R114" s="12"/>
      <c r="S114" s="91">
        <f t="shared" si="18"/>
        <v>6.4964468411583759E-3</v>
      </c>
      <c r="T114" s="92">
        <f t="shared" si="16"/>
        <v>2.5750796399473075E-3</v>
      </c>
      <c r="U114" s="41"/>
      <c r="V114" s="91">
        <f t="shared" si="19"/>
        <v>0.99999999999999967</v>
      </c>
      <c r="W114" s="92">
        <f t="shared" si="20"/>
        <v>1</v>
      </c>
      <c r="X114" s="41"/>
      <c r="Y114" s="41"/>
      <c r="Z114" s="41"/>
      <c r="AA114" s="41"/>
      <c r="AB114" s="41"/>
      <c r="AC114" s="41"/>
      <c r="AD114" s="42"/>
      <c r="AF114" s="1"/>
      <c r="AG114" s="1"/>
      <c r="AH114" s="1"/>
      <c r="AI114" s="1"/>
      <c r="AJ114" s="1"/>
      <c r="AK114" s="1"/>
    </row>
    <row r="115" spans="2:37" x14ac:dyDescent="0.25">
      <c r="B115" s="40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2"/>
      <c r="AF115" s="1"/>
      <c r="AG115" s="1"/>
      <c r="AH115" s="1"/>
      <c r="AI115" s="1"/>
      <c r="AJ115" s="1"/>
      <c r="AK115" s="1"/>
    </row>
    <row r="116" spans="2:37" ht="15.75" thickBot="1" x14ac:dyDescent="0.3">
      <c r="B116" s="53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5"/>
      <c r="AF116" s="1"/>
      <c r="AG116" s="1"/>
      <c r="AH116" s="1"/>
      <c r="AI116" s="1"/>
      <c r="AJ116" s="1"/>
      <c r="AK116" s="1"/>
    </row>
    <row r="117" spans="2:37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F117" s="1"/>
      <c r="AG117" s="1"/>
      <c r="AH117" s="1"/>
      <c r="AI117" s="1"/>
      <c r="AJ117" s="1"/>
      <c r="AK117" s="1"/>
    </row>
    <row r="118" spans="2:37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F118" s="1"/>
      <c r="AG118" s="1"/>
      <c r="AH118" s="1"/>
      <c r="AI118" s="1"/>
      <c r="AJ118" s="1"/>
      <c r="AK118" s="1"/>
    </row>
    <row r="119" spans="2:37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F119" s="1"/>
      <c r="AG119" s="1"/>
      <c r="AH119" s="1"/>
      <c r="AI119" s="1"/>
      <c r="AJ119" s="1"/>
      <c r="AK119" s="1"/>
    </row>
    <row r="120" spans="2:37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F120" s="1"/>
      <c r="AG120" s="1"/>
      <c r="AH120" s="1"/>
      <c r="AI120" s="1"/>
      <c r="AJ120" s="1"/>
      <c r="AK120" s="1"/>
    </row>
    <row r="121" spans="2:37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F121" s="1"/>
      <c r="AG121" s="1"/>
      <c r="AH121" s="1"/>
      <c r="AI121" s="1"/>
      <c r="AJ121" s="1"/>
      <c r="AK121" s="1"/>
    </row>
    <row r="122" spans="2:37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F122" s="1"/>
      <c r="AG122" s="1"/>
      <c r="AH122" s="1"/>
      <c r="AI122" s="1"/>
      <c r="AJ122" s="1"/>
      <c r="AK122" s="1"/>
    </row>
    <row r="123" spans="2:37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F123" s="1"/>
      <c r="AG123" s="1"/>
      <c r="AH123" s="1"/>
      <c r="AI123" s="1"/>
      <c r="AJ123" s="1"/>
      <c r="AK123" s="1"/>
    </row>
    <row r="124" spans="2:37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F124" s="1"/>
      <c r="AG124" s="1"/>
      <c r="AH124" s="1"/>
      <c r="AI124" s="1"/>
      <c r="AJ124" s="1"/>
      <c r="AK124" s="1"/>
    </row>
    <row r="125" spans="2:37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F125" s="1"/>
      <c r="AG125" s="1"/>
      <c r="AH125" s="1"/>
      <c r="AI125" s="1"/>
      <c r="AJ125" s="1"/>
      <c r="AK125" s="1"/>
    </row>
    <row r="126" spans="2:37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F126" s="1"/>
      <c r="AG126" s="1"/>
      <c r="AH126" s="1"/>
      <c r="AI126" s="1"/>
      <c r="AJ126" s="1"/>
      <c r="AK126" s="1"/>
    </row>
    <row r="127" spans="2:37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F127" s="1"/>
      <c r="AG127" s="1"/>
      <c r="AH127" s="1"/>
      <c r="AI127" s="1"/>
      <c r="AJ127" s="1"/>
      <c r="AK127" s="1"/>
    </row>
    <row r="128" spans="2:37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F128" s="1"/>
      <c r="AG128" s="1"/>
      <c r="AH128" s="1"/>
      <c r="AI128" s="1"/>
      <c r="AJ128" s="1"/>
      <c r="AK128" s="1"/>
    </row>
    <row r="129" spans="2:37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F129" s="1"/>
      <c r="AG129" s="1"/>
      <c r="AH129" s="1"/>
      <c r="AI129" s="1"/>
      <c r="AJ129" s="1"/>
      <c r="AK129" s="1"/>
    </row>
    <row r="130" spans="2:37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F130" s="1"/>
      <c r="AG130" s="1"/>
      <c r="AH130" s="1"/>
      <c r="AI130" s="1"/>
      <c r="AJ130" s="1"/>
      <c r="AK130" s="1"/>
    </row>
    <row r="131" spans="2:37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F131" s="1"/>
      <c r="AG131" s="1"/>
      <c r="AH131" s="1"/>
      <c r="AI131" s="1"/>
      <c r="AJ131" s="1"/>
      <c r="AK131" s="1"/>
    </row>
    <row r="132" spans="2:37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F132" s="1"/>
      <c r="AG132" s="1"/>
      <c r="AH132" s="1"/>
      <c r="AI132" s="1"/>
      <c r="AJ132" s="1"/>
      <c r="AK132" s="1"/>
    </row>
    <row r="133" spans="2:37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F133" s="1"/>
      <c r="AG133" s="1"/>
      <c r="AH133" s="1"/>
      <c r="AI133" s="1"/>
      <c r="AJ133" s="1"/>
      <c r="AK133" s="1"/>
    </row>
    <row r="134" spans="2:37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F134" s="1"/>
      <c r="AG134" s="1"/>
      <c r="AH134" s="1"/>
      <c r="AI134" s="1"/>
      <c r="AJ134" s="1"/>
      <c r="AK134" s="1"/>
    </row>
  </sheetData>
  <sortState ref="H10:J114">
    <sortCondition descending="1" ref="H10:H114"/>
  </sortState>
  <mergeCells count="6">
    <mergeCell ref="C8:E8"/>
    <mergeCell ref="Y8:AB8"/>
    <mergeCell ref="V8:W8"/>
    <mergeCell ref="S8:T8"/>
    <mergeCell ref="P8:Q8"/>
    <mergeCell ref="L8:N8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3D1B5342B3F042933FD523EE3629B5" ma:contentTypeVersion="14" ma:contentTypeDescription="Create a new document." ma:contentTypeScope="" ma:versionID="cdd2da66ea3ea29d54254c9b49b020a4">
  <xsd:schema xmlns:xsd="http://www.w3.org/2001/XMLSchema" xmlns:xs="http://www.w3.org/2001/XMLSchema" xmlns:p="http://schemas.microsoft.com/office/2006/metadata/properties" xmlns:ns3="afb4fb6b-f1a5-4d85-ba97-c4471c5b21f7" xmlns:ns4="b945c3e8-53f6-48d2-b77e-68d71228ccad" targetNamespace="http://schemas.microsoft.com/office/2006/metadata/properties" ma:root="true" ma:fieldsID="692fdbbb6fca6d0c7dd1a002a0132a5e" ns3:_="" ns4:_="">
    <xsd:import namespace="afb4fb6b-f1a5-4d85-ba97-c4471c5b21f7"/>
    <xsd:import namespace="b945c3e8-53f6-48d2-b77e-68d71228cc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b4fb6b-f1a5-4d85-ba97-c4471c5b21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45c3e8-53f6-48d2-b77e-68d71228cc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E7500C-D76D-48F5-B772-12390FB5C754}">
  <ds:schemaRefs>
    <ds:schemaRef ds:uri="http://purl.org/dc/elements/1.1/"/>
    <ds:schemaRef ds:uri="http://schemas.microsoft.com/office/2006/metadata/properties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b945c3e8-53f6-48d2-b77e-68d71228ccad"/>
    <ds:schemaRef ds:uri="afb4fb6b-f1a5-4d85-ba97-c4471c5b21f7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7D22ABB-90F6-4457-AB25-FF221436E5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8D1426-C0A4-4FD1-9FF9-0CFC504AC6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b4fb6b-f1a5-4d85-ba97-c4471c5b21f7"/>
    <ds:schemaRef ds:uri="b945c3e8-53f6-48d2-b77e-68d71228cc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Por-Perm-Logs</vt:lpstr>
      <vt:lpstr>Lorenz</vt:lpstr>
      <vt:lpstr>x</vt:lpstr>
      <vt:lpstr>y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Pyrcz, Michael</dc:creator>
  <cp:lastModifiedBy>Pyrcz, Michael</cp:lastModifiedBy>
  <dcterms:created xsi:type="dcterms:W3CDTF">2018-01-03T20:26:28Z</dcterms:created>
  <dcterms:modified xsi:type="dcterms:W3CDTF">2023-02-15T16:35:04Z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0x010100823D1B5342B3F042933FD523EE3629B5</vt:lpwstr>
  </property>
</Properties>
</file>