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Workflows/"/>
    </mc:Choice>
  </mc:AlternateContent>
  <xr:revisionPtr revIDLastSave="2" documentId="11_829F71C531069C95E253B1C0BFE5DB38656A56A5" xr6:coauthVersionLast="45" xr6:coauthVersionMax="45" xr10:uidLastSave="{FF30307F-35F2-49B4-9008-1E08C37D3F76}"/>
  <bookViews>
    <workbookView xWindow="-120" yWindow="-120" windowWidth="29040" windowHeight="15840" xr2:uid="{00000000-000D-0000-FFFF-FFFF00000000}"/>
  </bookViews>
  <sheets>
    <sheet name="Por-Perm-Logs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0" i="1" l="1"/>
  <c r="AO45" i="1" l="1"/>
  <c r="AO23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G124" i="1" l="1"/>
  <c r="G123" i="1"/>
  <c r="G120" i="1"/>
  <c r="G121" i="1"/>
  <c r="G122" i="1"/>
  <c r="F121" i="1"/>
  <c r="G39" i="1"/>
  <c r="F124" i="1"/>
  <c r="G27" i="1"/>
  <c r="G33" i="1"/>
  <c r="F123" i="1"/>
  <c r="F122" i="1"/>
  <c r="G70" i="1"/>
  <c r="G58" i="1"/>
  <c r="G82" i="1"/>
  <c r="G34" i="1"/>
  <c r="G106" i="1"/>
  <c r="G46" i="1"/>
  <c r="G112" i="1"/>
  <c r="G64" i="1"/>
  <c r="G100" i="1"/>
  <c r="G76" i="1"/>
  <c r="G88" i="1"/>
  <c r="G52" i="1"/>
  <c r="G118" i="1"/>
  <c r="G40" i="1"/>
  <c r="G94" i="1"/>
  <c r="F33" i="1"/>
  <c r="F39" i="1"/>
  <c r="F45" i="1"/>
  <c r="F51" i="1"/>
  <c r="F57" i="1"/>
  <c r="F63" i="1"/>
  <c r="F69" i="1"/>
  <c r="F75" i="1"/>
  <c r="F81" i="1"/>
  <c r="F93" i="1"/>
  <c r="F99" i="1"/>
  <c r="F105" i="1"/>
  <c r="F117" i="1"/>
  <c r="G45" i="1"/>
  <c r="G51" i="1"/>
  <c r="G57" i="1"/>
  <c r="G63" i="1"/>
  <c r="G69" i="1"/>
  <c r="G75" i="1"/>
  <c r="G81" i="1"/>
  <c r="G87" i="1"/>
  <c r="G93" i="1"/>
  <c r="G99" i="1"/>
  <c r="G105" i="1"/>
  <c r="G111" i="1"/>
  <c r="G117" i="1"/>
  <c r="F27" i="1"/>
  <c r="F40" i="1"/>
  <c r="F46" i="1"/>
  <c r="F52" i="1"/>
  <c r="F58" i="1"/>
  <c r="F64" i="1"/>
  <c r="F70" i="1"/>
  <c r="F76" i="1"/>
  <c r="F82" i="1"/>
  <c r="F88" i="1"/>
  <c r="F94" i="1"/>
  <c r="F100" i="1"/>
  <c r="F106" i="1"/>
  <c r="F112" i="1"/>
  <c r="F118" i="1"/>
  <c r="F41" i="1"/>
  <c r="F59" i="1"/>
  <c r="F65" i="1"/>
  <c r="F83" i="1"/>
  <c r="F89" i="1"/>
  <c r="F95" i="1"/>
  <c r="F113" i="1"/>
  <c r="F119" i="1"/>
  <c r="F29" i="1"/>
  <c r="F53" i="1"/>
  <c r="F77" i="1"/>
  <c r="F107" i="1"/>
  <c r="F111" i="1"/>
  <c r="F35" i="1"/>
  <c r="F47" i="1"/>
  <c r="F71" i="1"/>
  <c r="F101" i="1"/>
  <c r="F87" i="1"/>
  <c r="G30" i="1"/>
  <c r="G36" i="1"/>
  <c r="G42" i="1"/>
  <c r="G48" i="1"/>
  <c r="G54" i="1"/>
  <c r="G60" i="1"/>
  <c r="G66" i="1"/>
  <c r="G72" i="1"/>
  <c r="G78" i="1"/>
  <c r="G84" i="1"/>
  <c r="G90" i="1"/>
  <c r="G96" i="1"/>
  <c r="G102" i="1"/>
  <c r="G108" i="1"/>
  <c r="G114" i="1"/>
  <c r="F28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G28" i="1"/>
  <c r="G25" i="1"/>
  <c r="G29" i="1"/>
  <c r="G35" i="1"/>
  <c r="G43" i="1"/>
  <c r="G49" i="1"/>
  <c r="G53" i="1"/>
  <c r="G59" i="1"/>
  <c r="G67" i="1"/>
  <c r="G71" i="1"/>
  <c r="G77" i="1"/>
  <c r="G83" i="1"/>
  <c r="G89" i="1"/>
  <c r="G97" i="1"/>
  <c r="G103" i="1"/>
  <c r="G109" i="1"/>
  <c r="G113" i="1"/>
  <c r="G119" i="1"/>
  <c r="F26" i="1"/>
  <c r="F30" i="1"/>
  <c r="F38" i="1"/>
  <c r="F44" i="1"/>
  <c r="F50" i="1"/>
  <c r="F54" i="1"/>
  <c r="F60" i="1"/>
  <c r="F68" i="1"/>
  <c r="F74" i="1"/>
  <c r="F78" i="1"/>
  <c r="F86" i="1"/>
  <c r="F90" i="1"/>
  <c r="F98" i="1"/>
  <c r="F102" i="1"/>
  <c r="F108" i="1"/>
  <c r="F116" i="1"/>
  <c r="F34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G116" i="1"/>
  <c r="G41" i="1"/>
  <c r="G107" i="1"/>
  <c r="F36" i="1"/>
  <c r="F72" i="1"/>
  <c r="G24" i="1"/>
  <c r="G47" i="1"/>
  <c r="G101" i="1"/>
  <c r="F42" i="1"/>
  <c r="F66" i="1"/>
  <c r="F120" i="1"/>
  <c r="G95" i="1"/>
  <c r="F48" i="1"/>
  <c r="F114" i="1"/>
  <c r="G65" i="1"/>
  <c r="F84" i="1"/>
  <c r="G31" i="1"/>
  <c r="G37" i="1"/>
  <c r="G55" i="1"/>
  <c r="G61" i="1"/>
  <c r="G73" i="1"/>
  <c r="G79" i="1"/>
  <c r="G85" i="1"/>
  <c r="G91" i="1"/>
  <c r="G115" i="1"/>
  <c r="F96" i="1"/>
  <c r="F32" i="1"/>
  <c r="F56" i="1"/>
  <c r="F62" i="1"/>
  <c r="F80" i="1"/>
  <c r="F92" i="1"/>
  <c r="F104" i="1"/>
  <c r="F110" i="1"/>
  <c r="F23" i="1"/>
  <c r="G20" i="1"/>
  <c r="G21" i="1"/>
  <c r="G22" i="1"/>
  <c r="G23" i="1"/>
  <c r="F21" i="1"/>
  <c r="F22" i="1"/>
  <c r="F20" i="1"/>
  <c r="F24" i="1"/>
  <c r="G15" i="1" l="1"/>
  <c r="G14" i="1"/>
  <c r="G12" i="1"/>
  <c r="G11" i="1"/>
  <c r="I20" i="1" l="1"/>
  <c r="I116" i="1"/>
  <c r="I50" i="1"/>
  <c r="I43" i="1"/>
  <c r="I49" i="1"/>
  <c r="I76" i="1"/>
  <c r="I52" i="1"/>
  <c r="I79" i="1"/>
  <c r="I27" i="1"/>
  <c r="I110" i="1"/>
  <c r="I56" i="1"/>
  <c r="I32" i="1"/>
  <c r="I78" i="1"/>
  <c r="I107" i="1"/>
  <c r="I122" i="1"/>
  <c r="I95" i="1"/>
  <c r="I112" i="1"/>
  <c r="I64" i="1"/>
  <c r="I66" i="1"/>
  <c r="I41" i="1"/>
  <c r="I23" i="1"/>
  <c r="I124" i="1"/>
  <c r="I21" i="1"/>
  <c r="I104" i="1"/>
  <c r="I65" i="1"/>
  <c r="I106" i="1"/>
  <c r="I46" i="1"/>
  <c r="I57" i="1"/>
  <c r="I63" i="1"/>
  <c r="I77" i="1"/>
  <c r="I87" i="1"/>
  <c r="I81" i="1"/>
  <c r="I70" i="1"/>
  <c r="I123" i="1"/>
  <c r="I25" i="1"/>
  <c r="I89" i="1"/>
  <c r="I45" i="1"/>
  <c r="I51" i="1"/>
  <c r="I54" i="1"/>
  <c r="I60" i="1"/>
  <c r="I92" i="1"/>
  <c r="I119" i="1"/>
  <c r="I22" i="1"/>
  <c r="I62" i="1"/>
  <c r="I118" i="1"/>
  <c r="I58" i="1"/>
  <c r="I120" i="1"/>
  <c r="I97" i="1"/>
  <c r="I117" i="1"/>
  <c r="I48" i="1"/>
  <c r="I67" i="1"/>
  <c r="I71" i="1"/>
  <c r="I73" i="1"/>
  <c r="I113" i="1"/>
  <c r="I69" i="1"/>
  <c r="I93" i="1"/>
  <c r="I40" i="1"/>
  <c r="I82" i="1"/>
  <c r="I121" i="1"/>
  <c r="I42" i="1"/>
  <c r="I59" i="1"/>
  <c r="I80" i="1"/>
  <c r="I86" i="1"/>
  <c r="I33" i="1"/>
  <c r="I90" i="1"/>
  <c r="I99" i="1"/>
  <c r="I114" i="1"/>
  <c r="I74" i="1"/>
  <c r="I47" i="1"/>
  <c r="I101" i="1"/>
  <c r="I98" i="1"/>
  <c r="I83" i="1"/>
  <c r="I29" i="1"/>
  <c r="I96" i="1"/>
  <c r="I105" i="1"/>
  <c r="I111" i="1"/>
  <c r="I53" i="1"/>
  <c r="I24" i="1"/>
  <c r="I55" i="1"/>
  <c r="I61" i="1"/>
  <c r="I88" i="1"/>
  <c r="I115" i="1"/>
  <c r="I100" i="1"/>
  <c r="I38" i="1"/>
  <c r="I94" i="1"/>
  <c r="I103" i="1"/>
  <c r="I35" i="1"/>
  <c r="I30" i="1"/>
  <c r="I36" i="1"/>
  <c r="I68" i="1"/>
  <c r="I37" i="1"/>
  <c r="I75" i="1"/>
  <c r="I85" i="1"/>
  <c r="I28" i="1"/>
  <c r="I39" i="1"/>
  <c r="I34" i="1"/>
  <c r="I44" i="1"/>
  <c r="I109" i="1"/>
  <c r="I102" i="1"/>
  <c r="I108" i="1"/>
  <c r="I31" i="1"/>
  <c r="I72" i="1"/>
  <c r="I26" i="1"/>
  <c r="I91" i="1"/>
  <c r="I84" i="1"/>
  <c r="H20" i="1"/>
  <c r="H95" i="1"/>
  <c r="H32" i="1"/>
  <c r="H83" i="1"/>
  <c r="H27" i="1"/>
  <c r="H77" i="1"/>
  <c r="H103" i="1"/>
  <c r="H34" i="1"/>
  <c r="H23" i="1"/>
  <c r="H82" i="1"/>
  <c r="H87" i="1"/>
  <c r="H21" i="1"/>
  <c r="H39" i="1"/>
  <c r="H106" i="1"/>
  <c r="H25" i="1"/>
  <c r="H44" i="1"/>
  <c r="H42" i="1"/>
  <c r="H71" i="1"/>
  <c r="H45" i="1"/>
  <c r="H67" i="1"/>
  <c r="H33" i="1"/>
  <c r="H100" i="1"/>
  <c r="H53" i="1"/>
  <c r="H97" i="1"/>
  <c r="H116" i="1"/>
  <c r="H110" i="1"/>
  <c r="H68" i="1"/>
  <c r="H66" i="1"/>
  <c r="H93" i="1"/>
  <c r="H78" i="1"/>
  <c r="H117" i="1"/>
  <c r="H29" i="1"/>
  <c r="H28" i="1"/>
  <c r="H38" i="1"/>
  <c r="H104" i="1"/>
  <c r="H81" i="1"/>
  <c r="H123" i="1"/>
  <c r="H50" i="1"/>
  <c r="H76" i="1"/>
  <c r="H114" i="1"/>
  <c r="H94" i="1"/>
  <c r="H85" i="1"/>
  <c r="H91" i="1"/>
  <c r="H108" i="1"/>
  <c r="H55" i="1"/>
  <c r="H69" i="1"/>
  <c r="H75" i="1"/>
  <c r="H112" i="1"/>
  <c r="H89" i="1"/>
  <c r="H96" i="1"/>
  <c r="H119" i="1"/>
  <c r="H26" i="1"/>
  <c r="H30" i="1"/>
  <c r="H92" i="1"/>
  <c r="H63" i="1"/>
  <c r="H58" i="1"/>
  <c r="H64" i="1"/>
  <c r="H101" i="1"/>
  <c r="H122" i="1"/>
  <c r="H79" i="1"/>
  <c r="H98" i="1"/>
  <c r="H102" i="1"/>
  <c r="H124" i="1"/>
  <c r="H52" i="1"/>
  <c r="H59" i="1"/>
  <c r="H65" i="1"/>
  <c r="H31" i="1"/>
  <c r="H61" i="1"/>
  <c r="H105" i="1"/>
  <c r="H90" i="1"/>
  <c r="H72" i="1"/>
  <c r="H80" i="1"/>
  <c r="H57" i="1"/>
  <c r="H41" i="1"/>
  <c r="H35" i="1"/>
  <c r="H47" i="1"/>
  <c r="H74" i="1"/>
  <c r="H88" i="1"/>
  <c r="H36" i="1"/>
  <c r="H62" i="1"/>
  <c r="H24" i="1"/>
  <c r="H46" i="1"/>
  <c r="H111" i="1"/>
  <c r="H43" i="1"/>
  <c r="H49" i="1"/>
  <c r="H22" i="1"/>
  <c r="H48" i="1"/>
  <c r="H113" i="1"/>
  <c r="H84" i="1"/>
  <c r="H70" i="1"/>
  <c r="H51" i="1"/>
  <c r="H118" i="1"/>
  <c r="H37" i="1"/>
  <c r="H115" i="1"/>
  <c r="H60" i="1"/>
  <c r="H86" i="1"/>
  <c r="H99" i="1"/>
  <c r="H73" i="1"/>
  <c r="H56" i="1"/>
  <c r="H121" i="1"/>
  <c r="H40" i="1"/>
  <c r="H107" i="1"/>
  <c r="H109" i="1"/>
  <c r="H54" i="1"/>
  <c r="H120" i="1"/>
  <c r="I12" i="1" l="1"/>
  <c r="I11" i="1"/>
  <c r="I15" i="1"/>
  <c r="I14" i="1"/>
  <c r="J25" i="1" l="1"/>
  <c r="J40" i="1"/>
  <c r="J54" i="1"/>
  <c r="J44" i="1"/>
  <c r="J57" i="1"/>
  <c r="J106" i="1"/>
  <c r="J48" i="1"/>
  <c r="J124" i="1"/>
  <c r="J65" i="1"/>
  <c r="J32" i="1"/>
  <c r="J99" i="1"/>
  <c r="J60" i="1"/>
  <c r="J89" i="1"/>
  <c r="J29" i="1"/>
  <c r="J62" i="1"/>
  <c r="J55" i="1"/>
  <c r="J52" i="1"/>
  <c r="J121" i="1"/>
  <c r="J114" i="1"/>
  <c r="J107" i="1"/>
  <c r="J108" i="1"/>
  <c r="J93" i="1"/>
  <c r="J70" i="1"/>
  <c r="J63" i="1"/>
  <c r="J64" i="1"/>
  <c r="J105" i="1"/>
  <c r="J26" i="1"/>
  <c r="J122" i="1"/>
  <c r="J115" i="1"/>
  <c r="J116" i="1"/>
  <c r="J53" i="1"/>
  <c r="J72" i="1"/>
  <c r="J79" i="1"/>
  <c r="J30" i="1"/>
  <c r="J75" i="1"/>
  <c r="J109" i="1"/>
  <c r="J46" i="1"/>
  <c r="J39" i="1"/>
  <c r="J36" i="1"/>
  <c r="J50" i="1"/>
  <c r="J43" i="1"/>
  <c r="J69" i="1"/>
  <c r="J38" i="1"/>
  <c r="J41" i="1"/>
  <c r="J113" i="1"/>
  <c r="J74" i="1"/>
  <c r="J67" i="1"/>
  <c r="J68" i="1"/>
  <c r="J61" i="1"/>
  <c r="J78" i="1"/>
  <c r="J27" i="1"/>
  <c r="J84" i="1"/>
  <c r="J83" i="1"/>
  <c r="J42" i="1"/>
  <c r="J77" i="1"/>
  <c r="J94" i="1"/>
  <c r="J87" i="1"/>
  <c r="J88" i="1"/>
  <c r="J97" i="1"/>
  <c r="J98" i="1"/>
  <c r="J91" i="1"/>
  <c r="J92" i="1"/>
  <c r="J37" i="1"/>
  <c r="J47" i="1"/>
  <c r="J96" i="1"/>
  <c r="J58" i="1"/>
  <c r="J51" i="1"/>
  <c r="J100" i="1"/>
  <c r="J117" i="1"/>
  <c r="J80" i="1"/>
  <c r="J90" i="1"/>
  <c r="J95" i="1"/>
  <c r="J31" i="1"/>
  <c r="J102" i="1"/>
  <c r="J103" i="1"/>
  <c r="J120" i="1"/>
  <c r="J59" i="1"/>
  <c r="J22" i="1"/>
  <c r="J112" i="1"/>
  <c r="J82" i="1"/>
  <c r="J33" i="1"/>
  <c r="J21" i="1"/>
  <c r="J104" i="1"/>
  <c r="J23" i="1"/>
  <c r="J81" i="1"/>
  <c r="J86" i="1"/>
  <c r="J56" i="1"/>
  <c r="J118" i="1"/>
  <c r="J35" i="1"/>
  <c r="J101" i="1"/>
  <c r="J49" i="1"/>
  <c r="J71" i="1"/>
  <c r="J73" i="1"/>
  <c r="J28" i="1"/>
  <c r="J110" i="1"/>
  <c r="J66" i="1"/>
  <c r="J119" i="1"/>
  <c r="J45" i="1"/>
  <c r="J123" i="1"/>
  <c r="J76" i="1"/>
  <c r="J111" i="1"/>
  <c r="J34" i="1"/>
  <c r="J24" i="1"/>
  <c r="J20" i="1"/>
  <c r="J85" i="1"/>
  <c r="K20" i="1" l="1"/>
  <c r="M20" i="1" s="1"/>
  <c r="O20" i="1" s="1"/>
  <c r="L20" i="1"/>
  <c r="L118" i="1"/>
  <c r="K118" i="1"/>
  <c r="M118" i="1" s="1"/>
  <c r="O118" i="1" s="1"/>
  <c r="L94" i="1"/>
  <c r="K94" i="1"/>
  <c r="M94" i="1" s="1"/>
  <c r="O94" i="1" s="1"/>
  <c r="K24" i="1"/>
  <c r="M24" i="1" s="1"/>
  <c r="O24" i="1" s="1"/>
  <c r="K56" i="1"/>
  <c r="M56" i="1" s="1"/>
  <c r="O56" i="1" s="1"/>
  <c r="L112" i="1"/>
  <c r="K112" i="1"/>
  <c r="M112" i="1" s="1"/>
  <c r="O112" i="1" s="1"/>
  <c r="L90" i="1"/>
  <c r="K90" i="1"/>
  <c r="M90" i="1" s="1"/>
  <c r="O90" i="1" s="1"/>
  <c r="L37" i="1"/>
  <c r="K37" i="1"/>
  <c r="M37" i="1" s="1"/>
  <c r="O37" i="1" s="1"/>
  <c r="K77" i="1"/>
  <c r="M77" i="1" s="1"/>
  <c r="O77" i="1" s="1"/>
  <c r="L67" i="1"/>
  <c r="K67" i="1"/>
  <c r="M67" i="1" s="1"/>
  <c r="O67" i="1" s="1"/>
  <c r="L36" i="1"/>
  <c r="K36" i="1"/>
  <c r="M36" i="1" s="1"/>
  <c r="O36" i="1" s="1"/>
  <c r="L53" i="1"/>
  <c r="K53" i="1"/>
  <c r="M53" i="1" s="1"/>
  <c r="O53" i="1" s="1"/>
  <c r="L70" i="1"/>
  <c r="K70" i="1"/>
  <c r="M70" i="1" s="1"/>
  <c r="O70" i="1" s="1"/>
  <c r="L62" i="1"/>
  <c r="K62" i="1"/>
  <c r="M62" i="1" s="1"/>
  <c r="O62" i="1" s="1"/>
  <c r="K48" i="1"/>
  <c r="M48" i="1" s="1"/>
  <c r="O48" i="1" s="1"/>
  <c r="K47" i="1"/>
  <c r="M47" i="1" s="1"/>
  <c r="O47" i="1" s="1"/>
  <c r="L72" i="1"/>
  <c r="K72" i="1"/>
  <c r="M72" i="1" s="1"/>
  <c r="O72" i="1" s="1"/>
  <c r="L22" i="1"/>
  <c r="K22" i="1"/>
  <c r="M22" i="1" s="1"/>
  <c r="O22" i="1" s="1"/>
  <c r="K80" i="1"/>
  <c r="M80" i="1" s="1"/>
  <c r="O80" i="1" s="1"/>
  <c r="L92" i="1"/>
  <c r="K92" i="1"/>
  <c r="M92" i="1" s="1"/>
  <c r="O92" i="1" s="1"/>
  <c r="L42" i="1"/>
  <c r="K42" i="1"/>
  <c r="M42" i="1" s="1"/>
  <c r="O42" i="1" s="1"/>
  <c r="K74" i="1"/>
  <c r="M74" i="1" s="1"/>
  <c r="O74" i="1" s="1"/>
  <c r="K39" i="1"/>
  <c r="M39" i="1" s="1"/>
  <c r="O39" i="1" s="1"/>
  <c r="K116" i="1"/>
  <c r="M116" i="1" s="1"/>
  <c r="O116" i="1" s="1"/>
  <c r="K93" i="1"/>
  <c r="M93" i="1" s="1"/>
  <c r="O93" i="1" s="1"/>
  <c r="K29" i="1"/>
  <c r="M29" i="1" s="1"/>
  <c r="O29" i="1" s="1"/>
  <c r="K106" i="1"/>
  <c r="M106" i="1" s="1"/>
  <c r="O106" i="1" s="1"/>
  <c r="K124" i="1"/>
  <c r="M124" i="1" s="1"/>
  <c r="O124" i="1" s="1"/>
  <c r="L34" i="1"/>
  <c r="K34" i="1"/>
  <c r="M34" i="1" s="1"/>
  <c r="O34" i="1" s="1"/>
  <c r="L111" i="1"/>
  <c r="K111" i="1"/>
  <c r="M111" i="1" s="1"/>
  <c r="O111" i="1" s="1"/>
  <c r="L73" i="1"/>
  <c r="K73" i="1"/>
  <c r="M73" i="1" s="1"/>
  <c r="O73" i="1" s="1"/>
  <c r="L81" i="1"/>
  <c r="K81" i="1"/>
  <c r="M81" i="1" s="1"/>
  <c r="O81" i="1" s="1"/>
  <c r="L59" i="1"/>
  <c r="K59" i="1"/>
  <c r="M59" i="1" s="1"/>
  <c r="O59" i="1" s="1"/>
  <c r="L117" i="1"/>
  <c r="K117" i="1"/>
  <c r="M117" i="1" s="1"/>
  <c r="O117" i="1" s="1"/>
  <c r="K91" i="1"/>
  <c r="M91" i="1" s="1"/>
  <c r="O91" i="1" s="1"/>
  <c r="L83" i="1"/>
  <c r="K83" i="1"/>
  <c r="M83" i="1" s="1"/>
  <c r="O83" i="1" s="1"/>
  <c r="L113" i="1"/>
  <c r="K113" i="1"/>
  <c r="M113" i="1" s="1"/>
  <c r="O113" i="1" s="1"/>
  <c r="K46" i="1"/>
  <c r="M46" i="1" s="1"/>
  <c r="O46" i="1" s="1"/>
  <c r="K115" i="1"/>
  <c r="M115" i="1" s="1"/>
  <c r="O115" i="1" s="1"/>
  <c r="K108" i="1"/>
  <c r="M108" i="1" s="1"/>
  <c r="O108" i="1" s="1"/>
  <c r="L89" i="1"/>
  <c r="K89" i="1"/>
  <c r="M89" i="1" s="1"/>
  <c r="O89" i="1" s="1"/>
  <c r="K57" i="1"/>
  <c r="M57" i="1" s="1"/>
  <c r="O57" i="1" s="1"/>
  <c r="L66" i="1"/>
  <c r="K66" i="1"/>
  <c r="M66" i="1" s="1"/>
  <c r="O66" i="1" s="1"/>
  <c r="L63" i="1"/>
  <c r="K63" i="1"/>
  <c r="M63" i="1" s="1"/>
  <c r="O63" i="1" s="1"/>
  <c r="K28" i="1"/>
  <c r="M28" i="1" s="1"/>
  <c r="O28" i="1" s="1"/>
  <c r="L76" i="1"/>
  <c r="K76" i="1"/>
  <c r="M76" i="1" s="1"/>
  <c r="O76" i="1" s="1"/>
  <c r="K71" i="1"/>
  <c r="M71" i="1" s="1"/>
  <c r="O71" i="1" s="1"/>
  <c r="K23" i="1"/>
  <c r="M23" i="1" s="1"/>
  <c r="O23" i="1" s="1"/>
  <c r="K120" i="1"/>
  <c r="M120" i="1" s="1"/>
  <c r="O120" i="1" s="1"/>
  <c r="K100" i="1"/>
  <c r="M100" i="1" s="1"/>
  <c r="O100" i="1" s="1"/>
  <c r="L98" i="1"/>
  <c r="K98" i="1"/>
  <c r="M98" i="1" s="1"/>
  <c r="O98" i="1" s="1"/>
  <c r="K84" i="1"/>
  <c r="M84" i="1" s="1"/>
  <c r="O84" i="1" s="1"/>
  <c r="K41" i="1"/>
  <c r="M41" i="1" s="1"/>
  <c r="O41" i="1" s="1"/>
  <c r="K109" i="1"/>
  <c r="M109" i="1" s="1"/>
  <c r="O109" i="1" s="1"/>
  <c r="K122" i="1"/>
  <c r="M122" i="1" s="1"/>
  <c r="O122" i="1" s="1"/>
  <c r="K107" i="1"/>
  <c r="M107" i="1" s="1"/>
  <c r="O107" i="1" s="1"/>
  <c r="L60" i="1"/>
  <c r="K60" i="1"/>
  <c r="M60" i="1" s="1"/>
  <c r="O60" i="1" s="1"/>
  <c r="L44" i="1"/>
  <c r="K44" i="1"/>
  <c r="M44" i="1" s="1"/>
  <c r="O44" i="1" s="1"/>
  <c r="K55" i="1"/>
  <c r="M55" i="1" s="1"/>
  <c r="O55" i="1" s="1"/>
  <c r="L110" i="1"/>
  <c r="K110" i="1"/>
  <c r="M110" i="1" s="1"/>
  <c r="O110" i="1" s="1"/>
  <c r="L123" i="1"/>
  <c r="K123" i="1"/>
  <c r="M123" i="1" s="1"/>
  <c r="O123" i="1" s="1"/>
  <c r="K49" i="1"/>
  <c r="M49" i="1" s="1"/>
  <c r="O49" i="1" s="1"/>
  <c r="K104" i="1"/>
  <c r="M104" i="1" s="1"/>
  <c r="O104" i="1" s="1"/>
  <c r="L103" i="1"/>
  <c r="K103" i="1"/>
  <c r="M103" i="1" s="1"/>
  <c r="O103" i="1" s="1"/>
  <c r="K51" i="1"/>
  <c r="M51" i="1" s="1"/>
  <c r="O51" i="1" s="1"/>
  <c r="L97" i="1"/>
  <c r="K97" i="1"/>
  <c r="M97" i="1" s="1"/>
  <c r="O97" i="1" s="1"/>
  <c r="L27" i="1"/>
  <c r="K27" i="1"/>
  <c r="M27" i="1" s="1"/>
  <c r="O27" i="1" s="1"/>
  <c r="L38" i="1"/>
  <c r="K38" i="1"/>
  <c r="M38" i="1" s="1"/>
  <c r="O38" i="1" s="1"/>
  <c r="K75" i="1"/>
  <c r="M75" i="1" s="1"/>
  <c r="O75" i="1" s="1"/>
  <c r="L26" i="1"/>
  <c r="K26" i="1"/>
  <c r="M26" i="1" s="1"/>
  <c r="O26" i="1" s="1"/>
  <c r="L114" i="1"/>
  <c r="K114" i="1"/>
  <c r="M114" i="1" s="1"/>
  <c r="O114" i="1" s="1"/>
  <c r="L99" i="1"/>
  <c r="K99" i="1"/>
  <c r="M99" i="1" s="1"/>
  <c r="O99" i="1" s="1"/>
  <c r="L54" i="1"/>
  <c r="K54" i="1"/>
  <c r="M54" i="1" s="1"/>
  <c r="O54" i="1" s="1"/>
  <c r="L95" i="1"/>
  <c r="K95" i="1"/>
  <c r="M95" i="1" s="1"/>
  <c r="O95" i="1" s="1"/>
  <c r="L50" i="1"/>
  <c r="K50" i="1"/>
  <c r="M50" i="1" s="1"/>
  <c r="O50" i="1" s="1"/>
  <c r="L86" i="1"/>
  <c r="K86" i="1"/>
  <c r="M86" i="1" s="1"/>
  <c r="O86" i="1" s="1"/>
  <c r="K45" i="1"/>
  <c r="M45" i="1" s="1"/>
  <c r="O45" i="1" s="1"/>
  <c r="L101" i="1"/>
  <c r="K101" i="1"/>
  <c r="M101" i="1" s="1"/>
  <c r="O101" i="1" s="1"/>
  <c r="L21" i="1"/>
  <c r="K21" i="1"/>
  <c r="M21" i="1" s="1"/>
  <c r="O21" i="1" s="1"/>
  <c r="L102" i="1"/>
  <c r="K102" i="1"/>
  <c r="M102" i="1" s="1"/>
  <c r="O102" i="1" s="1"/>
  <c r="L58" i="1"/>
  <c r="K58" i="1"/>
  <c r="M58" i="1" s="1"/>
  <c r="O58" i="1" s="1"/>
  <c r="K88" i="1"/>
  <c r="M88" i="1" s="1"/>
  <c r="O88" i="1" s="1"/>
  <c r="L78" i="1"/>
  <c r="K78" i="1"/>
  <c r="M78" i="1" s="1"/>
  <c r="O78" i="1" s="1"/>
  <c r="K69" i="1"/>
  <c r="M69" i="1" s="1"/>
  <c r="O69" i="1" s="1"/>
  <c r="K30" i="1"/>
  <c r="M30" i="1" s="1"/>
  <c r="O30" i="1" s="1"/>
  <c r="K105" i="1"/>
  <c r="M105" i="1" s="1"/>
  <c r="O105" i="1" s="1"/>
  <c r="K121" i="1"/>
  <c r="M121" i="1" s="1"/>
  <c r="O121" i="1" s="1"/>
  <c r="K32" i="1"/>
  <c r="M32" i="1" s="1"/>
  <c r="O32" i="1" s="1"/>
  <c r="K40" i="1"/>
  <c r="M40" i="1" s="1"/>
  <c r="O40" i="1" s="1"/>
  <c r="L82" i="1"/>
  <c r="K82" i="1"/>
  <c r="M82" i="1" s="1"/>
  <c r="O82" i="1" s="1"/>
  <c r="L68" i="1"/>
  <c r="K68" i="1"/>
  <c r="M68" i="1" s="1"/>
  <c r="O68" i="1" s="1"/>
  <c r="L85" i="1"/>
  <c r="K85" i="1"/>
  <c r="M85" i="1" s="1"/>
  <c r="O85" i="1" s="1"/>
  <c r="L119" i="1"/>
  <c r="K119" i="1"/>
  <c r="M119" i="1" s="1"/>
  <c r="O119" i="1" s="1"/>
  <c r="K35" i="1"/>
  <c r="M35" i="1" s="1"/>
  <c r="O35" i="1" s="1"/>
  <c r="K33" i="1"/>
  <c r="M33" i="1" s="1"/>
  <c r="O33" i="1" s="1"/>
  <c r="K31" i="1"/>
  <c r="M31" i="1" s="1"/>
  <c r="O31" i="1" s="1"/>
  <c r="L96" i="1"/>
  <c r="K96" i="1"/>
  <c r="M96" i="1" s="1"/>
  <c r="O96" i="1" s="1"/>
  <c r="L87" i="1"/>
  <c r="K87" i="1"/>
  <c r="M87" i="1" s="1"/>
  <c r="O87" i="1" s="1"/>
  <c r="K61" i="1"/>
  <c r="M61" i="1" s="1"/>
  <c r="O61" i="1" s="1"/>
  <c r="K43" i="1"/>
  <c r="M43" i="1" s="1"/>
  <c r="O43" i="1" s="1"/>
  <c r="L79" i="1"/>
  <c r="K79" i="1"/>
  <c r="M79" i="1" s="1"/>
  <c r="O79" i="1" s="1"/>
  <c r="L64" i="1"/>
  <c r="K64" i="1"/>
  <c r="M64" i="1" s="1"/>
  <c r="O64" i="1" s="1"/>
  <c r="K52" i="1"/>
  <c r="M52" i="1" s="1"/>
  <c r="O52" i="1" s="1"/>
  <c r="K65" i="1"/>
  <c r="M65" i="1" s="1"/>
  <c r="O65" i="1" s="1"/>
  <c r="K25" i="1"/>
  <c r="M25" i="1" s="1"/>
  <c r="O25" i="1" s="1"/>
  <c r="L33" i="1"/>
  <c r="L39" i="1"/>
  <c r="L23" i="1"/>
  <c r="L93" i="1"/>
  <c r="L69" i="1"/>
  <c r="L105" i="1"/>
  <c r="L29" i="1"/>
  <c r="L49" i="1"/>
  <c r="L116" i="1"/>
  <c r="L32" i="1"/>
  <c r="L30" i="1"/>
  <c r="L100" i="1"/>
  <c r="L40" i="1"/>
  <c r="L45" i="1"/>
  <c r="L121" i="1"/>
  <c r="N20" i="1"/>
  <c r="L106" i="1"/>
  <c r="L56" i="1"/>
  <c r="L104" i="1"/>
  <c r="L31" i="1"/>
  <c r="L51" i="1"/>
  <c r="L91" i="1"/>
  <c r="L77" i="1"/>
  <c r="L61" i="1"/>
  <c r="L43" i="1"/>
  <c r="L46" i="1"/>
  <c r="L115" i="1"/>
  <c r="L108" i="1"/>
  <c r="L52" i="1"/>
  <c r="L65" i="1"/>
  <c r="L57" i="1"/>
  <c r="L25" i="1"/>
  <c r="L120" i="1"/>
  <c r="L24" i="1"/>
  <c r="L35" i="1"/>
  <c r="L71" i="1"/>
  <c r="L28" i="1"/>
  <c r="L41" i="1"/>
  <c r="L109" i="1"/>
  <c r="L122" i="1"/>
  <c r="L107" i="1"/>
  <c r="L55" i="1"/>
  <c r="L124" i="1"/>
  <c r="L80" i="1"/>
  <c r="L47" i="1"/>
  <c r="N47" i="1" s="1"/>
  <c r="L88" i="1"/>
  <c r="L84" i="1"/>
  <c r="L74" i="1"/>
  <c r="L75" i="1"/>
  <c r="L48" i="1"/>
  <c r="O15" i="1" l="1"/>
  <c r="O14" i="1"/>
  <c r="U20" i="1" s="1"/>
  <c r="N32" i="1"/>
  <c r="N31" i="1"/>
  <c r="N124" i="1"/>
  <c r="N55" i="1"/>
  <c r="N56" i="1"/>
  <c r="N29" i="1"/>
  <c r="N101" i="1"/>
  <c r="N60" i="1"/>
  <c r="N37" i="1"/>
  <c r="N49" i="1"/>
  <c r="N99" i="1"/>
  <c r="N81" i="1"/>
  <c r="N65" i="1"/>
  <c r="N64" i="1"/>
  <c r="N107" i="1"/>
  <c r="N52" i="1"/>
  <c r="N106" i="1"/>
  <c r="N105" i="1"/>
  <c r="N119" i="1"/>
  <c r="N114" i="1"/>
  <c r="N103" i="1"/>
  <c r="N76" i="1"/>
  <c r="N73" i="1"/>
  <c r="N62" i="1"/>
  <c r="N113" i="1"/>
  <c r="N42" i="1"/>
  <c r="N90" i="1"/>
  <c r="N91" i="1"/>
  <c r="N96" i="1"/>
  <c r="N51" i="1"/>
  <c r="N80" i="1"/>
  <c r="N116" i="1"/>
  <c r="N57" i="1"/>
  <c r="N104" i="1"/>
  <c r="N109" i="1"/>
  <c r="N115" i="1"/>
  <c r="N121" i="1"/>
  <c r="N93" i="1"/>
  <c r="N85" i="1"/>
  <c r="N78" i="1"/>
  <c r="N86" i="1"/>
  <c r="N26" i="1"/>
  <c r="N111" i="1"/>
  <c r="N70" i="1"/>
  <c r="N63" i="1"/>
  <c r="N83" i="1"/>
  <c r="N92" i="1"/>
  <c r="N112" i="1"/>
  <c r="N108" i="1"/>
  <c r="N79" i="1"/>
  <c r="N48" i="1"/>
  <c r="N45" i="1"/>
  <c r="N34" i="1"/>
  <c r="N53" i="1"/>
  <c r="N102" i="1"/>
  <c r="N120" i="1"/>
  <c r="N25" i="1"/>
  <c r="N122" i="1"/>
  <c r="N69" i="1"/>
  <c r="N43" i="1"/>
  <c r="N68" i="1"/>
  <c r="N74" i="1"/>
  <c r="N58" i="1"/>
  <c r="N38" i="1"/>
  <c r="N66" i="1"/>
  <c r="N24" i="1"/>
  <c r="N41" i="1"/>
  <c r="N46" i="1"/>
  <c r="N23" i="1"/>
  <c r="N75" i="1"/>
  <c r="N28" i="1"/>
  <c r="N40" i="1"/>
  <c r="N39" i="1"/>
  <c r="N50" i="1"/>
  <c r="N123" i="1"/>
  <c r="N71" i="1"/>
  <c r="N61" i="1"/>
  <c r="N100" i="1"/>
  <c r="N33" i="1"/>
  <c r="N87" i="1"/>
  <c r="N84" i="1"/>
  <c r="N35" i="1"/>
  <c r="N77" i="1"/>
  <c r="N30" i="1"/>
  <c r="N82" i="1"/>
  <c r="N95" i="1"/>
  <c r="N110" i="1"/>
  <c r="N98" i="1"/>
  <c r="N117" i="1"/>
  <c r="N22" i="1"/>
  <c r="N36" i="1"/>
  <c r="N88" i="1"/>
  <c r="N27" i="1"/>
  <c r="N94" i="1"/>
  <c r="N54" i="1"/>
  <c r="N89" i="1"/>
  <c r="N59" i="1"/>
  <c r="N72" i="1"/>
  <c r="N67" i="1"/>
  <c r="N21" i="1"/>
  <c r="N97" i="1"/>
  <c r="N44" i="1"/>
  <c r="N118" i="1"/>
  <c r="Z123" i="1" l="1" a="1"/>
  <c r="Z123" i="1" s="1"/>
  <c r="AF75" i="1"/>
  <c r="AH75" i="1" s="1"/>
  <c r="U29" i="1"/>
  <c r="U38" i="1"/>
  <c r="U22" i="1"/>
  <c r="U49" i="1"/>
  <c r="U112" i="1"/>
  <c r="U85" i="1"/>
  <c r="U39" i="1"/>
  <c r="U76" i="1"/>
  <c r="U59" i="1"/>
  <c r="U123" i="1"/>
  <c r="U124" i="1"/>
  <c r="U43" i="1"/>
  <c r="U92" i="1"/>
  <c r="U99" i="1"/>
  <c r="U71" i="1"/>
  <c r="U103" i="1"/>
  <c r="U100" i="1"/>
  <c r="U109" i="1"/>
  <c r="U98" i="1"/>
  <c r="U56" i="1"/>
  <c r="U63" i="1"/>
  <c r="U90" i="1"/>
  <c r="U105" i="1"/>
  <c r="U30" i="1"/>
  <c r="U88" i="1"/>
  <c r="U120" i="1"/>
  <c r="U114" i="1"/>
  <c r="U44" i="1"/>
  <c r="U80" i="1"/>
  <c r="U48" i="1"/>
  <c r="U54" i="1"/>
  <c r="U65" i="1"/>
  <c r="U91" i="1"/>
  <c r="U121" i="1"/>
  <c r="U40" i="1"/>
  <c r="U82" i="1"/>
  <c r="U58" i="1"/>
  <c r="U93" i="1"/>
  <c r="U81" i="1"/>
  <c r="U25" i="1"/>
  <c r="U57" i="1"/>
  <c r="U66" i="1"/>
  <c r="U52" i="1"/>
  <c r="U122" i="1"/>
  <c r="U45" i="1"/>
  <c r="U31" i="1"/>
  <c r="U101" i="1"/>
  <c r="U89" i="1"/>
  <c r="U51" i="1"/>
  <c r="U55" i="1"/>
  <c r="U42" i="1"/>
  <c r="U113" i="1"/>
  <c r="U107" i="1"/>
  <c r="U108" i="1"/>
  <c r="U106" i="1"/>
  <c r="U50" i="1"/>
  <c r="U84" i="1"/>
  <c r="U53" i="1"/>
  <c r="U104" i="1"/>
  <c r="U69" i="1"/>
  <c r="U62" i="1"/>
  <c r="U35" i="1"/>
  <c r="U117" i="1"/>
  <c r="U83" i="1"/>
  <c r="U97" i="1"/>
  <c r="U77" i="1"/>
  <c r="U110" i="1"/>
  <c r="U70" i="1"/>
  <c r="U64" i="1"/>
  <c r="U47" i="1"/>
  <c r="U95" i="1"/>
  <c r="U111" i="1"/>
  <c r="U115" i="1"/>
  <c r="U116" i="1"/>
  <c r="U94" i="1"/>
  <c r="U28" i="1"/>
  <c r="U60" i="1"/>
  <c r="U23" i="1"/>
  <c r="U27" i="1"/>
  <c r="U21" i="1"/>
  <c r="U87" i="1"/>
  <c r="U34" i="1"/>
  <c r="U26" i="1"/>
  <c r="U79" i="1"/>
  <c r="U74" i="1"/>
  <c r="U33" i="1"/>
  <c r="U67" i="1"/>
  <c r="U102" i="1"/>
  <c r="U24" i="1"/>
  <c r="U75" i="1"/>
  <c r="U41" i="1"/>
  <c r="U86" i="1"/>
  <c r="U119" i="1"/>
  <c r="U73" i="1"/>
  <c r="U32" i="1"/>
  <c r="U72" i="1"/>
  <c r="U96" i="1"/>
  <c r="U36" i="1"/>
  <c r="U68" i="1"/>
  <c r="U61" i="1"/>
  <c r="U78" i="1"/>
  <c r="U37" i="1"/>
  <c r="U46" i="1"/>
  <c r="U118" i="1"/>
  <c r="O12" i="1"/>
  <c r="O11" i="1"/>
  <c r="P108" i="1" s="1"/>
  <c r="AM21" i="1"/>
  <c r="AP19" i="1" s="1"/>
  <c r="AM43" i="1"/>
  <c r="AP41" i="1" s="1"/>
  <c r="AM44" i="1"/>
  <c r="AZ43" i="1" s="1"/>
  <c r="AO43" i="1"/>
  <c r="AM22" i="1"/>
  <c r="AZ21" i="1" s="1"/>
  <c r="AO21" i="1"/>
  <c r="Z127" i="1" l="1"/>
  <c r="AJ135" i="1" s="1"/>
  <c r="Z124" i="1"/>
  <c r="AF124" i="1" s="1"/>
  <c r="AA126" i="1"/>
  <c r="AQ137" i="1" s="1"/>
  <c r="AA125" i="1"/>
  <c r="AA124" i="1"/>
  <c r="AA123" i="1"/>
  <c r="AA127" i="1"/>
  <c r="AJ136" i="1" s="1"/>
  <c r="Z126" i="1"/>
  <c r="Z125" i="1"/>
  <c r="AF125" i="1" s="1"/>
  <c r="Q20" i="1"/>
  <c r="Q71" i="1"/>
  <c r="Q70" i="1"/>
  <c r="Q68" i="1"/>
  <c r="Q87" i="1"/>
  <c r="Q95" i="1"/>
  <c r="Q96" i="1"/>
  <c r="Q55" i="1"/>
  <c r="Q31" i="1"/>
  <c r="Q121" i="1"/>
  <c r="Q80" i="1"/>
  <c r="Q115" i="1"/>
  <c r="Q30" i="1"/>
  <c r="Q88" i="1"/>
  <c r="Q58" i="1"/>
  <c r="Q110" i="1"/>
  <c r="Q102" i="1"/>
  <c r="Q100" i="1"/>
  <c r="Q32" i="1"/>
  <c r="Q99" i="1"/>
  <c r="Q34" i="1"/>
  <c r="Q93" i="1"/>
  <c r="Q74" i="1"/>
  <c r="Q113" i="1"/>
  <c r="Q107" i="1"/>
  <c r="Q111" i="1"/>
  <c r="Q33" i="1"/>
  <c r="Q39" i="1"/>
  <c r="Q49" i="1"/>
  <c r="Q50" i="1"/>
  <c r="Q38" i="1"/>
  <c r="Q98" i="1"/>
  <c r="Q27" i="1"/>
  <c r="Q89" i="1"/>
  <c r="Q21" i="1"/>
  <c r="Q23" i="1"/>
  <c r="Q119" i="1"/>
  <c r="Q28" i="1"/>
  <c r="Q86" i="1"/>
  <c r="Q78" i="1"/>
  <c r="Q48" i="1"/>
  <c r="Q109" i="1"/>
  <c r="Q75" i="1"/>
  <c r="Q84" i="1"/>
  <c r="Q117" i="1"/>
  <c r="Q57" i="1"/>
  <c r="Q59" i="1"/>
  <c r="Q97" i="1"/>
  <c r="Q108" i="1"/>
  <c r="R108" i="1" s="1"/>
  <c r="Q36" i="1"/>
  <c r="Q61" i="1"/>
  <c r="Q46" i="1"/>
  <c r="Q69" i="1"/>
  <c r="Q118" i="1"/>
  <c r="Q43" i="1"/>
  <c r="Q37" i="1"/>
  <c r="Q63" i="1"/>
  <c r="Q123" i="1"/>
  <c r="Q66" i="1"/>
  <c r="Q124" i="1"/>
  <c r="Q106" i="1"/>
  <c r="Q29" i="1"/>
  <c r="Q44" i="1"/>
  <c r="Q81" i="1"/>
  <c r="Q92" i="1"/>
  <c r="Q67" i="1"/>
  <c r="Q114" i="1"/>
  <c r="Q103" i="1"/>
  <c r="Q83" i="1"/>
  <c r="Q41" i="1"/>
  <c r="Q91" i="1"/>
  <c r="Q22" i="1"/>
  <c r="Q94" i="1"/>
  <c r="Q72" i="1"/>
  <c r="Q120" i="1"/>
  <c r="Q116" i="1"/>
  <c r="Q47" i="1"/>
  <c r="Q73" i="1"/>
  <c r="Q90" i="1"/>
  <c r="Q52" i="1"/>
  <c r="Q65" i="1"/>
  <c r="Q79" i="1"/>
  <c r="Q51" i="1"/>
  <c r="Q122" i="1"/>
  <c r="Q42" i="1"/>
  <c r="Q26" i="1"/>
  <c r="Q112" i="1"/>
  <c r="Q53" i="1"/>
  <c r="Q56" i="1"/>
  <c r="Q24" i="1"/>
  <c r="Q62" i="1"/>
  <c r="Q101" i="1"/>
  <c r="Q64" i="1"/>
  <c r="Q77" i="1"/>
  <c r="Q25" i="1"/>
  <c r="Q40" i="1"/>
  <c r="Q54" i="1"/>
  <c r="Q104" i="1"/>
  <c r="Q35" i="1"/>
  <c r="Q60" i="1"/>
  <c r="Q105" i="1"/>
  <c r="Q76" i="1"/>
  <c r="Q45" i="1"/>
  <c r="Q85" i="1"/>
  <c r="Q82" i="1"/>
  <c r="P20" i="1"/>
  <c r="S20" i="1" s="1"/>
  <c r="AQ41" i="1"/>
  <c r="AQ42" i="1" s="1"/>
  <c r="AP42" i="1"/>
  <c r="AP44" i="1" s="1"/>
  <c r="AP45" i="1" s="1"/>
  <c r="AP21" i="1"/>
  <c r="AQ21" i="1" s="1"/>
  <c r="AR21" i="1" s="1"/>
  <c r="AS21" i="1" s="1"/>
  <c r="AT21" i="1" s="1"/>
  <c r="AU21" i="1" s="1"/>
  <c r="AV21" i="1" s="1"/>
  <c r="AW21" i="1" s="1"/>
  <c r="AX21" i="1" s="1"/>
  <c r="AY21" i="1" s="1"/>
  <c r="P58" i="1"/>
  <c r="S58" i="1" s="1"/>
  <c r="P99" i="1"/>
  <c r="S99" i="1" s="1"/>
  <c r="P114" i="1"/>
  <c r="S114" i="1" s="1"/>
  <c r="P41" i="1"/>
  <c r="S41" i="1" s="1"/>
  <c r="P31" i="1"/>
  <c r="S31" i="1" s="1"/>
  <c r="P105" i="1"/>
  <c r="S105" i="1" s="1"/>
  <c r="P98" i="1"/>
  <c r="S98" i="1" s="1"/>
  <c r="P53" i="1"/>
  <c r="S53" i="1" s="1"/>
  <c r="P89" i="1"/>
  <c r="S89" i="1" s="1"/>
  <c r="P32" i="1"/>
  <c r="S32" i="1" s="1"/>
  <c r="P68" i="1"/>
  <c r="S68" i="1" s="1"/>
  <c r="P47" i="1"/>
  <c r="S47" i="1" s="1"/>
  <c r="P124" i="1"/>
  <c r="S124" i="1" s="1"/>
  <c r="P42" i="1"/>
  <c r="S42" i="1" s="1"/>
  <c r="P62" i="1"/>
  <c r="S62" i="1" s="1"/>
  <c r="P21" i="1"/>
  <c r="S21" i="1" s="1"/>
  <c r="P121" i="1"/>
  <c r="S121" i="1" s="1"/>
  <c r="P85" i="1"/>
  <c r="S85" i="1" s="1"/>
  <c r="P51" i="1"/>
  <c r="S51" i="1" s="1"/>
  <c r="P101" i="1"/>
  <c r="S101" i="1" s="1"/>
  <c r="P66" i="1"/>
  <c r="S66" i="1" s="1"/>
  <c r="P117" i="1"/>
  <c r="S117" i="1" s="1"/>
  <c r="P88" i="1"/>
  <c r="S88" i="1" s="1"/>
  <c r="P104" i="1"/>
  <c r="P94" i="1"/>
  <c r="S94" i="1" s="1"/>
  <c r="P102" i="1"/>
  <c r="S102" i="1" s="1"/>
  <c r="P59" i="1"/>
  <c r="S59" i="1" s="1"/>
  <c r="P70" i="1"/>
  <c r="S70" i="1" s="1"/>
  <c r="P29" i="1"/>
  <c r="S29" i="1" s="1"/>
  <c r="P103" i="1"/>
  <c r="S103" i="1" s="1"/>
  <c r="P65" i="1"/>
  <c r="S65" i="1" s="1"/>
  <c r="P74" i="1"/>
  <c r="S74" i="1" s="1"/>
  <c r="P115" i="1"/>
  <c r="S115" i="1" s="1"/>
  <c r="P96" i="1"/>
  <c r="S96" i="1" s="1"/>
  <c r="P25" i="1"/>
  <c r="S25" i="1" s="1"/>
  <c r="P119" i="1"/>
  <c r="S119" i="1" s="1"/>
  <c r="P107" i="1"/>
  <c r="S107" i="1" s="1"/>
  <c r="P73" i="1"/>
  <c r="S73" i="1" s="1"/>
  <c r="P80" i="1"/>
  <c r="S80" i="1" s="1"/>
  <c r="P111" i="1"/>
  <c r="S111" i="1" s="1"/>
  <c r="P76" i="1"/>
  <c r="S76" i="1" s="1"/>
  <c r="P26" i="1"/>
  <c r="S26" i="1" s="1"/>
  <c r="P90" i="1"/>
  <c r="S90" i="1" s="1"/>
  <c r="P113" i="1"/>
  <c r="S113" i="1" s="1"/>
  <c r="P78" i="1"/>
  <c r="S78" i="1" s="1"/>
  <c r="P23" i="1"/>
  <c r="S23" i="1" s="1"/>
  <c r="P109" i="1"/>
  <c r="S109" i="1" s="1"/>
  <c r="P67" i="1"/>
  <c r="S67" i="1" s="1"/>
  <c r="P61" i="1"/>
  <c r="S61" i="1" s="1"/>
  <c r="P40" i="1"/>
  <c r="S40" i="1" s="1"/>
  <c r="P43" i="1"/>
  <c r="S43" i="1" s="1"/>
  <c r="P93" i="1"/>
  <c r="S93" i="1" s="1"/>
  <c r="P100" i="1"/>
  <c r="S100" i="1" s="1"/>
  <c r="P35" i="1"/>
  <c r="S35" i="1" s="1"/>
  <c r="P57" i="1"/>
  <c r="S57" i="1" s="1"/>
  <c r="P112" i="1"/>
  <c r="S112" i="1" s="1"/>
  <c r="P33" i="1"/>
  <c r="P86" i="1"/>
  <c r="S86" i="1" s="1"/>
  <c r="P63" i="1"/>
  <c r="P122" i="1"/>
  <c r="S122" i="1" s="1"/>
  <c r="P81" i="1"/>
  <c r="R81" i="1" s="1"/>
  <c r="P50" i="1"/>
  <c r="S50" i="1" s="1"/>
  <c r="P75" i="1"/>
  <c r="S75" i="1" s="1"/>
  <c r="P77" i="1"/>
  <c r="S77" i="1" s="1"/>
  <c r="P46" i="1"/>
  <c r="S46" i="1" s="1"/>
  <c r="P106" i="1"/>
  <c r="S106" i="1" s="1"/>
  <c r="P87" i="1"/>
  <c r="S87" i="1" s="1"/>
  <c r="P28" i="1"/>
  <c r="S28" i="1" s="1"/>
  <c r="P22" i="1"/>
  <c r="P49" i="1"/>
  <c r="S49" i="1" s="1"/>
  <c r="P34" i="1"/>
  <c r="S34" i="1" s="1"/>
  <c r="P84" i="1"/>
  <c r="S84" i="1" s="1"/>
  <c r="P91" i="1"/>
  <c r="S91" i="1" s="1"/>
  <c r="P44" i="1"/>
  <c r="S44" i="1" s="1"/>
  <c r="P71" i="1"/>
  <c r="S71" i="1" s="1"/>
  <c r="P79" i="1"/>
  <c r="S79" i="1" s="1"/>
  <c r="P64" i="1"/>
  <c r="S64" i="1" s="1"/>
  <c r="P92" i="1"/>
  <c r="S92" i="1" s="1"/>
  <c r="P37" i="1"/>
  <c r="S37" i="1" s="1"/>
  <c r="P97" i="1"/>
  <c r="S97" i="1" s="1"/>
  <c r="P56" i="1"/>
  <c r="P39" i="1"/>
  <c r="S39" i="1" s="1"/>
  <c r="P48" i="1"/>
  <c r="P38" i="1"/>
  <c r="S38" i="1" s="1"/>
  <c r="P24" i="1"/>
  <c r="S24" i="1" s="1"/>
  <c r="P30" i="1"/>
  <c r="S30" i="1" s="1"/>
  <c r="P110" i="1"/>
  <c r="S110" i="1" s="1"/>
  <c r="P120" i="1"/>
  <c r="S120" i="1" s="1"/>
  <c r="P123" i="1"/>
  <c r="S123" i="1" s="1"/>
  <c r="P55" i="1"/>
  <c r="S55" i="1" s="1"/>
  <c r="P83" i="1"/>
  <c r="S83" i="1" s="1"/>
  <c r="P82" i="1"/>
  <c r="S82" i="1" s="1"/>
  <c r="P36" i="1"/>
  <c r="S36" i="1" s="1"/>
  <c r="P52" i="1"/>
  <c r="S52" i="1" s="1"/>
  <c r="P54" i="1"/>
  <c r="P116" i="1"/>
  <c r="S116" i="1" s="1"/>
  <c r="P95" i="1"/>
  <c r="S95" i="1" s="1"/>
  <c r="P69" i="1"/>
  <c r="S69" i="1" s="1"/>
  <c r="P45" i="1"/>
  <c r="S45" i="1" s="1"/>
  <c r="P118" i="1"/>
  <c r="S118" i="1" s="1"/>
  <c r="P72" i="1"/>
  <c r="S72" i="1" s="1"/>
  <c r="P27" i="1"/>
  <c r="S27" i="1" s="1"/>
  <c r="P60" i="1"/>
  <c r="S60" i="1" s="1"/>
  <c r="AK126" i="1"/>
  <c r="AG136" i="1" s="1"/>
  <c r="AK123" i="1"/>
  <c r="AK125" i="1"/>
  <c r="AF126" i="1"/>
  <c r="AN137" i="1" s="1"/>
  <c r="AK124" i="1"/>
  <c r="AF123" i="1"/>
  <c r="S108" i="1"/>
  <c r="AQ19" i="1"/>
  <c r="AP20" i="1"/>
  <c r="AP22" i="1" s="1"/>
  <c r="AP23" i="1" s="1"/>
  <c r="R48" i="1" l="1"/>
  <c r="R56" i="1"/>
  <c r="R63" i="1"/>
  <c r="R21" i="1"/>
  <c r="S81" i="1"/>
  <c r="R54" i="1"/>
  <c r="R94" i="1"/>
  <c r="R99" i="1"/>
  <c r="R58" i="1"/>
  <c r="R33" i="1"/>
  <c r="R107" i="1"/>
  <c r="R102" i="1"/>
  <c r="R42" i="1"/>
  <c r="R73" i="1"/>
  <c r="R124" i="1"/>
  <c r="R70" i="1"/>
  <c r="R75" i="1"/>
  <c r="R71" i="1"/>
  <c r="R80" i="1"/>
  <c r="R104" i="1"/>
  <c r="R47" i="1"/>
  <c r="R119" i="1"/>
  <c r="S104" i="1"/>
  <c r="R31" i="1"/>
  <c r="R28" i="1"/>
  <c r="R20" i="1"/>
  <c r="R113" i="1"/>
  <c r="R115" i="1"/>
  <c r="R34" i="1"/>
  <c r="R123" i="1"/>
  <c r="R95" i="1"/>
  <c r="S56" i="1"/>
  <c r="AR41" i="1"/>
  <c r="AS41" i="1" s="1"/>
  <c r="S63" i="1"/>
  <c r="S48" i="1"/>
  <c r="R22" i="1"/>
  <c r="R101" i="1"/>
  <c r="R118" i="1"/>
  <c r="R117" i="1"/>
  <c r="S54" i="1"/>
  <c r="R79" i="1"/>
  <c r="S22" i="1"/>
  <c r="R96" i="1"/>
  <c r="AP43" i="1"/>
  <c r="R32" i="1"/>
  <c r="S33" i="1"/>
  <c r="R78" i="1"/>
  <c r="R114" i="1"/>
  <c r="R24" i="1"/>
  <c r="R76" i="1"/>
  <c r="R85" i="1"/>
  <c r="R64" i="1"/>
  <c r="R105" i="1"/>
  <c r="R55" i="1"/>
  <c r="R45" i="1"/>
  <c r="R51" i="1"/>
  <c r="R53" i="1"/>
  <c r="R120" i="1"/>
  <c r="R93" i="1"/>
  <c r="R65" i="1"/>
  <c r="R41" i="1"/>
  <c r="R98" i="1"/>
  <c r="R60" i="1"/>
  <c r="R90" i="1"/>
  <c r="R43" i="1"/>
  <c r="AQ44" i="1"/>
  <c r="AQ45" i="1" s="1"/>
  <c r="R46" i="1"/>
  <c r="R66" i="1"/>
  <c r="R38" i="1"/>
  <c r="R97" i="1"/>
  <c r="R112" i="1"/>
  <c r="R89" i="1"/>
  <c r="R86" i="1"/>
  <c r="R23" i="1"/>
  <c r="R88" i="1"/>
  <c r="R68" i="1"/>
  <c r="R27" i="1"/>
  <c r="R49" i="1"/>
  <c r="R39" i="1"/>
  <c r="R36" i="1"/>
  <c r="R25" i="1"/>
  <c r="R103" i="1"/>
  <c r="R52" i="1"/>
  <c r="R82" i="1"/>
  <c r="R74" i="1"/>
  <c r="R59" i="1"/>
  <c r="R100" i="1"/>
  <c r="R121" i="1"/>
  <c r="R111" i="1"/>
  <c r="R69" i="1"/>
  <c r="R30" i="1"/>
  <c r="R29" i="1"/>
  <c r="R122" i="1"/>
  <c r="R84" i="1"/>
  <c r="R116" i="1"/>
  <c r="R91" i="1"/>
  <c r="R110" i="1"/>
  <c r="R44" i="1"/>
  <c r="R40" i="1"/>
  <c r="R50" i="1"/>
  <c r="R72" i="1"/>
  <c r="R109" i="1"/>
  <c r="R62" i="1"/>
  <c r="R77" i="1"/>
  <c r="R67" i="1"/>
  <c r="R61" i="1"/>
  <c r="R83" i="1"/>
  <c r="R37" i="1"/>
  <c r="R106" i="1"/>
  <c r="R57" i="1"/>
  <c r="R87" i="1"/>
  <c r="R35" i="1"/>
  <c r="R92" i="1"/>
  <c r="R26" i="1"/>
  <c r="AA129" i="1"/>
  <c r="AK127" i="1"/>
  <c r="AK129" i="1" s="1"/>
  <c r="AF127" i="1"/>
  <c r="AM139" i="1"/>
  <c r="AZ131" i="1"/>
  <c r="AW141" i="1"/>
  <c r="AX131" i="1"/>
  <c r="AX139" i="1"/>
  <c r="AE136" i="1"/>
  <c r="AE139" i="1" s="1"/>
  <c r="AC136" i="1"/>
  <c r="AQ43" i="1"/>
  <c r="AR19" i="1"/>
  <c r="AQ20" i="1"/>
  <c r="AQ22" i="1" s="1"/>
  <c r="AQ23" i="1" s="1"/>
  <c r="AC137" i="1" l="1"/>
  <c r="AC139" i="1"/>
  <c r="AR42" i="1"/>
  <c r="AR44" i="1" s="1"/>
  <c r="AR45" i="1" s="1"/>
  <c r="AA95" i="1"/>
  <c r="AC95" i="1" s="1"/>
  <c r="V20" i="1" s="1"/>
  <c r="AK135" i="1"/>
  <c r="AY139" i="1"/>
  <c r="AE137" i="1"/>
  <c r="AR20" i="1"/>
  <c r="AR22" i="1" s="1"/>
  <c r="AR23" i="1" s="1"/>
  <c r="AS19" i="1"/>
  <c r="AR43" i="1"/>
  <c r="AS42" i="1"/>
  <c r="AT41" i="1"/>
  <c r="T20" i="1" l="1"/>
  <c r="W20" i="1"/>
  <c r="V64" i="1"/>
  <c r="V72" i="1"/>
  <c r="W72" i="1" s="1"/>
  <c r="V106" i="1"/>
  <c r="W106" i="1" s="1"/>
  <c r="V48" i="1"/>
  <c r="W48" i="1" s="1"/>
  <c r="V84" i="1"/>
  <c r="V115" i="1"/>
  <c r="V98" i="1"/>
  <c r="W98" i="1" s="1"/>
  <c r="V29" i="1"/>
  <c r="V120" i="1"/>
  <c r="W120" i="1" s="1"/>
  <c r="V78" i="1"/>
  <c r="V55" i="1"/>
  <c r="W55" i="1" s="1"/>
  <c r="V85" i="1"/>
  <c r="V95" i="1"/>
  <c r="W95" i="1" s="1"/>
  <c r="V76" i="1"/>
  <c r="V86" i="1"/>
  <c r="V122" i="1"/>
  <c r="W122" i="1" s="1"/>
  <c r="V24" i="1"/>
  <c r="V90" i="1"/>
  <c r="V82" i="1"/>
  <c r="V107" i="1"/>
  <c r="W107" i="1" s="1"/>
  <c r="V51" i="1"/>
  <c r="V60" i="1"/>
  <c r="V63" i="1"/>
  <c r="W63" i="1" s="1"/>
  <c r="V108" i="1"/>
  <c r="W108" i="1" s="1"/>
  <c r="V37" i="1"/>
  <c r="W37" i="1" s="1"/>
  <c r="V124" i="1"/>
  <c r="V114" i="1"/>
  <c r="V96" i="1"/>
  <c r="V75" i="1"/>
  <c r="V101" i="1"/>
  <c r="V88" i="1"/>
  <c r="V47" i="1"/>
  <c r="V103" i="1"/>
  <c r="W103" i="1" s="1"/>
  <c r="V26" i="1"/>
  <c r="V87" i="1"/>
  <c r="W87" i="1" s="1"/>
  <c r="V31" i="1"/>
  <c r="W31" i="1" s="1"/>
  <c r="V102" i="1"/>
  <c r="V116" i="1"/>
  <c r="W116" i="1" s="1"/>
  <c r="V111" i="1"/>
  <c r="V67" i="1"/>
  <c r="V93" i="1"/>
  <c r="W93" i="1" s="1"/>
  <c r="V123" i="1"/>
  <c r="V104" i="1"/>
  <c r="V46" i="1"/>
  <c r="V53" i="1"/>
  <c r="W53" i="1" s="1"/>
  <c r="V36" i="1"/>
  <c r="W36" i="1" s="1"/>
  <c r="V83" i="1"/>
  <c r="V43" i="1"/>
  <c r="W43" i="1" s="1"/>
  <c r="V97" i="1"/>
  <c r="W97" i="1" s="1"/>
  <c r="V91" i="1"/>
  <c r="W91" i="1" s="1"/>
  <c r="V80" i="1"/>
  <c r="V69" i="1"/>
  <c r="W69" i="1" s="1"/>
  <c r="V79" i="1"/>
  <c r="V121" i="1"/>
  <c r="V44" i="1"/>
  <c r="W44" i="1" s="1"/>
  <c r="V21" i="1"/>
  <c r="W21" i="1" s="1"/>
  <c r="V117" i="1"/>
  <c r="V56" i="1"/>
  <c r="W56" i="1" s="1"/>
  <c r="V50" i="1"/>
  <c r="W50" i="1" s="1"/>
  <c r="V57" i="1"/>
  <c r="W57" i="1" s="1"/>
  <c r="V39" i="1"/>
  <c r="V34" i="1"/>
  <c r="V25" i="1"/>
  <c r="W25" i="1" s="1"/>
  <c r="V100" i="1"/>
  <c r="V92" i="1"/>
  <c r="W92" i="1" s="1"/>
  <c r="V61" i="1"/>
  <c r="V112" i="1"/>
  <c r="W112" i="1" s="1"/>
  <c r="V89" i="1"/>
  <c r="V32" i="1"/>
  <c r="V49" i="1"/>
  <c r="W49" i="1" s="1"/>
  <c r="V45" i="1"/>
  <c r="V73" i="1"/>
  <c r="W73" i="1" s="1"/>
  <c r="V99" i="1"/>
  <c r="W99" i="1" s="1"/>
  <c r="V105" i="1"/>
  <c r="V109" i="1"/>
  <c r="W109" i="1" s="1"/>
  <c r="V38" i="1"/>
  <c r="AB99" i="1"/>
  <c r="V70" i="1"/>
  <c r="W70" i="1" s="1"/>
  <c r="V62" i="1"/>
  <c r="W62" i="1" s="1"/>
  <c r="AB98" i="1"/>
  <c r="V68" i="1"/>
  <c r="V22" i="1"/>
  <c r="W22" i="1" s="1"/>
  <c r="V41" i="1"/>
  <c r="V118" i="1"/>
  <c r="W118" i="1" s="1"/>
  <c r="V74" i="1"/>
  <c r="W74" i="1" s="1"/>
  <c r="V113" i="1"/>
  <c r="V35" i="1"/>
  <c r="W35" i="1" s="1"/>
  <c r="V28" i="1"/>
  <c r="W28" i="1" s="1"/>
  <c r="V58" i="1"/>
  <c r="V23" i="1"/>
  <c r="W23" i="1" s="1"/>
  <c r="V110" i="1"/>
  <c r="V54" i="1"/>
  <c r="W54" i="1" s="1"/>
  <c r="V71" i="1"/>
  <c r="W71" i="1" s="1"/>
  <c r="V40" i="1"/>
  <c r="W40" i="1" s="1"/>
  <c r="V65" i="1"/>
  <c r="V33" i="1"/>
  <c r="W33" i="1" s="1"/>
  <c r="V77" i="1"/>
  <c r="V42" i="1"/>
  <c r="V81" i="1"/>
  <c r="V94" i="1"/>
  <c r="V30" i="1"/>
  <c r="V59" i="1"/>
  <c r="W59" i="1" s="1"/>
  <c r="V27" i="1"/>
  <c r="V66" i="1"/>
  <c r="W66" i="1" s="1"/>
  <c r="V119" i="1"/>
  <c r="W119" i="1" s="1"/>
  <c r="V52" i="1"/>
  <c r="AS44" i="1"/>
  <c r="AS45" i="1" s="1"/>
  <c r="AS43" i="1"/>
  <c r="AT42" i="1"/>
  <c r="AU41" i="1"/>
  <c r="AS20" i="1"/>
  <c r="AS22" i="1" s="1"/>
  <c r="AS23" i="1" s="1"/>
  <c r="AT19" i="1"/>
  <c r="T26" i="1" l="1"/>
  <c r="W26" i="1"/>
  <c r="T60" i="1"/>
  <c r="W60" i="1"/>
  <c r="T78" i="1"/>
  <c r="W78" i="1"/>
  <c r="T68" i="1"/>
  <c r="W68" i="1"/>
  <c r="T32" i="1"/>
  <c r="W32" i="1"/>
  <c r="T117" i="1"/>
  <c r="W117" i="1"/>
  <c r="T51" i="1"/>
  <c r="W51" i="1"/>
  <c r="T89" i="1"/>
  <c r="W89" i="1"/>
  <c r="T46" i="1"/>
  <c r="W46" i="1"/>
  <c r="T47" i="1"/>
  <c r="W47" i="1"/>
  <c r="T29" i="1"/>
  <c r="W29" i="1"/>
  <c r="T52" i="1"/>
  <c r="W52" i="1"/>
  <c r="T27" i="1"/>
  <c r="W27" i="1"/>
  <c r="T24" i="1"/>
  <c r="W24" i="1"/>
  <c r="T84" i="1"/>
  <c r="W84" i="1"/>
  <c r="T115" i="1"/>
  <c r="W115" i="1"/>
  <c r="T94" i="1"/>
  <c r="W94" i="1"/>
  <c r="T96" i="1"/>
  <c r="W96" i="1"/>
  <c r="T61" i="1"/>
  <c r="W61" i="1"/>
  <c r="T101" i="1"/>
  <c r="W101" i="1"/>
  <c r="T30" i="1"/>
  <c r="W30" i="1"/>
  <c r="T79" i="1"/>
  <c r="W79" i="1"/>
  <c r="T75" i="1"/>
  <c r="W75" i="1"/>
  <c r="T100" i="1"/>
  <c r="W100" i="1"/>
  <c r="T67" i="1"/>
  <c r="W67" i="1"/>
  <c r="T81" i="1"/>
  <c r="W81" i="1"/>
  <c r="T80" i="1"/>
  <c r="W80" i="1"/>
  <c r="T111" i="1"/>
  <c r="W111" i="1"/>
  <c r="T114" i="1"/>
  <c r="W114" i="1"/>
  <c r="T86" i="1"/>
  <c r="W86" i="1"/>
  <c r="T104" i="1"/>
  <c r="W104" i="1"/>
  <c r="T123" i="1"/>
  <c r="W123" i="1"/>
  <c r="T42" i="1"/>
  <c r="W42" i="1"/>
  <c r="T124" i="1"/>
  <c r="W124" i="1"/>
  <c r="T110" i="1"/>
  <c r="W110" i="1"/>
  <c r="T58" i="1"/>
  <c r="W58" i="1"/>
  <c r="T88" i="1"/>
  <c r="W88" i="1"/>
  <c r="T82" i="1"/>
  <c r="W82" i="1"/>
  <c r="T121" i="1"/>
  <c r="W121" i="1"/>
  <c r="T90" i="1"/>
  <c r="W90" i="1"/>
  <c r="T38" i="1"/>
  <c r="W38" i="1"/>
  <c r="T113" i="1"/>
  <c r="W113" i="1"/>
  <c r="T105" i="1"/>
  <c r="W105" i="1"/>
  <c r="W34" i="1"/>
  <c r="T76" i="1"/>
  <c r="W76" i="1"/>
  <c r="T77" i="1"/>
  <c r="W77" i="1"/>
  <c r="T39" i="1"/>
  <c r="W39" i="1"/>
  <c r="T102" i="1"/>
  <c r="W102" i="1"/>
  <c r="T64" i="1"/>
  <c r="W64" i="1"/>
  <c r="T85" i="1"/>
  <c r="W85" i="1"/>
  <c r="T65" i="1"/>
  <c r="W65" i="1"/>
  <c r="T41" i="1"/>
  <c r="W41" i="1"/>
  <c r="T45" i="1"/>
  <c r="W45" i="1"/>
  <c r="T83" i="1"/>
  <c r="W83" i="1"/>
  <c r="T33" i="1"/>
  <c r="T118" i="1"/>
  <c r="T73" i="1"/>
  <c r="T57" i="1"/>
  <c r="T43" i="1"/>
  <c r="T31" i="1"/>
  <c r="T108" i="1"/>
  <c r="T50" i="1"/>
  <c r="T87" i="1"/>
  <c r="T63" i="1"/>
  <c r="T55" i="1"/>
  <c r="T49" i="1"/>
  <c r="T40" i="1"/>
  <c r="T56" i="1"/>
  <c r="T36" i="1"/>
  <c r="T119" i="1"/>
  <c r="T71" i="1"/>
  <c r="T53" i="1"/>
  <c r="T103" i="1"/>
  <c r="T120" i="1"/>
  <c r="T22" i="1"/>
  <c r="T44" i="1"/>
  <c r="T98" i="1"/>
  <c r="T54" i="1"/>
  <c r="T107" i="1"/>
  <c r="T112" i="1"/>
  <c r="T59" i="1"/>
  <c r="T70" i="1"/>
  <c r="T92" i="1"/>
  <c r="T93" i="1"/>
  <c r="T66" i="1"/>
  <c r="T28" i="1"/>
  <c r="T48" i="1"/>
  <c r="T21" i="1"/>
  <c r="T62" i="1"/>
  <c r="T23" i="1"/>
  <c r="T69" i="1"/>
  <c r="T122" i="1"/>
  <c r="T35" i="1"/>
  <c r="T109" i="1"/>
  <c r="T25" i="1"/>
  <c r="T106" i="1"/>
  <c r="T34" i="1"/>
  <c r="T91" i="1"/>
  <c r="T116" i="1"/>
  <c r="T72" i="1"/>
  <c r="T74" i="1"/>
  <c r="T99" i="1"/>
  <c r="T97" i="1"/>
  <c r="T37" i="1"/>
  <c r="T95" i="1"/>
  <c r="AT44" i="1"/>
  <c r="AT45" i="1" s="1"/>
  <c r="AT43" i="1"/>
  <c r="AT20" i="1"/>
  <c r="AT22" i="1" s="1"/>
  <c r="AT23" i="1" s="1"/>
  <c r="AU19" i="1"/>
  <c r="AV41" i="1"/>
  <c r="AU42" i="1"/>
  <c r="AW102" i="1" l="1"/>
  <c r="AW103" i="1"/>
  <c r="AM74" i="1"/>
  <c r="AM76" i="1"/>
  <c r="AM77" i="1"/>
  <c r="AS102" i="1"/>
  <c r="AS103" i="1"/>
  <c r="AM73" i="1"/>
  <c r="AP71" i="1" s="1"/>
  <c r="AS104" i="1"/>
  <c r="AZ139" i="1"/>
  <c r="BA139" i="1" s="1"/>
  <c r="AY141" i="1" s="1"/>
  <c r="AU44" i="1"/>
  <c r="AU45" i="1" s="1"/>
  <c r="AV42" i="1"/>
  <c r="AW41" i="1"/>
  <c r="AU43" i="1"/>
  <c r="AU20" i="1"/>
  <c r="AU22" i="1" s="1"/>
  <c r="AU23" i="1" s="1"/>
  <c r="AV19" i="1"/>
  <c r="AQ71" i="1" l="1"/>
  <c r="AQ72" i="1" s="1"/>
  <c r="AP72" i="1"/>
  <c r="AP74" i="1" s="1"/>
  <c r="AV44" i="1"/>
  <c r="AV45" i="1" s="1"/>
  <c r="AV43" i="1"/>
  <c r="AV20" i="1"/>
  <c r="AV22" i="1" s="1"/>
  <c r="AV23" i="1" s="1"/>
  <c r="AW19" i="1"/>
  <c r="AW42" i="1"/>
  <c r="AX41" i="1"/>
  <c r="AR71" i="1" l="1"/>
  <c r="AS71" i="1" s="1"/>
  <c r="AS72" i="1" s="1"/>
  <c r="AQ73" i="1"/>
  <c r="AP73" i="1"/>
  <c r="AQ74" i="1"/>
  <c r="AP76" i="1"/>
  <c r="AW44" i="1"/>
  <c r="AW45" i="1" s="1"/>
  <c r="AW43" i="1"/>
  <c r="AX42" i="1"/>
  <c r="AY41" i="1"/>
  <c r="AW20" i="1"/>
  <c r="AW22" i="1" s="1"/>
  <c r="AW23" i="1" s="1"/>
  <c r="AX19" i="1"/>
  <c r="AR72" i="1" l="1"/>
  <c r="AR73" i="1" s="1"/>
  <c r="AT71" i="1"/>
  <c r="AT72" i="1" s="1"/>
  <c r="AS73" i="1"/>
  <c r="AQ76" i="1"/>
  <c r="AX44" i="1"/>
  <c r="AX45" i="1" s="1"/>
  <c r="AX43" i="1"/>
  <c r="AX20" i="1"/>
  <c r="AX22" i="1" s="1"/>
  <c r="AX23" i="1" s="1"/>
  <c r="AY19" i="1"/>
  <c r="AY20" i="1" s="1"/>
  <c r="AY42" i="1"/>
  <c r="AR74" i="1" l="1"/>
  <c r="AS74" i="1" s="1"/>
  <c r="AR76" i="1"/>
  <c r="AS76" i="1" s="1"/>
  <c r="AT76" i="1" s="1"/>
  <c r="AU71" i="1"/>
  <c r="AU72" i="1" s="1"/>
  <c r="AT73" i="1"/>
  <c r="AY44" i="1"/>
  <c r="AY45" i="1" s="1"/>
  <c r="AZ45" i="1" s="1"/>
  <c r="AY43" i="1"/>
  <c r="AY22" i="1"/>
  <c r="AY23" i="1" s="1"/>
  <c r="AZ23" i="1" s="1"/>
  <c r="AV71" i="1" l="1"/>
  <c r="AV72" i="1" s="1"/>
  <c r="AU73" i="1"/>
  <c r="AT74" i="1"/>
  <c r="AU76" i="1"/>
  <c r="AU74" i="1" l="1"/>
  <c r="AV74" i="1" s="1"/>
  <c r="AW71" i="1"/>
  <c r="AW72" i="1" s="1"/>
  <c r="AV73" i="1"/>
  <c r="AV76" i="1"/>
  <c r="AX71" i="1" l="1"/>
  <c r="AX72" i="1" s="1"/>
  <c r="AW73" i="1"/>
  <c r="AW76" i="1"/>
  <c r="AW74" i="1"/>
  <c r="AY71" i="1" l="1"/>
  <c r="AX73" i="1"/>
  <c r="AX76" i="1"/>
  <c r="AX74" i="1"/>
  <c r="AY72" i="1" l="1"/>
  <c r="AY73" i="1" s="1"/>
  <c r="AY76" i="1" l="1"/>
  <c r="AV77" i="1" s="1"/>
  <c r="AV78" i="1" s="1"/>
  <c r="AY74" i="1"/>
  <c r="AZ74" i="1" s="1"/>
  <c r="AX77" i="1" l="1"/>
  <c r="AX78" i="1" s="1"/>
  <c r="AQ77" i="1"/>
  <c r="AQ78" i="1" s="1"/>
  <c r="AW77" i="1"/>
  <c r="AW78" i="1" s="1"/>
  <c r="AU77" i="1"/>
  <c r="AU78" i="1" s="1"/>
  <c r="AS77" i="1"/>
  <c r="AS78" i="1" s="1"/>
  <c r="AT77" i="1"/>
  <c r="AT78" i="1" s="1"/>
  <c r="AR77" i="1"/>
  <c r="AR78" i="1" s="1"/>
  <c r="AY77" i="1"/>
  <c r="AY78" i="1" s="1"/>
  <c r="AP77" i="1"/>
  <c r="AP78" i="1" s="1"/>
  <c r="AP75" i="1"/>
  <c r="AQ75" i="1"/>
  <c r="AR75" i="1"/>
  <c r="AS75" i="1"/>
  <c r="AT75" i="1"/>
  <c r="AV75" i="1"/>
  <c r="AU75" i="1"/>
  <c r="AW75" i="1"/>
  <c r="AX75" i="1"/>
  <c r="AY75" i="1"/>
  <c r="AZ75" i="1" l="1"/>
  <c r="AP80" i="1"/>
  <c r="AV80" i="1" s="1"/>
  <c r="AZ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<sst xmlns="http://schemas.openxmlformats.org/spreadsheetml/2006/main" count="174" uniqueCount="133">
  <si>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</si>
  <si>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</si>
  <si>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</si>
  <si>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</si>
  <si>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</si>
  <si>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</si>
  <si>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</si>
  <si>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</si>
  <si>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</si>
  <si>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rho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</si>
  <si>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</si>
  <si>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</si>
  <si>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</si>
  <si>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</si>
  <si>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</si>
  <si>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</si>
  <si>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</si>
  <si>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</si>
  <si>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</si>
  <si>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</si>
  <si>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</si>
  <si>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</si>
  <si>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</si>
  <si>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</si>
  <si>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</si>
  <si>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</si>
  <si>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</si>
  <si>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</si>
  <si>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</si>
  <si>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CR1[0,1]</t>
  </si>
  <si>
    <t>CR2[0,1]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</si>
  <si>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</si>
  <si>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</si>
  <si>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</si>
  <si>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xi-E{x}</t>
  </si>
  <si>
    <t>yi-E{y}</t>
  </si>
  <si>
    <t>Regression by Hand</t>
  </si>
  <si>
    <t>(xi-E{x})(yi-E{y})</t>
  </si>
  <si>
    <r>
      <t>(xi-E{x})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</si>
  <si>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b1 </t>
  </si>
  <si>
    <t>b0</t>
  </si>
  <si>
    <t>Residual</t>
  </si>
  <si>
    <t>Pred</t>
  </si>
  <si>
    <t>Model Line</t>
  </si>
  <si>
    <t>Linear Regression Calculations</t>
  </si>
  <si>
    <t xml:space="preserve">Regression Model </t>
  </si>
  <si>
    <t>tstat b1 = b1/se1</t>
  </si>
  <si>
    <t>tstat b0 = b0/se0</t>
  </si>
  <si>
    <t>tcritical</t>
  </si>
  <si>
    <t>confidence interval for slope</t>
  </si>
  <si>
    <t>+/-</t>
  </si>
  <si>
    <t>tstat</t>
  </si>
  <si>
    <t>probability</t>
  </si>
  <si>
    <r>
      <t>(yi-E{y})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</si>
  <si>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(yi-y*)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</si>
  <si>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prediction interval</t>
  </si>
  <si>
    <t>t stat</t>
  </si>
  <si>
    <t>sqrt(MSE)</t>
  </si>
  <si>
    <t>given porsity =</t>
  </si>
  <si>
    <t>P.I.</t>
  </si>
  <si>
    <t>Residual Histogram</t>
  </si>
  <si>
    <t>Freq</t>
  </si>
  <si>
    <t>Sum</t>
  </si>
  <si>
    <t>chi-sq</t>
  </si>
  <si>
    <t>(E-O)^2/E</t>
  </si>
  <si>
    <t>Norm</t>
  </si>
  <si>
    <t>Norm Freq</t>
  </si>
  <si>
    <t>PDF</t>
  </si>
  <si>
    <t xml:space="preserve">        chi-sq critical </t>
  </si>
  <si>
    <t>Test Significance of Coefficients</t>
  </si>
  <si>
    <t>Test Significance of Entire Model</t>
  </si>
  <si>
    <t xml:space="preserve">f-critical  </t>
  </si>
  <si>
    <t xml:space="preserve">f-statistic   </t>
  </si>
  <si>
    <t>Confidence Intervals for Coefficients</t>
  </si>
  <si>
    <t>Prediction Interval</t>
  </si>
  <si>
    <r>
      <t xml:space="preserve">About: </t>
    </r>
    <r>
      <rPr>
        <sz val="12"/>
        <color theme="1"/>
        <rFont val="Calibri"/>
        <family val="2"/>
        <scheme val="minor"/>
      </rPr>
      <t>This demonstration includes (1) a convolution, bivariate, Gaussian method for building 1D, spatially and bivariate correlated dataset  and (2) linear regression.</t>
    </r>
  </si>
  <si>
    <r>
      <t xml:space="preserve">Dtataset: </t>
    </r>
    <r>
      <rPr>
        <sz val="12"/>
        <color theme="1"/>
        <rFont val="Calibri"/>
        <family val="2"/>
        <scheme val="minor"/>
      </rPr>
      <t>The data set is based on spatially correlated random values with a moving window average (convolution with a equal weighted window), that are then applied as random values to draw from a bivariate Gaussian distribution (like P-field simulation).</t>
    </r>
  </si>
  <si>
    <r>
      <t xml:space="preserve">Linear Regression: </t>
    </r>
    <r>
      <rPr>
        <sz val="12"/>
        <color theme="1"/>
        <rFont val="Calibri"/>
        <family val="2"/>
        <scheme val="minor"/>
      </rPr>
      <t xml:space="preserve"> Is applied by hand and compared with the Excel LINEST function.  The output is then explained and relevant hypothesis tests are performed to determine the statistical significance of the result. 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</si>
  <si>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</t>
    </r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1D vectors of random values, R1 and R2, are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spatially correlated with convolution, CR1 and CR2,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 xml:space="preserve">corrected to  range [0,1], CR1U and CR2U, applied as p-values to </t>
    </r>
  </si>
  <si>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standard bivariate Gaussian (with user specified correlation coefficient, rho), X1 and X2, </t>
    </r>
    <r>
      <rPr>
        <b/>
        <sz val="12"/>
        <color theme="1"/>
        <rFont val="Calibri"/>
        <family val="2"/>
        <scheme val="minor"/>
      </rPr>
      <t>5.</t>
    </r>
    <r>
      <rPr>
        <sz val="12"/>
        <color theme="1"/>
        <rFont val="Calibri"/>
        <family val="2"/>
        <scheme val="minor"/>
      </rPr>
      <t xml:space="preserve"> transformed to user specified mean and standard  deviation, X1' and X2'.  </t>
    </r>
    <r>
      <rPr>
        <b/>
        <sz val="12"/>
        <color theme="1"/>
        <rFont val="Calibri"/>
        <family val="2"/>
        <scheme val="minor"/>
      </rPr>
      <t>6.</t>
    </r>
    <r>
      <rPr>
        <sz val="12"/>
        <color theme="1"/>
        <rFont val="Calibri"/>
        <family val="2"/>
        <scheme val="minor"/>
      </rPr>
      <t xml:space="preserve"> X2 is applied directly as porosity and</t>
    </r>
  </si>
  <si>
    <r>
      <rPr>
        <b/>
        <sz val="12"/>
        <color theme="1"/>
        <rFont val="Calibri"/>
        <family val="2"/>
        <scheme val="minor"/>
      </rPr>
      <t xml:space="preserve">7. </t>
    </r>
    <r>
      <rPr>
        <sz val="12"/>
        <color theme="1"/>
        <rFont val="Calibri"/>
        <family val="2"/>
        <scheme val="minor"/>
      </rPr>
      <t xml:space="preserve">EXP{X1'} is applied as permeability for a lognormal distribution with mu sigma specified as the mean and standard deviation of X1' and </t>
    </r>
    <r>
      <rPr>
        <b/>
        <sz val="12"/>
        <color theme="1"/>
        <rFont val="Calibri"/>
        <family val="2"/>
        <scheme val="minor"/>
      </rPr>
      <t>8.</t>
    </r>
    <r>
      <rPr>
        <sz val="12"/>
        <color theme="1"/>
        <rFont val="Calibri"/>
        <family val="2"/>
        <scheme val="minor"/>
      </rPr>
      <t xml:space="preserve"> we then  take the LN(K) ofr modeling (better linear bivariate relationship).</t>
    </r>
  </si>
  <si>
    <r>
      <t xml:space="preserve">It is straightfroward to calculate bivariate linear regression given the slope,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and intercept equations,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</si>
  <si>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t>for Plot</t>
  </si>
  <si>
    <t xml:space="preserve">Lets first take a look at the scatter plot to access how reasonable it is to fit a linear model to predict Ln(permeability) </t>
  </si>
  <si>
    <t xml:space="preserve">from porosity.  The relationship is quite linear, we are in good shape.  Note, given the bivariate Gaussian method to </t>
  </si>
  <si>
    <t>build the dataset the correlation after Ln transform of permeaiblity is linear.</t>
  </si>
  <si>
    <t>We should also check the correlation coefficient.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</si>
  <si>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equal to the square of the correlation coefficient.</t>
    </r>
  </si>
  <si>
    <t>This is useful since for bivariate linear regression</t>
  </si>
  <si>
    <t>later.</t>
  </si>
  <si>
    <r>
      <t>We should get a good prediction model.  More on r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</si>
  <si>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It is useful to look at the distribution of residuals from the regression.  Specifically you want to identify bias and outliers (data that have a high </t>
  </si>
  <si>
    <t>Summary Statistics of Residuals</t>
  </si>
  <si>
    <t>Average</t>
  </si>
  <si>
    <t>Variance</t>
  </si>
  <si>
    <t>St. Dev.</t>
  </si>
  <si>
    <t>Maximum</t>
  </si>
  <si>
    <t>Minimun</t>
  </si>
  <si>
    <t xml:space="preserve">error rate.  Systematic bias is indicated by a mean of the residuals that is not close to 0.0 and outliers inspection of the minimum, maximum </t>
  </si>
  <si>
    <t>and the entire PDF.</t>
  </si>
  <si>
    <t>From the Excel docs we can lable each of the available outputs.</t>
  </si>
  <si>
    <t xml:space="preserve">Now lets take the Excel LINEST function, evaluate the output and perform a variety of tests on the statistical significance  of our model. </t>
  </si>
  <si>
    <r>
      <t xml:space="preserve">b1: </t>
    </r>
    <r>
      <rPr>
        <sz val="11"/>
        <color theme="1"/>
        <rFont val="Calibri"/>
        <family val="2"/>
        <scheme val="minor"/>
      </rPr>
      <t>slope of fit</t>
    </r>
  </si>
  <si>
    <r>
      <t>se1:</t>
    </r>
    <r>
      <rPr>
        <sz val="11"/>
        <color theme="1"/>
        <rFont val="Calibri"/>
        <family val="2"/>
        <scheme val="minor"/>
      </rPr>
      <t xml:space="preserve"> standard error of slope</t>
    </r>
  </si>
  <si>
    <r>
      <t xml:space="preserve">r2: </t>
    </r>
    <r>
      <rPr>
        <sz val="11"/>
        <color theme="1"/>
        <rFont val="Calibri"/>
        <family val="2"/>
        <scheme val="minor"/>
      </rPr>
      <t>proportion var. explained</t>
    </r>
  </si>
  <si>
    <r>
      <t xml:space="preserve">Fstat: </t>
    </r>
    <r>
      <rPr>
        <sz val="11"/>
        <color theme="1"/>
        <rFont val="Calibri"/>
        <family val="2"/>
        <scheme val="minor"/>
      </rPr>
      <t>for test of all coefficients</t>
    </r>
  </si>
  <si>
    <r>
      <t xml:space="preserve">ssreg: </t>
    </r>
    <r>
      <rPr>
        <sz val="11"/>
        <color theme="1"/>
        <rFont val="Calibri"/>
        <family val="2"/>
        <scheme val="minor"/>
      </rPr>
      <t>explained variance</t>
    </r>
  </si>
  <si>
    <r>
      <t xml:space="preserve">d.f.: </t>
    </r>
    <r>
      <rPr>
        <sz val="11"/>
        <color theme="1"/>
        <rFont val="Calibri"/>
        <family val="2"/>
        <scheme val="minor"/>
      </rPr>
      <t>degrees of freedom</t>
    </r>
  </si>
  <si>
    <r>
      <t xml:space="preserve">sey: </t>
    </r>
    <r>
      <rPr>
        <sz val="11"/>
        <color theme="1"/>
        <rFont val="Calibri"/>
        <family val="2"/>
        <scheme val="minor"/>
      </rPr>
      <t>standard error for the estimate</t>
    </r>
  </si>
  <si>
    <r>
      <t xml:space="preserve">b0: </t>
    </r>
    <r>
      <rPr>
        <sz val="11"/>
        <color theme="1"/>
        <rFont val="Calibri"/>
        <family val="2"/>
        <scheme val="minor"/>
      </rPr>
      <t xml:space="preserve">intercept of fit    </t>
    </r>
  </si>
  <si>
    <r>
      <t xml:space="preserve">seb: </t>
    </r>
    <r>
      <rPr>
        <sz val="11"/>
        <color theme="1"/>
        <rFont val="Calibri"/>
        <family val="2"/>
        <scheme val="minor"/>
      </rPr>
      <t xml:space="preserve">standard error of the intercept  </t>
    </r>
  </si>
  <si>
    <r>
      <rPr>
        <b/>
        <sz val="11"/>
        <color theme="1"/>
        <rFont val="Calibri"/>
        <family val="2"/>
        <scheme val="minor"/>
      </rPr>
      <t>MSE:</t>
    </r>
    <r>
      <rPr>
        <sz val="11"/>
        <color theme="1"/>
        <rFont val="Calibri"/>
        <family val="2"/>
        <scheme val="minor"/>
      </rPr>
      <t xml:space="preserve"> mean squared error</t>
    </r>
  </si>
  <si>
    <t>Result from Hyposthesis tests for coefficients</t>
  </si>
  <si>
    <t>Result from hypothesis test of the entire model</t>
  </si>
  <si>
    <t>We can preform a hypothesis test on the model coefficients.  Our null hypothesis is that each coefficient is 0.0.</t>
  </si>
  <si>
    <r>
      <t>If we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then our model coefficients are significantly different from 0.0.</t>
    </r>
  </si>
  <si>
    <t>We can also perform a test on the entire model in aggregate.</t>
  </si>
  <si>
    <t>We can calculate confidence intervals for our linear model slope.</t>
  </si>
  <si>
    <t xml:space="preserve">We can also calculate confidence intervals for our prediction of permeability for any </t>
  </si>
  <si>
    <t>porosity value.  Set the porosity value in the yellow box and observe the result.</t>
  </si>
  <si>
    <t>A Synthetic, Random  Porosity and Permeability Dataset with Linear Regression Demonstration, Michael Pyrcz, University of Texas at Austin, @GeostatsGuy on Twitter</t>
  </si>
  <si>
    <t>Building the Dataset and Summary Statistics</t>
  </si>
  <si>
    <t>Excel Linear Regression, Statistical Analysis and Hypothesis Testing</t>
  </si>
  <si>
    <r>
      <t xml:space="preserve">ssresid: </t>
    </r>
    <r>
      <rPr>
        <sz val="11"/>
        <color theme="1"/>
        <rFont val="Calibri"/>
        <family val="2"/>
        <scheme val="minor"/>
      </rPr>
      <t>unexplained variance</t>
    </r>
  </si>
  <si>
    <t>6. Depth as Nonstandard Gaussian, X1'</t>
  </si>
  <si>
    <t>6. Porosity as Nonstandard Gaussian, X2'</t>
  </si>
  <si>
    <t>Porosity*</t>
  </si>
  <si>
    <t>Vsh</t>
  </si>
  <si>
    <t>Density</t>
  </si>
  <si>
    <t>Density Histogram</t>
  </si>
  <si>
    <t>MSM</t>
  </si>
  <si>
    <t>MSE</t>
  </si>
  <si>
    <t>f-stat by-hand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</si>
</sst>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66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left"/>
    </xf>
    <xf numFmtId="165" fontId="0" fillId="6" borderId="0" xfId="0" applyNumberForma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1" fillId="5" borderId="27" xfId="0" applyFont="1" applyFill="1" applyBorder="1"/>
    <xf numFmtId="0" fontId="1" fillId="5" borderId="28" xfId="0" applyFont="1" applyFill="1" applyBorder="1"/>
    <xf numFmtId="0" fontId="0" fillId="6" borderId="5" xfId="0" applyFont="1" applyFill="1" applyBorder="1" applyAlignment="1">
      <alignment horizontal="center" vertical="top" wrapText="1"/>
    </xf>
    <xf numFmtId="0" fontId="0" fillId="6" borderId="6" xfId="0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2" fontId="0" fillId="6" borderId="5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9" fillId="0" borderId="0" xfId="0" applyFont="1" applyBorder="1"/>
    <xf numFmtId="0" fontId="10" fillId="6" borderId="0" xfId="0" applyFont="1" applyFill="1" applyBorder="1" applyAlignment="1">
      <alignment horizontal="right"/>
    </xf>
    <xf numFmtId="2" fontId="10" fillId="6" borderId="0" xfId="0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2" fontId="1" fillId="6" borderId="0" xfId="0" applyNumberFormat="1" applyFont="1" applyFill="1" applyBorder="1" applyAlignment="1">
      <alignment horizontal="center"/>
    </xf>
    <xf numFmtId="0" fontId="0" fillId="8" borderId="27" xfId="0" quotePrefix="1" applyFill="1" applyBorder="1" applyAlignment="1">
      <alignment horizontal="center"/>
    </xf>
    <xf numFmtId="2" fontId="0" fillId="5" borderId="13" xfId="0" applyNumberFormat="1" applyFill="1" applyBorder="1"/>
    <xf numFmtId="0" fontId="0" fillId="5" borderId="16" xfId="0" applyFill="1" applyBorder="1"/>
    <xf numFmtId="0" fontId="10" fillId="7" borderId="11" xfId="0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4" borderId="26" xfId="0" applyFill="1" applyBorder="1"/>
    <xf numFmtId="0" fontId="1" fillId="4" borderId="27" xfId="0" applyFont="1" applyFill="1" applyBorder="1"/>
    <xf numFmtId="0" fontId="0" fillId="4" borderId="27" xfId="0" applyFill="1" applyBorder="1"/>
    <xf numFmtId="0" fontId="0" fillId="4" borderId="28" xfId="0" applyFill="1" applyBorder="1"/>
    <xf numFmtId="164" fontId="1" fillId="6" borderId="0" xfId="0" applyNumberFormat="1" applyFont="1" applyFill="1" applyBorder="1" applyAlignment="1">
      <alignment horizontal="left"/>
    </xf>
    <xf numFmtId="2" fontId="0" fillId="4" borderId="4" xfId="0" applyNumberFormat="1" applyFill="1" applyBorder="1"/>
    <xf numFmtId="11" fontId="0" fillId="4" borderId="19" xfId="0" applyNumberFormat="1" applyFill="1" applyBorder="1"/>
    <xf numFmtId="2" fontId="0" fillId="9" borderId="1" xfId="0" applyNumberFormat="1" applyFill="1" applyBorder="1"/>
    <xf numFmtId="0" fontId="0" fillId="4" borderId="27" xfId="0" quotePrefix="1" applyFill="1" applyBorder="1"/>
    <xf numFmtId="0" fontId="4" fillId="6" borderId="0" xfId="0" applyFont="1" applyFill="1" applyBorder="1"/>
    <xf numFmtId="0" fontId="0" fillId="10" borderId="26" xfId="0" applyFill="1" applyBorder="1"/>
    <xf numFmtId="0" fontId="1" fillId="10" borderId="27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/>
    </xf>
    <xf numFmtId="0" fontId="0" fillId="6" borderId="0" xfId="0" applyFont="1" applyFill="1" applyBorder="1"/>
    <xf numFmtId="0" fontId="0" fillId="4" borderId="1" xfId="0" applyFill="1" applyBorder="1"/>
    <xf numFmtId="2" fontId="0" fillId="4" borderId="19" xfId="0" applyNumberFormat="1" applyFill="1" applyBorder="1"/>
    <xf numFmtId="165" fontId="0" fillId="4" borderId="4" xfId="0" applyNumberFormat="1" applyFill="1" applyBorder="1"/>
    <xf numFmtId="0" fontId="0" fillId="4" borderId="31" xfId="0" applyFill="1" applyBorder="1"/>
    <xf numFmtId="0" fontId="0" fillId="4" borderId="19" xfId="0" applyFill="1" applyBorder="1"/>
    <xf numFmtId="164" fontId="12" fillId="6" borderId="0" xfId="0" applyNumberFormat="1" applyFont="1" applyFill="1" applyBorder="1" applyAlignment="1">
      <alignment horizontal="left"/>
    </xf>
    <xf numFmtId="164" fontId="3" fillId="6" borderId="0" xfId="0" applyNumberFormat="1" applyFont="1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164" fontId="0" fillId="11" borderId="31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" fontId="0" fillId="11" borderId="31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right"/>
    </xf>
    <xf numFmtId="164" fontId="1" fillId="6" borderId="0" xfId="0" applyNumberFormat="1" applyFont="1" applyFill="1" applyBorder="1" applyAlignment="1">
      <alignment horizontal="right"/>
    </xf>
    <xf numFmtId="165" fontId="0" fillId="9" borderId="1" xfId="0" applyNumberFormat="1" applyFill="1" applyBorder="1" applyAlignment="1">
      <alignment horizontal="center"/>
    </xf>
    <xf numFmtId="0" fontId="1" fillId="9" borderId="20" xfId="0" applyFont="1" applyFill="1" applyBorder="1"/>
    <xf numFmtId="0" fontId="0" fillId="9" borderId="21" xfId="0" applyFill="1" applyBorder="1"/>
    <xf numFmtId="0" fontId="1" fillId="9" borderId="21" xfId="0" applyFont="1" applyFill="1" applyBorder="1"/>
    <xf numFmtId="0" fontId="0" fillId="9" borderId="22" xfId="0" applyFill="1" applyBorder="1"/>
    <xf numFmtId="0" fontId="1" fillId="9" borderId="26" xfId="0" applyFont="1" applyFill="1" applyBorder="1"/>
    <xf numFmtId="0" fontId="0" fillId="9" borderId="27" xfId="0" applyFill="1" applyBorder="1"/>
    <xf numFmtId="0" fontId="0" fillId="9" borderId="28" xfId="0" applyFill="1" applyBorder="1"/>
    <xf numFmtId="9" fontId="0" fillId="6" borderId="0" xfId="1" applyFont="1" applyFill="1" applyBorder="1"/>
    <xf numFmtId="0" fontId="12" fillId="6" borderId="0" xfId="0" applyFont="1" applyFill="1" applyBorder="1"/>
    <xf numFmtId="0" fontId="17" fillId="6" borderId="0" xfId="0" applyFont="1" applyFill="1" applyBorder="1"/>
    <xf numFmtId="0" fontId="13" fillId="5" borderId="26" xfId="0" applyFont="1" applyFill="1" applyBorder="1"/>
    <xf numFmtId="0" fontId="13" fillId="10" borderId="26" xfId="0" applyFont="1" applyFill="1" applyBorder="1"/>
    <xf numFmtId="0" fontId="0" fillId="10" borderId="27" xfId="0" applyFill="1" applyBorder="1"/>
    <xf numFmtId="0" fontId="0" fillId="10" borderId="28" xfId="0" applyFill="1" applyBorder="1"/>
    <xf numFmtId="0" fontId="1" fillId="10" borderId="27" xfId="0" applyFont="1" applyFill="1" applyBorder="1"/>
    <xf numFmtId="0" fontId="1" fillId="10" borderId="28" xfId="0" applyFont="1" applyFill="1" applyBorder="1"/>
    <xf numFmtId="164" fontId="13" fillId="10" borderId="26" xfId="0" applyNumberFormat="1" applyFont="1" applyFill="1" applyBorder="1" applyAlignment="1">
      <alignment horizontal="left"/>
    </xf>
    <xf numFmtId="164" fontId="0" fillId="10" borderId="27" xfId="0" applyNumberFormat="1" applyFill="1" applyBorder="1" applyAlignment="1">
      <alignment horizontal="center"/>
    </xf>
    <xf numFmtId="164" fontId="18" fillId="10" borderId="27" xfId="0" applyNumberFormat="1" applyFont="1" applyFill="1" applyBorder="1" applyAlignment="1">
      <alignment horizontal="center"/>
    </xf>
    <xf numFmtId="0" fontId="18" fillId="10" borderId="27" xfId="0" applyFont="1" applyFill="1" applyBorder="1"/>
    <xf numFmtId="0" fontId="18" fillId="10" borderId="28" xfId="0" applyFont="1" applyFill="1" applyBorder="1"/>
    <xf numFmtId="164" fontId="19" fillId="10" borderId="26" xfId="0" applyNumberFormat="1" applyFont="1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 vertical="top" wrapText="1"/>
    </xf>
    <xf numFmtId="0" fontId="20" fillId="6" borderId="0" xfId="2" applyFill="1" applyBorder="1"/>
    <xf numFmtId="164" fontId="0" fillId="6" borderId="1" xfId="0" applyNumberFormat="1" applyFill="1" applyBorder="1" applyAlignment="1">
      <alignment horizontal="center"/>
    </xf>
    <xf numFmtId="164" fontId="21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8" borderId="28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164" fontId="0" fillId="4" borderId="26" xfId="0" applyNumberFormat="1" applyFill="1" applyBorder="1"/>
    <xf numFmtId="164" fontId="0" fillId="11" borderId="4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1" fillId="10" borderId="27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1.7892585704664226</c:v>
                </c:pt>
                <c:pt idx="1">
                  <c:v>1.257551046849156</c:v>
                </c:pt>
                <c:pt idx="2">
                  <c:v>1.9041454133210873</c:v>
                </c:pt>
                <c:pt idx="3">
                  <c:v>1.8402094304790704</c:v>
                </c:pt>
                <c:pt idx="4">
                  <c:v>1.8038161507158692</c:v>
                </c:pt>
                <c:pt idx="5">
                  <c:v>1.3848375170206402</c:v>
                </c:pt>
                <c:pt idx="6">
                  <c:v>1.7893335301731541</c:v>
                </c:pt>
                <c:pt idx="7">
                  <c:v>1.7590114810366002</c:v>
                </c:pt>
                <c:pt idx="8">
                  <c:v>1.9960000331583287</c:v>
                </c:pt>
                <c:pt idx="9">
                  <c:v>2.246899322032351</c:v>
                </c:pt>
                <c:pt idx="10">
                  <c:v>1.9766003415080542</c:v>
                </c:pt>
                <c:pt idx="11">
                  <c:v>1.8726562307518149</c:v>
                </c:pt>
                <c:pt idx="12">
                  <c:v>1.8747861202965668</c:v>
                </c:pt>
                <c:pt idx="13">
                  <c:v>1.9700143504763832</c:v>
                </c:pt>
                <c:pt idx="14">
                  <c:v>1.5303963203461364</c:v>
                </c:pt>
                <c:pt idx="15">
                  <c:v>1.8274276005038701</c:v>
                </c:pt>
                <c:pt idx="16">
                  <c:v>1.4081115462323288</c:v>
                </c:pt>
                <c:pt idx="17">
                  <c:v>2.1272496459966734</c:v>
                </c:pt>
                <c:pt idx="18">
                  <c:v>1.6278430828718087</c:v>
                </c:pt>
                <c:pt idx="19">
                  <c:v>1.8636923326227663</c:v>
                </c:pt>
                <c:pt idx="20">
                  <c:v>1.8801695211448779</c:v>
                </c:pt>
                <c:pt idx="21">
                  <c:v>2.1609525501742115</c:v>
                </c:pt>
                <c:pt idx="22">
                  <c:v>1.846099394364354</c:v>
                </c:pt>
                <c:pt idx="23">
                  <c:v>1.598396434346818</c:v>
                </c:pt>
                <c:pt idx="24">
                  <c:v>1.8817716959692576</c:v>
                </c:pt>
                <c:pt idx="25">
                  <c:v>2.2717817692369326</c:v>
                </c:pt>
                <c:pt idx="26">
                  <c:v>1.9472651509282564</c:v>
                </c:pt>
                <c:pt idx="27">
                  <c:v>1.7487532265156416</c:v>
                </c:pt>
                <c:pt idx="28">
                  <c:v>2.0178495062365291</c:v>
                </c:pt>
                <c:pt idx="29">
                  <c:v>2.2259326611618544</c:v>
                </c:pt>
                <c:pt idx="30">
                  <c:v>1.8637586979950957</c:v>
                </c:pt>
                <c:pt idx="31">
                  <c:v>1.6258032595871037</c:v>
                </c:pt>
                <c:pt idx="32">
                  <c:v>2.1640499677741678</c:v>
                </c:pt>
                <c:pt idx="33">
                  <c:v>2.0537182285896871</c:v>
                </c:pt>
                <c:pt idx="34">
                  <c:v>1.7717846783273123</c:v>
                </c:pt>
                <c:pt idx="35">
                  <c:v>2.0788631880774751</c:v>
                </c:pt>
                <c:pt idx="36">
                  <c:v>2.2281892553775622</c:v>
                </c:pt>
                <c:pt idx="37">
                  <c:v>1.7903700749366112</c:v>
                </c:pt>
                <c:pt idx="38">
                  <c:v>1.9628753520187925</c:v>
                </c:pt>
                <c:pt idx="39">
                  <c:v>1.5742928460504417</c:v>
                </c:pt>
                <c:pt idx="40">
                  <c:v>1.5326242445881568</c:v>
                </c:pt>
                <c:pt idx="41">
                  <c:v>1.7585672701460986</c:v>
                </c:pt>
                <c:pt idx="42">
                  <c:v>1.5946005616380523</c:v>
                </c:pt>
                <c:pt idx="43">
                  <c:v>1.4274185782224975</c:v>
                </c:pt>
                <c:pt idx="44">
                  <c:v>1.501393929239474</c:v>
                </c:pt>
                <c:pt idx="45">
                  <c:v>1.9006982772745158</c:v>
                </c:pt>
                <c:pt idx="46">
                  <c:v>2.1175065754991476</c:v>
                </c:pt>
                <c:pt idx="47">
                  <c:v>1.7021322546085365</c:v>
                </c:pt>
                <c:pt idx="48">
                  <c:v>1.8800467716985845</c:v>
                </c:pt>
                <c:pt idx="49">
                  <c:v>2.1888053361383291</c:v>
                </c:pt>
                <c:pt idx="50">
                  <c:v>1.5856220224907644</c:v>
                </c:pt>
                <c:pt idx="51">
                  <c:v>2.0532394454499308</c:v>
                </c:pt>
                <c:pt idx="52">
                  <c:v>1.6379842837934324</c:v>
                </c:pt>
                <c:pt idx="53">
                  <c:v>1.7366021610077806</c:v>
                </c:pt>
                <c:pt idx="54">
                  <c:v>1.5194693772697931</c:v>
                </c:pt>
                <c:pt idx="55">
                  <c:v>2.0232678622158344</c:v>
                </c:pt>
                <c:pt idx="56">
                  <c:v>1.3166986555004592</c:v>
                </c:pt>
                <c:pt idx="57">
                  <c:v>1.8843521480957688</c:v>
                </c:pt>
                <c:pt idx="58">
                  <c:v>1.6832873114867557</c:v>
                </c:pt>
                <c:pt idx="59">
                  <c:v>1.9337398023810073</c:v>
                </c:pt>
                <c:pt idx="60">
                  <c:v>1.6286066763366969</c:v>
                </c:pt>
                <c:pt idx="61">
                  <c:v>2.171076389584683</c:v>
                </c:pt>
                <c:pt idx="62">
                  <c:v>1.7158671123531408</c:v>
                </c:pt>
                <c:pt idx="63">
                  <c:v>2.3580475819524866</c:v>
                </c:pt>
                <c:pt idx="64">
                  <c:v>1.3856142165449992</c:v>
                </c:pt>
                <c:pt idx="65">
                  <c:v>1.7957672670230682</c:v>
                </c:pt>
                <c:pt idx="66">
                  <c:v>2.0736753728723514</c:v>
                </c:pt>
                <c:pt idx="67">
                  <c:v>1.6563656605777006</c:v>
                </c:pt>
                <c:pt idx="68">
                  <c:v>1.8915019209322328</c:v>
                </c:pt>
                <c:pt idx="69">
                  <c:v>1.8114786217826928</c:v>
                </c:pt>
                <c:pt idx="70">
                  <c:v>1.7199746014761397</c:v>
                </c:pt>
                <c:pt idx="71">
                  <c:v>1.8669856827921913</c:v>
                </c:pt>
                <c:pt idx="72">
                  <c:v>1.6807566782289693</c:v>
                </c:pt>
                <c:pt idx="73">
                  <c:v>1.8359792122323795</c:v>
                </c:pt>
                <c:pt idx="74">
                  <c:v>1.5070412126215467</c:v>
                </c:pt>
                <c:pt idx="75">
                  <c:v>1.2704163111190911</c:v>
                </c:pt>
                <c:pt idx="76">
                  <c:v>1.7876822872588574</c:v>
                </c:pt>
                <c:pt idx="77">
                  <c:v>1.4850319164656223</c:v>
                </c:pt>
                <c:pt idx="78">
                  <c:v>1.9262995051101512</c:v>
                </c:pt>
                <c:pt idx="79">
                  <c:v>1.8808874512703619</c:v>
                </c:pt>
                <c:pt idx="80">
                  <c:v>1.5886367378816633</c:v>
                </c:pt>
                <c:pt idx="81">
                  <c:v>1.4029959740938593</c:v>
                </c:pt>
                <c:pt idx="82">
                  <c:v>1.7569850039539523</c:v>
                </c:pt>
                <c:pt idx="83">
                  <c:v>1.6904491564946666</c:v>
                </c:pt>
                <c:pt idx="84">
                  <c:v>1.682714803896749</c:v>
                </c:pt>
                <c:pt idx="85">
                  <c:v>0.9461691042627095</c:v>
                </c:pt>
                <c:pt idx="86">
                  <c:v>1.4286826361503562</c:v>
                </c:pt>
                <c:pt idx="87">
                  <c:v>1.9790747188714219</c:v>
                </c:pt>
                <c:pt idx="88">
                  <c:v>1.5888560779998209</c:v>
                </c:pt>
                <c:pt idx="89">
                  <c:v>2.1887912445331548</c:v>
                </c:pt>
                <c:pt idx="90">
                  <c:v>1.5473984359222608</c:v>
                </c:pt>
                <c:pt idx="91">
                  <c:v>1.8590804237884977</c:v>
                </c:pt>
                <c:pt idx="92">
                  <c:v>1.1696066902816868</c:v>
                </c:pt>
                <c:pt idx="93">
                  <c:v>2.0148642083648718</c:v>
                </c:pt>
                <c:pt idx="94">
                  <c:v>1.6984795137272752</c:v>
                </c:pt>
                <c:pt idx="95">
                  <c:v>1.3075453596297029</c:v>
                </c:pt>
                <c:pt idx="96">
                  <c:v>1.8128820080942267</c:v>
                </c:pt>
                <c:pt idx="97">
                  <c:v>2.1674746308452604</c:v>
                </c:pt>
                <c:pt idx="98">
                  <c:v>1.3871994296710315</c:v>
                </c:pt>
                <c:pt idx="99">
                  <c:v>1.611120266915822</c:v>
                </c:pt>
                <c:pt idx="100">
                  <c:v>2.0218524825519455</c:v>
                </c:pt>
                <c:pt idx="101">
                  <c:v>1.9380309518733734</c:v>
                </c:pt>
                <c:pt idx="102">
                  <c:v>1.8702049310452451</c:v>
                </c:pt>
                <c:pt idx="103">
                  <c:v>1.831323698197691</c:v>
                </c:pt>
                <c:pt idx="104">
                  <c:v>1.8129953757162551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and Gaussian Fit Probability Density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-3.8725089131397015</c:v>
                </c:pt>
                <c:pt idx="1">
                  <c:v>-2.9182105502950808</c:v>
                </c:pt>
                <c:pt idx="2">
                  <c:v>-1.9639121874504604</c:v>
                </c:pt>
                <c:pt idx="3">
                  <c:v>-1.0096138246058399</c:v>
                </c:pt>
                <c:pt idx="4">
                  <c:v>-5.5315461761219487E-2</c:v>
                </c:pt>
                <c:pt idx="5">
                  <c:v>0.89898290108340095</c:v>
                </c:pt>
                <c:pt idx="6">
                  <c:v>1.8532812639280214</c:v>
                </c:pt>
                <c:pt idx="7">
                  <c:v>2.8075796267726418</c:v>
                </c:pt>
                <c:pt idx="8">
                  <c:v>3.7618779896172621</c:v>
                </c:pt>
                <c:pt idx="9">
                  <c:v>4.7161763524618827</c:v>
                </c:pt>
              </c:numCache>
            </c:numRef>
          </c:xVal>
          <c:yVal>
            <c:numRef>
              <c:f>'Por-Perm-Logs'!$AP$76:$AY$76</c:f>
              <c:numCache>
                <c:formatCode>0.000</c:formatCode>
                <c:ptCount val="10"/>
                <c:pt idx="0">
                  <c:v>2.6775615734645528E-2</c:v>
                </c:pt>
                <c:pt idx="1">
                  <c:v>4.6096336147204403E-2</c:v>
                </c:pt>
                <c:pt idx="2">
                  <c:v>9.0915100296651188E-2</c:v>
                </c:pt>
                <c:pt idx="3">
                  <c:v>0.14359196925528003</c:v>
                </c:pt>
                <c:pt idx="4">
                  <c:v>0.18162161708998492</c:v>
                </c:pt>
                <c:pt idx="5">
                  <c:v>0.18397462963615119</c:v>
                </c:pt>
                <c:pt idx="6">
                  <c:v>0.14924572014964743</c:v>
                </c:pt>
                <c:pt idx="7">
                  <c:v>9.6959571945632983E-2</c:v>
                </c:pt>
                <c:pt idx="8">
                  <c:v>5.0443664573392E-2</c:v>
                </c:pt>
                <c:pt idx="9">
                  <c:v>2.1014708844323216E-2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F-4C22-97FC-048D05E7F5F5}"/>
            </c:ext>
          </c:extLst>
        </c:ser>
        <c:ser>
          <c:idx val="0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-3.8725089131397015</c:v>
                </c:pt>
                <c:pt idx="1">
                  <c:v>-2.9182105502950808</c:v>
                </c:pt>
                <c:pt idx="2">
                  <c:v>-1.9639121874504604</c:v>
                </c:pt>
                <c:pt idx="3">
                  <c:v>-1.0096138246058399</c:v>
                </c:pt>
                <c:pt idx="4">
                  <c:v>-5.5315461761219487E-2</c:v>
                </c:pt>
                <c:pt idx="5">
                  <c:v>0.89898290108340095</c:v>
                </c:pt>
                <c:pt idx="6">
                  <c:v>1.8532812639280214</c:v>
                </c:pt>
                <c:pt idx="7">
                  <c:v>2.8075796267726418</c:v>
                </c:pt>
                <c:pt idx="8">
                  <c:v>3.7618779896172621</c:v>
                </c:pt>
                <c:pt idx="9">
                  <c:v>4.7161763524618827</c:v>
                </c:pt>
              </c:numCache>
            </c:numRef>
          </c:xVal>
          <c:yVal>
            <c:numRef>
              <c:f>'Por-Perm-Logs'!$AP$75:$AY$75</c:f>
              <c:numCache>
                <c:formatCode>0.00</c:formatCode>
                <c:ptCount val="10"/>
                <c:pt idx="0">
                  <c:v>3.8095238095238099E-2</c:v>
                </c:pt>
                <c:pt idx="1">
                  <c:v>4.7619047619047616E-2</c:v>
                </c:pt>
                <c:pt idx="2">
                  <c:v>6.6666666666666666E-2</c:v>
                </c:pt>
                <c:pt idx="3">
                  <c:v>0.11428571428571428</c:v>
                </c:pt>
                <c:pt idx="4">
                  <c:v>0.19047619047619047</c:v>
                </c:pt>
                <c:pt idx="5">
                  <c:v>0.21904761904761905</c:v>
                </c:pt>
                <c:pt idx="6">
                  <c:v>0.17142857142857143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3.8095238095238099E-2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6F-4C22-97FC-048D05E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At val="-1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At val="-1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1.7892585704664226</c:v>
                </c:pt>
                <c:pt idx="1">
                  <c:v>1.257551046849156</c:v>
                </c:pt>
                <c:pt idx="2">
                  <c:v>1.9041454133210873</c:v>
                </c:pt>
                <c:pt idx="3">
                  <c:v>1.8402094304790704</c:v>
                </c:pt>
                <c:pt idx="4">
                  <c:v>1.8038161507158692</c:v>
                </c:pt>
                <c:pt idx="5">
                  <c:v>1.3848375170206402</c:v>
                </c:pt>
                <c:pt idx="6">
                  <c:v>1.7893335301731541</c:v>
                </c:pt>
                <c:pt idx="7">
                  <c:v>1.7590114810366002</c:v>
                </c:pt>
                <c:pt idx="8">
                  <c:v>1.9960000331583287</c:v>
                </c:pt>
                <c:pt idx="9">
                  <c:v>2.246899322032351</c:v>
                </c:pt>
                <c:pt idx="10">
                  <c:v>1.9766003415080542</c:v>
                </c:pt>
                <c:pt idx="11">
                  <c:v>1.8726562307518149</c:v>
                </c:pt>
                <c:pt idx="12">
                  <c:v>1.8747861202965668</c:v>
                </c:pt>
                <c:pt idx="13">
                  <c:v>1.9700143504763832</c:v>
                </c:pt>
                <c:pt idx="14">
                  <c:v>1.5303963203461364</c:v>
                </c:pt>
                <c:pt idx="15">
                  <c:v>1.8274276005038701</c:v>
                </c:pt>
                <c:pt idx="16">
                  <c:v>1.4081115462323288</c:v>
                </c:pt>
                <c:pt idx="17">
                  <c:v>2.1272496459966734</c:v>
                </c:pt>
                <c:pt idx="18">
                  <c:v>1.6278430828718087</c:v>
                </c:pt>
                <c:pt idx="19">
                  <c:v>1.8636923326227663</c:v>
                </c:pt>
                <c:pt idx="20">
                  <c:v>1.8801695211448779</c:v>
                </c:pt>
                <c:pt idx="21">
                  <c:v>2.1609525501742115</c:v>
                </c:pt>
                <c:pt idx="22">
                  <c:v>1.846099394364354</c:v>
                </c:pt>
                <c:pt idx="23">
                  <c:v>1.598396434346818</c:v>
                </c:pt>
                <c:pt idx="24">
                  <c:v>1.8817716959692576</c:v>
                </c:pt>
                <c:pt idx="25">
                  <c:v>2.2717817692369326</c:v>
                </c:pt>
                <c:pt idx="26">
                  <c:v>1.9472651509282564</c:v>
                </c:pt>
                <c:pt idx="27">
                  <c:v>1.7487532265156416</c:v>
                </c:pt>
                <c:pt idx="28">
                  <c:v>2.0178495062365291</c:v>
                </c:pt>
                <c:pt idx="29">
                  <c:v>2.2259326611618544</c:v>
                </c:pt>
                <c:pt idx="30">
                  <c:v>1.8637586979950957</c:v>
                </c:pt>
                <c:pt idx="31">
                  <c:v>1.6258032595871037</c:v>
                </c:pt>
                <c:pt idx="32">
                  <c:v>2.1640499677741678</c:v>
                </c:pt>
                <c:pt idx="33">
                  <c:v>2.0537182285896871</c:v>
                </c:pt>
                <c:pt idx="34">
                  <c:v>1.7717846783273123</c:v>
                </c:pt>
                <c:pt idx="35">
                  <c:v>2.0788631880774751</c:v>
                </c:pt>
                <c:pt idx="36">
                  <c:v>2.2281892553775622</c:v>
                </c:pt>
                <c:pt idx="37">
                  <c:v>1.7903700749366112</c:v>
                </c:pt>
                <c:pt idx="38">
                  <c:v>1.9628753520187925</c:v>
                </c:pt>
                <c:pt idx="39">
                  <c:v>1.5742928460504417</c:v>
                </c:pt>
                <c:pt idx="40">
                  <c:v>1.5326242445881568</c:v>
                </c:pt>
                <c:pt idx="41">
                  <c:v>1.7585672701460986</c:v>
                </c:pt>
                <c:pt idx="42">
                  <c:v>1.5946005616380523</c:v>
                </c:pt>
                <c:pt idx="43">
                  <c:v>1.4274185782224975</c:v>
                </c:pt>
                <c:pt idx="44">
                  <c:v>1.501393929239474</c:v>
                </c:pt>
                <c:pt idx="45">
                  <c:v>1.9006982772745158</c:v>
                </c:pt>
                <c:pt idx="46">
                  <c:v>2.1175065754991476</c:v>
                </c:pt>
                <c:pt idx="47">
                  <c:v>1.7021322546085365</c:v>
                </c:pt>
                <c:pt idx="48">
                  <c:v>1.8800467716985845</c:v>
                </c:pt>
                <c:pt idx="49">
                  <c:v>2.1888053361383291</c:v>
                </c:pt>
                <c:pt idx="50">
                  <c:v>1.5856220224907644</c:v>
                </c:pt>
                <c:pt idx="51">
                  <c:v>2.0532394454499308</c:v>
                </c:pt>
                <c:pt idx="52">
                  <c:v>1.6379842837934324</c:v>
                </c:pt>
                <c:pt idx="53">
                  <c:v>1.7366021610077806</c:v>
                </c:pt>
                <c:pt idx="54">
                  <c:v>1.5194693772697931</c:v>
                </c:pt>
                <c:pt idx="55">
                  <c:v>2.0232678622158344</c:v>
                </c:pt>
                <c:pt idx="56">
                  <c:v>1.3166986555004592</c:v>
                </c:pt>
                <c:pt idx="57">
                  <c:v>1.8843521480957688</c:v>
                </c:pt>
                <c:pt idx="58">
                  <c:v>1.6832873114867557</c:v>
                </c:pt>
                <c:pt idx="59">
                  <c:v>1.9337398023810073</c:v>
                </c:pt>
                <c:pt idx="60">
                  <c:v>1.6286066763366969</c:v>
                </c:pt>
                <c:pt idx="61">
                  <c:v>2.171076389584683</c:v>
                </c:pt>
                <c:pt idx="62">
                  <c:v>1.7158671123531408</c:v>
                </c:pt>
                <c:pt idx="63">
                  <c:v>2.3580475819524866</c:v>
                </c:pt>
                <c:pt idx="64">
                  <c:v>1.3856142165449992</c:v>
                </c:pt>
                <c:pt idx="65">
                  <c:v>1.7957672670230682</c:v>
                </c:pt>
                <c:pt idx="66">
                  <c:v>2.0736753728723514</c:v>
                </c:pt>
                <c:pt idx="67">
                  <c:v>1.6563656605777006</c:v>
                </c:pt>
                <c:pt idx="68">
                  <c:v>1.8915019209322328</c:v>
                </c:pt>
                <c:pt idx="69">
                  <c:v>1.8114786217826928</c:v>
                </c:pt>
                <c:pt idx="70">
                  <c:v>1.7199746014761397</c:v>
                </c:pt>
                <c:pt idx="71">
                  <c:v>1.8669856827921913</c:v>
                </c:pt>
                <c:pt idx="72">
                  <c:v>1.6807566782289693</c:v>
                </c:pt>
                <c:pt idx="73">
                  <c:v>1.8359792122323795</c:v>
                </c:pt>
                <c:pt idx="74">
                  <c:v>1.5070412126215467</c:v>
                </c:pt>
                <c:pt idx="75">
                  <c:v>1.2704163111190911</c:v>
                </c:pt>
                <c:pt idx="76">
                  <c:v>1.7876822872588574</c:v>
                </c:pt>
                <c:pt idx="77">
                  <c:v>1.4850319164656223</c:v>
                </c:pt>
                <c:pt idx="78">
                  <c:v>1.9262995051101512</c:v>
                </c:pt>
                <c:pt idx="79">
                  <c:v>1.8808874512703619</c:v>
                </c:pt>
                <c:pt idx="80">
                  <c:v>1.5886367378816633</c:v>
                </c:pt>
                <c:pt idx="81">
                  <c:v>1.4029959740938593</c:v>
                </c:pt>
                <c:pt idx="82">
                  <c:v>1.7569850039539523</c:v>
                </c:pt>
                <c:pt idx="83">
                  <c:v>1.6904491564946666</c:v>
                </c:pt>
                <c:pt idx="84">
                  <c:v>1.682714803896749</c:v>
                </c:pt>
                <c:pt idx="85">
                  <c:v>0.9461691042627095</c:v>
                </c:pt>
                <c:pt idx="86">
                  <c:v>1.4286826361503562</c:v>
                </c:pt>
                <c:pt idx="87">
                  <c:v>1.9790747188714219</c:v>
                </c:pt>
                <c:pt idx="88">
                  <c:v>1.5888560779998209</c:v>
                </c:pt>
                <c:pt idx="89">
                  <c:v>2.1887912445331548</c:v>
                </c:pt>
                <c:pt idx="90">
                  <c:v>1.5473984359222608</c:v>
                </c:pt>
                <c:pt idx="91">
                  <c:v>1.8590804237884977</c:v>
                </c:pt>
                <c:pt idx="92">
                  <c:v>1.1696066902816868</c:v>
                </c:pt>
                <c:pt idx="93">
                  <c:v>2.0148642083648718</c:v>
                </c:pt>
                <c:pt idx="94">
                  <c:v>1.6984795137272752</c:v>
                </c:pt>
                <c:pt idx="95">
                  <c:v>1.3075453596297029</c:v>
                </c:pt>
                <c:pt idx="96">
                  <c:v>1.8128820080942267</c:v>
                </c:pt>
                <c:pt idx="97">
                  <c:v>2.1674746308452604</c:v>
                </c:pt>
                <c:pt idx="98">
                  <c:v>1.3871994296710315</c:v>
                </c:pt>
                <c:pt idx="99">
                  <c:v>1.611120266915822</c:v>
                </c:pt>
                <c:pt idx="100">
                  <c:v>2.0218524825519455</c:v>
                </c:pt>
                <c:pt idx="101">
                  <c:v>1.9380309518733734</c:v>
                </c:pt>
                <c:pt idx="102">
                  <c:v>1.8702049310452451</c:v>
                </c:pt>
                <c:pt idx="103">
                  <c:v>1.831323698197691</c:v>
                </c:pt>
                <c:pt idx="104">
                  <c:v>1.8129953757162551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071-99D9-40D28AD3ABC6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1.7892585704664226</c:v>
                </c:pt>
                <c:pt idx="1">
                  <c:v>1.257551046849156</c:v>
                </c:pt>
                <c:pt idx="2">
                  <c:v>1.9041454133210873</c:v>
                </c:pt>
                <c:pt idx="3">
                  <c:v>1.8402094304790704</c:v>
                </c:pt>
                <c:pt idx="4">
                  <c:v>1.8038161507158692</c:v>
                </c:pt>
                <c:pt idx="5">
                  <c:v>1.3848375170206402</c:v>
                </c:pt>
                <c:pt idx="6">
                  <c:v>1.7893335301731541</c:v>
                </c:pt>
                <c:pt idx="7">
                  <c:v>1.7590114810366002</c:v>
                </c:pt>
                <c:pt idx="8">
                  <c:v>1.9960000331583287</c:v>
                </c:pt>
                <c:pt idx="9">
                  <c:v>2.246899322032351</c:v>
                </c:pt>
                <c:pt idx="10">
                  <c:v>1.9766003415080542</c:v>
                </c:pt>
                <c:pt idx="11">
                  <c:v>1.8726562307518149</c:v>
                </c:pt>
                <c:pt idx="12">
                  <c:v>1.8747861202965668</c:v>
                </c:pt>
                <c:pt idx="13">
                  <c:v>1.9700143504763832</c:v>
                </c:pt>
                <c:pt idx="14">
                  <c:v>1.5303963203461364</c:v>
                </c:pt>
                <c:pt idx="15">
                  <c:v>1.8274276005038701</c:v>
                </c:pt>
                <c:pt idx="16">
                  <c:v>1.4081115462323288</c:v>
                </c:pt>
                <c:pt idx="17">
                  <c:v>2.1272496459966734</c:v>
                </c:pt>
                <c:pt idx="18">
                  <c:v>1.6278430828718087</c:v>
                </c:pt>
                <c:pt idx="19">
                  <c:v>1.8636923326227663</c:v>
                </c:pt>
                <c:pt idx="20">
                  <c:v>1.8801695211448779</c:v>
                </c:pt>
                <c:pt idx="21">
                  <c:v>2.1609525501742115</c:v>
                </c:pt>
                <c:pt idx="22">
                  <c:v>1.846099394364354</c:v>
                </c:pt>
                <c:pt idx="23">
                  <c:v>1.598396434346818</c:v>
                </c:pt>
                <c:pt idx="24">
                  <c:v>1.8817716959692576</c:v>
                </c:pt>
                <c:pt idx="25">
                  <c:v>2.2717817692369326</c:v>
                </c:pt>
                <c:pt idx="26">
                  <c:v>1.9472651509282564</c:v>
                </c:pt>
                <c:pt idx="27">
                  <c:v>1.7487532265156416</c:v>
                </c:pt>
                <c:pt idx="28">
                  <c:v>2.0178495062365291</c:v>
                </c:pt>
                <c:pt idx="29">
                  <c:v>2.2259326611618544</c:v>
                </c:pt>
                <c:pt idx="30">
                  <c:v>1.8637586979950957</c:v>
                </c:pt>
                <c:pt idx="31">
                  <c:v>1.6258032595871037</c:v>
                </c:pt>
                <c:pt idx="32">
                  <c:v>2.1640499677741678</c:v>
                </c:pt>
                <c:pt idx="33">
                  <c:v>2.0537182285896871</c:v>
                </c:pt>
                <c:pt idx="34">
                  <c:v>1.7717846783273123</c:v>
                </c:pt>
                <c:pt idx="35">
                  <c:v>2.0788631880774751</c:v>
                </c:pt>
                <c:pt idx="36">
                  <c:v>2.2281892553775622</c:v>
                </c:pt>
                <c:pt idx="37">
                  <c:v>1.7903700749366112</c:v>
                </c:pt>
                <c:pt idx="38">
                  <c:v>1.9628753520187925</c:v>
                </c:pt>
                <c:pt idx="39">
                  <c:v>1.5742928460504417</c:v>
                </c:pt>
                <c:pt idx="40">
                  <c:v>1.5326242445881568</c:v>
                </c:pt>
                <c:pt idx="41">
                  <c:v>1.7585672701460986</c:v>
                </c:pt>
                <c:pt idx="42">
                  <c:v>1.5946005616380523</c:v>
                </c:pt>
                <c:pt idx="43">
                  <c:v>1.4274185782224975</c:v>
                </c:pt>
                <c:pt idx="44">
                  <c:v>1.501393929239474</c:v>
                </c:pt>
                <c:pt idx="45">
                  <c:v>1.9006982772745158</c:v>
                </c:pt>
                <c:pt idx="46">
                  <c:v>2.1175065754991476</c:v>
                </c:pt>
                <c:pt idx="47">
                  <c:v>1.7021322546085365</c:v>
                </c:pt>
                <c:pt idx="48">
                  <c:v>1.8800467716985845</c:v>
                </c:pt>
                <c:pt idx="49">
                  <c:v>2.1888053361383291</c:v>
                </c:pt>
                <c:pt idx="50">
                  <c:v>1.5856220224907644</c:v>
                </c:pt>
                <c:pt idx="51">
                  <c:v>2.0532394454499308</c:v>
                </c:pt>
                <c:pt idx="52">
                  <c:v>1.6379842837934324</c:v>
                </c:pt>
                <c:pt idx="53">
                  <c:v>1.7366021610077806</c:v>
                </c:pt>
                <c:pt idx="54">
                  <c:v>1.5194693772697931</c:v>
                </c:pt>
                <c:pt idx="55">
                  <c:v>2.0232678622158344</c:v>
                </c:pt>
                <c:pt idx="56">
                  <c:v>1.3166986555004592</c:v>
                </c:pt>
                <c:pt idx="57">
                  <c:v>1.8843521480957688</c:v>
                </c:pt>
                <c:pt idx="58">
                  <c:v>1.6832873114867557</c:v>
                </c:pt>
                <c:pt idx="59">
                  <c:v>1.9337398023810073</c:v>
                </c:pt>
                <c:pt idx="60">
                  <c:v>1.6286066763366969</c:v>
                </c:pt>
                <c:pt idx="61">
                  <c:v>2.171076389584683</c:v>
                </c:pt>
                <c:pt idx="62">
                  <c:v>1.7158671123531408</c:v>
                </c:pt>
                <c:pt idx="63">
                  <c:v>2.3580475819524866</c:v>
                </c:pt>
                <c:pt idx="64">
                  <c:v>1.3856142165449992</c:v>
                </c:pt>
                <c:pt idx="65">
                  <c:v>1.7957672670230682</c:v>
                </c:pt>
                <c:pt idx="66">
                  <c:v>2.0736753728723514</c:v>
                </c:pt>
                <c:pt idx="67">
                  <c:v>1.6563656605777006</c:v>
                </c:pt>
                <c:pt idx="68">
                  <c:v>1.8915019209322328</c:v>
                </c:pt>
                <c:pt idx="69">
                  <c:v>1.8114786217826928</c:v>
                </c:pt>
                <c:pt idx="70">
                  <c:v>1.7199746014761397</c:v>
                </c:pt>
                <c:pt idx="71">
                  <c:v>1.8669856827921913</c:v>
                </c:pt>
                <c:pt idx="72">
                  <c:v>1.6807566782289693</c:v>
                </c:pt>
                <c:pt idx="73">
                  <c:v>1.8359792122323795</c:v>
                </c:pt>
                <c:pt idx="74">
                  <c:v>1.5070412126215467</c:v>
                </c:pt>
                <c:pt idx="75">
                  <c:v>1.2704163111190911</c:v>
                </c:pt>
                <c:pt idx="76">
                  <c:v>1.7876822872588574</c:v>
                </c:pt>
                <c:pt idx="77">
                  <c:v>1.4850319164656223</c:v>
                </c:pt>
                <c:pt idx="78">
                  <c:v>1.9262995051101512</c:v>
                </c:pt>
                <c:pt idx="79">
                  <c:v>1.8808874512703619</c:v>
                </c:pt>
                <c:pt idx="80">
                  <c:v>1.5886367378816633</c:v>
                </c:pt>
                <c:pt idx="81">
                  <c:v>1.4029959740938593</c:v>
                </c:pt>
                <c:pt idx="82">
                  <c:v>1.7569850039539523</c:v>
                </c:pt>
                <c:pt idx="83">
                  <c:v>1.6904491564946666</c:v>
                </c:pt>
                <c:pt idx="84">
                  <c:v>1.682714803896749</c:v>
                </c:pt>
                <c:pt idx="85">
                  <c:v>0.9461691042627095</c:v>
                </c:pt>
                <c:pt idx="86">
                  <c:v>1.4286826361503562</c:v>
                </c:pt>
                <c:pt idx="87">
                  <c:v>1.9790747188714219</c:v>
                </c:pt>
                <c:pt idx="88">
                  <c:v>1.5888560779998209</c:v>
                </c:pt>
                <c:pt idx="89">
                  <c:v>2.1887912445331548</c:v>
                </c:pt>
                <c:pt idx="90">
                  <c:v>1.5473984359222608</c:v>
                </c:pt>
                <c:pt idx="91">
                  <c:v>1.8590804237884977</c:v>
                </c:pt>
                <c:pt idx="92">
                  <c:v>1.1696066902816868</c:v>
                </c:pt>
                <c:pt idx="93">
                  <c:v>2.0148642083648718</c:v>
                </c:pt>
                <c:pt idx="94">
                  <c:v>1.6984795137272752</c:v>
                </c:pt>
                <c:pt idx="95">
                  <c:v>1.3075453596297029</c:v>
                </c:pt>
                <c:pt idx="96">
                  <c:v>1.8128820080942267</c:v>
                </c:pt>
                <c:pt idx="97">
                  <c:v>2.1674746308452604</c:v>
                </c:pt>
                <c:pt idx="98">
                  <c:v>1.3871994296710315</c:v>
                </c:pt>
                <c:pt idx="99">
                  <c:v>1.611120266915822</c:v>
                </c:pt>
                <c:pt idx="100">
                  <c:v>2.0218524825519455</c:v>
                </c:pt>
                <c:pt idx="101">
                  <c:v>1.9380309518733734</c:v>
                </c:pt>
                <c:pt idx="102">
                  <c:v>1.8702049310452451</c:v>
                </c:pt>
                <c:pt idx="103">
                  <c:v>1.831323698197691</c:v>
                </c:pt>
                <c:pt idx="104">
                  <c:v>1.8129953757162551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6-4071-99D9-40D28AD3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1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6-49E9-96DF-3F4356D2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0.9461691042627095</c:v>
                </c:pt>
                <c:pt idx="1">
                  <c:v>1.0167630281471984</c:v>
                </c:pt>
                <c:pt idx="2">
                  <c:v>1.1579508759161761</c:v>
                </c:pt>
                <c:pt idx="3">
                  <c:v>1.2991387236851537</c:v>
                </c:pt>
                <c:pt idx="4">
                  <c:v>1.4403265714541313</c:v>
                </c:pt>
                <c:pt idx="5">
                  <c:v>1.581514419223109</c:v>
                </c:pt>
                <c:pt idx="6">
                  <c:v>1.7227022669920866</c:v>
                </c:pt>
                <c:pt idx="7">
                  <c:v>1.8638901147610643</c:v>
                </c:pt>
                <c:pt idx="8">
                  <c:v>2.0050779625300419</c:v>
                </c:pt>
                <c:pt idx="9">
                  <c:v>2.1462658102990195</c:v>
                </c:pt>
                <c:pt idx="10">
                  <c:v>2.2874536580679972</c:v>
                </c:pt>
                <c:pt idx="11" formatCode="0.0">
                  <c:v>2.3580475819524866</c:v>
                </c:pt>
              </c:numCache>
            </c:numRef>
          </c:xVal>
          <c:yVal>
            <c:numRef>
              <c:f>'Por-Perm-Logs'!$AO$22:$AZ$22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1.8956916099773242E-2</c:v>
                </c:pt>
                <c:pt idx="3">
                  <c:v>2.8662131519274374E-2</c:v>
                </c:pt>
                <c:pt idx="4">
                  <c:v>9.5238095238095261E-2</c:v>
                </c:pt>
                <c:pt idx="5">
                  <c:v>0.14285714285714285</c:v>
                </c:pt>
                <c:pt idx="6">
                  <c:v>0.18095238095238092</c:v>
                </c:pt>
                <c:pt idx="7">
                  <c:v>0.25714285714285712</c:v>
                </c:pt>
                <c:pt idx="8">
                  <c:v>0.13333333333333341</c:v>
                </c:pt>
                <c:pt idx="9">
                  <c:v>8.5714285714285632E-2</c:v>
                </c:pt>
                <c:pt idx="10">
                  <c:v>3.8095238095238182E-2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Density</a:t>
                </a:r>
                <a:r>
                  <a:rPr lang="en-US" sz="1200" baseline="0"/>
                  <a:t> (g/cm3)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3.3783476132992245</c:v>
                </c:pt>
                <c:pt idx="1">
                  <c:v>4.2290128724395881</c:v>
                </c:pt>
                <c:pt idx="2">
                  <c:v>5.9303433907203171</c:v>
                </c:pt>
                <c:pt idx="3">
                  <c:v>7.6316739090010444</c:v>
                </c:pt>
                <c:pt idx="4">
                  <c:v>9.3330044272817716</c:v>
                </c:pt>
                <c:pt idx="5">
                  <c:v>11.034334945562499</c:v>
                </c:pt>
                <c:pt idx="6">
                  <c:v>12.735665463843226</c:v>
                </c:pt>
                <c:pt idx="7">
                  <c:v>14.436995982123953</c:v>
                </c:pt>
                <c:pt idx="8">
                  <c:v>16.138326500404681</c:v>
                </c:pt>
                <c:pt idx="9">
                  <c:v>17.839657018685408</c:v>
                </c:pt>
                <c:pt idx="10">
                  <c:v>19.540987536966135</c:v>
                </c:pt>
                <c:pt idx="11" formatCode="0.0">
                  <c:v>20.391652796106502</c:v>
                </c:pt>
              </c:numCache>
            </c:numRef>
          </c:xVal>
          <c:yVal>
            <c:numRef>
              <c:f>'Por-Perm-Logs'!$AO$44:$AZ$44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3.8095238095238092E-2</c:v>
                </c:pt>
                <c:pt idx="3">
                  <c:v>0.13333333333333333</c:v>
                </c:pt>
                <c:pt idx="4">
                  <c:v>0.10476190476190475</c:v>
                </c:pt>
                <c:pt idx="5">
                  <c:v>0.16190476190476194</c:v>
                </c:pt>
                <c:pt idx="6">
                  <c:v>0.16190476190476194</c:v>
                </c:pt>
                <c:pt idx="7">
                  <c:v>0.16190476190476188</c:v>
                </c:pt>
                <c:pt idx="8">
                  <c:v>0.12380952380952381</c:v>
                </c:pt>
                <c:pt idx="9">
                  <c:v>6.6666666666666652E-2</c:v>
                </c:pt>
                <c:pt idx="10">
                  <c:v>2.8571428571428581E-2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Porosity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0.9461691042627095</c:v>
                </c:pt>
                <c:pt idx="1">
                  <c:v>1.0167630281471984</c:v>
                </c:pt>
                <c:pt idx="2">
                  <c:v>1.1579508759161761</c:v>
                </c:pt>
                <c:pt idx="3">
                  <c:v>1.2991387236851537</c:v>
                </c:pt>
                <c:pt idx="4">
                  <c:v>1.4403265714541313</c:v>
                </c:pt>
                <c:pt idx="5">
                  <c:v>1.581514419223109</c:v>
                </c:pt>
                <c:pt idx="6">
                  <c:v>1.7227022669920866</c:v>
                </c:pt>
                <c:pt idx="7">
                  <c:v>1.8638901147610643</c:v>
                </c:pt>
                <c:pt idx="8">
                  <c:v>2.0050779625300419</c:v>
                </c:pt>
                <c:pt idx="9">
                  <c:v>2.1462658102990195</c:v>
                </c:pt>
                <c:pt idx="10">
                  <c:v>2.2874536580679972</c:v>
                </c:pt>
                <c:pt idx="11" formatCode="0.0">
                  <c:v>2.3580475819524866</c:v>
                </c:pt>
              </c:numCache>
            </c:numRef>
          </c:xVal>
          <c:yVal>
            <c:numRef>
              <c:f>'Por-Perm-Logs'!$AO$23:$AZ$23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2.8480725623582767E-2</c:v>
                </c:pt>
                <c:pt idx="3">
                  <c:v>5.7142857142857141E-2</c:v>
                </c:pt>
                <c:pt idx="4">
                  <c:v>0.15238095238095239</c:v>
                </c:pt>
                <c:pt idx="5">
                  <c:v>0.29523809523809524</c:v>
                </c:pt>
                <c:pt idx="6">
                  <c:v>0.47619047619047616</c:v>
                </c:pt>
                <c:pt idx="7">
                  <c:v>0.73333333333333328</c:v>
                </c:pt>
                <c:pt idx="8">
                  <c:v>0.8666666666666667</c:v>
                </c:pt>
                <c:pt idx="9">
                  <c:v>0.95238095238095233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Density (g/cm3)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3.3783476132992245</c:v>
                </c:pt>
                <c:pt idx="1">
                  <c:v>4.2290128724395881</c:v>
                </c:pt>
                <c:pt idx="2">
                  <c:v>5.9303433907203171</c:v>
                </c:pt>
                <c:pt idx="3">
                  <c:v>7.6316739090010444</c:v>
                </c:pt>
                <c:pt idx="4">
                  <c:v>9.3330044272817716</c:v>
                </c:pt>
                <c:pt idx="5">
                  <c:v>11.034334945562499</c:v>
                </c:pt>
                <c:pt idx="6">
                  <c:v>12.735665463843226</c:v>
                </c:pt>
                <c:pt idx="7">
                  <c:v>14.436995982123953</c:v>
                </c:pt>
                <c:pt idx="8">
                  <c:v>16.138326500404681</c:v>
                </c:pt>
                <c:pt idx="9">
                  <c:v>17.839657018685408</c:v>
                </c:pt>
                <c:pt idx="10">
                  <c:v>19.540987536966135</c:v>
                </c:pt>
                <c:pt idx="11" formatCode="0.0">
                  <c:v>20.391652796106502</c:v>
                </c:pt>
              </c:numCache>
            </c:numRef>
          </c:xVal>
          <c:yVal>
            <c:numRef>
              <c:f>'Por-Perm-Logs'!$AO$45:$AZ$45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4.7619047619047616E-2</c:v>
                </c:pt>
                <c:pt idx="3">
                  <c:v>0.18095238095238095</c:v>
                </c:pt>
                <c:pt idx="4">
                  <c:v>0.2857142857142857</c:v>
                </c:pt>
                <c:pt idx="5">
                  <c:v>0.44761904761904764</c:v>
                </c:pt>
                <c:pt idx="6">
                  <c:v>0.60952380952380958</c:v>
                </c:pt>
                <c:pt idx="7">
                  <c:v>0.77142857142857146</c:v>
                </c:pt>
                <c:pt idx="8">
                  <c:v>0.89523809523809528</c:v>
                </c:pt>
                <c:pt idx="9">
                  <c:v>0.96190476190476193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vs.</a:t>
            </a:r>
            <a:r>
              <a:rPr lang="en-US" baseline="0"/>
              <a:t> Density</a:t>
            </a:r>
            <a:endParaRPr lang="en-US"/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1.7892585704664226</c:v>
                </c:pt>
                <c:pt idx="1">
                  <c:v>1.257551046849156</c:v>
                </c:pt>
                <c:pt idx="2">
                  <c:v>1.9041454133210873</c:v>
                </c:pt>
                <c:pt idx="3">
                  <c:v>1.8402094304790704</c:v>
                </c:pt>
                <c:pt idx="4">
                  <c:v>1.8038161507158692</c:v>
                </c:pt>
                <c:pt idx="5">
                  <c:v>1.3848375170206402</c:v>
                </c:pt>
                <c:pt idx="6">
                  <c:v>1.7893335301731541</c:v>
                </c:pt>
                <c:pt idx="7">
                  <c:v>1.7590114810366002</c:v>
                </c:pt>
                <c:pt idx="8">
                  <c:v>1.9960000331583287</c:v>
                </c:pt>
                <c:pt idx="9">
                  <c:v>2.246899322032351</c:v>
                </c:pt>
                <c:pt idx="10">
                  <c:v>1.9766003415080542</c:v>
                </c:pt>
                <c:pt idx="11">
                  <c:v>1.8726562307518149</c:v>
                </c:pt>
                <c:pt idx="12">
                  <c:v>1.8747861202965668</c:v>
                </c:pt>
                <c:pt idx="13">
                  <c:v>1.9700143504763832</c:v>
                </c:pt>
                <c:pt idx="14">
                  <c:v>1.5303963203461364</c:v>
                </c:pt>
                <c:pt idx="15">
                  <c:v>1.8274276005038701</c:v>
                </c:pt>
                <c:pt idx="16">
                  <c:v>1.4081115462323288</c:v>
                </c:pt>
                <c:pt idx="17">
                  <c:v>2.1272496459966734</c:v>
                </c:pt>
                <c:pt idx="18">
                  <c:v>1.6278430828718087</c:v>
                </c:pt>
                <c:pt idx="19">
                  <c:v>1.8636923326227663</c:v>
                </c:pt>
                <c:pt idx="20">
                  <c:v>1.8801695211448779</c:v>
                </c:pt>
                <c:pt idx="21">
                  <c:v>2.1609525501742115</c:v>
                </c:pt>
                <c:pt idx="22">
                  <c:v>1.846099394364354</c:v>
                </c:pt>
                <c:pt idx="23">
                  <c:v>1.598396434346818</c:v>
                </c:pt>
                <c:pt idx="24">
                  <c:v>1.8817716959692576</c:v>
                </c:pt>
                <c:pt idx="25">
                  <c:v>2.2717817692369326</c:v>
                </c:pt>
                <c:pt idx="26">
                  <c:v>1.9472651509282564</c:v>
                </c:pt>
                <c:pt idx="27">
                  <c:v>1.7487532265156416</c:v>
                </c:pt>
                <c:pt idx="28">
                  <c:v>2.0178495062365291</c:v>
                </c:pt>
                <c:pt idx="29">
                  <c:v>2.2259326611618544</c:v>
                </c:pt>
                <c:pt idx="30">
                  <c:v>1.8637586979950957</c:v>
                </c:pt>
                <c:pt idx="31">
                  <c:v>1.6258032595871037</c:v>
                </c:pt>
                <c:pt idx="32">
                  <c:v>2.1640499677741678</c:v>
                </c:pt>
                <c:pt idx="33">
                  <c:v>2.0537182285896871</c:v>
                </c:pt>
                <c:pt idx="34">
                  <c:v>1.7717846783273123</c:v>
                </c:pt>
                <c:pt idx="35">
                  <c:v>2.0788631880774751</c:v>
                </c:pt>
                <c:pt idx="36">
                  <c:v>2.2281892553775622</c:v>
                </c:pt>
                <c:pt idx="37">
                  <c:v>1.7903700749366112</c:v>
                </c:pt>
                <c:pt idx="38">
                  <c:v>1.9628753520187925</c:v>
                </c:pt>
                <c:pt idx="39">
                  <c:v>1.5742928460504417</c:v>
                </c:pt>
                <c:pt idx="40">
                  <c:v>1.5326242445881568</c:v>
                </c:pt>
                <c:pt idx="41">
                  <c:v>1.7585672701460986</c:v>
                </c:pt>
                <c:pt idx="42">
                  <c:v>1.5946005616380523</c:v>
                </c:pt>
                <c:pt idx="43">
                  <c:v>1.4274185782224975</c:v>
                </c:pt>
                <c:pt idx="44">
                  <c:v>1.501393929239474</c:v>
                </c:pt>
                <c:pt idx="45">
                  <c:v>1.9006982772745158</c:v>
                </c:pt>
                <c:pt idx="46">
                  <c:v>2.1175065754991476</c:v>
                </c:pt>
                <c:pt idx="47">
                  <c:v>1.7021322546085365</c:v>
                </c:pt>
                <c:pt idx="48">
                  <c:v>1.8800467716985845</c:v>
                </c:pt>
                <c:pt idx="49">
                  <c:v>2.1888053361383291</c:v>
                </c:pt>
                <c:pt idx="50">
                  <c:v>1.5856220224907644</c:v>
                </c:pt>
                <c:pt idx="51">
                  <c:v>2.0532394454499308</c:v>
                </c:pt>
                <c:pt idx="52">
                  <c:v>1.6379842837934324</c:v>
                </c:pt>
                <c:pt idx="53">
                  <c:v>1.7366021610077806</c:v>
                </c:pt>
                <c:pt idx="54">
                  <c:v>1.5194693772697931</c:v>
                </c:pt>
                <c:pt idx="55">
                  <c:v>2.0232678622158344</c:v>
                </c:pt>
                <c:pt idx="56">
                  <c:v>1.3166986555004592</c:v>
                </c:pt>
                <c:pt idx="57">
                  <c:v>1.8843521480957688</c:v>
                </c:pt>
                <c:pt idx="58">
                  <c:v>1.6832873114867557</c:v>
                </c:pt>
                <c:pt idx="59">
                  <c:v>1.9337398023810073</c:v>
                </c:pt>
                <c:pt idx="60">
                  <c:v>1.6286066763366969</c:v>
                </c:pt>
                <c:pt idx="61">
                  <c:v>2.171076389584683</c:v>
                </c:pt>
                <c:pt idx="62">
                  <c:v>1.7158671123531408</c:v>
                </c:pt>
                <c:pt idx="63">
                  <c:v>2.3580475819524866</c:v>
                </c:pt>
                <c:pt idx="64">
                  <c:v>1.3856142165449992</c:v>
                </c:pt>
                <c:pt idx="65">
                  <c:v>1.7957672670230682</c:v>
                </c:pt>
                <c:pt idx="66">
                  <c:v>2.0736753728723514</c:v>
                </c:pt>
                <c:pt idx="67">
                  <c:v>1.6563656605777006</c:v>
                </c:pt>
                <c:pt idx="68">
                  <c:v>1.8915019209322328</c:v>
                </c:pt>
                <c:pt idx="69">
                  <c:v>1.8114786217826928</c:v>
                </c:pt>
                <c:pt idx="70">
                  <c:v>1.7199746014761397</c:v>
                </c:pt>
                <c:pt idx="71">
                  <c:v>1.8669856827921913</c:v>
                </c:pt>
                <c:pt idx="72">
                  <c:v>1.6807566782289693</c:v>
                </c:pt>
                <c:pt idx="73">
                  <c:v>1.8359792122323795</c:v>
                </c:pt>
                <c:pt idx="74">
                  <c:v>1.5070412126215467</c:v>
                </c:pt>
                <c:pt idx="75">
                  <c:v>1.2704163111190911</c:v>
                </c:pt>
                <c:pt idx="76">
                  <c:v>1.7876822872588574</c:v>
                </c:pt>
                <c:pt idx="77">
                  <c:v>1.4850319164656223</c:v>
                </c:pt>
                <c:pt idx="78">
                  <c:v>1.9262995051101512</c:v>
                </c:pt>
                <c:pt idx="79">
                  <c:v>1.8808874512703619</c:v>
                </c:pt>
                <c:pt idx="80">
                  <c:v>1.5886367378816633</c:v>
                </c:pt>
                <c:pt idx="81">
                  <c:v>1.4029959740938593</c:v>
                </c:pt>
                <c:pt idx="82">
                  <c:v>1.7569850039539523</c:v>
                </c:pt>
                <c:pt idx="83">
                  <c:v>1.6904491564946666</c:v>
                </c:pt>
                <c:pt idx="84">
                  <c:v>1.682714803896749</c:v>
                </c:pt>
                <c:pt idx="85">
                  <c:v>0.9461691042627095</c:v>
                </c:pt>
                <c:pt idx="86">
                  <c:v>1.4286826361503562</c:v>
                </c:pt>
                <c:pt idx="87">
                  <c:v>1.9790747188714219</c:v>
                </c:pt>
                <c:pt idx="88">
                  <c:v>1.5888560779998209</c:v>
                </c:pt>
                <c:pt idx="89">
                  <c:v>2.1887912445331548</c:v>
                </c:pt>
                <c:pt idx="90">
                  <c:v>1.5473984359222608</c:v>
                </c:pt>
                <c:pt idx="91">
                  <c:v>1.8590804237884977</c:v>
                </c:pt>
                <c:pt idx="92">
                  <c:v>1.1696066902816868</c:v>
                </c:pt>
                <c:pt idx="93">
                  <c:v>2.0148642083648718</c:v>
                </c:pt>
                <c:pt idx="94">
                  <c:v>1.6984795137272752</c:v>
                </c:pt>
                <c:pt idx="95">
                  <c:v>1.3075453596297029</c:v>
                </c:pt>
                <c:pt idx="96">
                  <c:v>1.8128820080942267</c:v>
                </c:pt>
                <c:pt idx="97">
                  <c:v>2.1674746308452604</c:v>
                </c:pt>
                <c:pt idx="98">
                  <c:v>1.3871994296710315</c:v>
                </c:pt>
                <c:pt idx="99">
                  <c:v>1.611120266915822</c:v>
                </c:pt>
                <c:pt idx="100">
                  <c:v>2.0218524825519455</c:v>
                </c:pt>
                <c:pt idx="101">
                  <c:v>1.9380309518733734</c:v>
                </c:pt>
                <c:pt idx="102">
                  <c:v>1.8702049310452451</c:v>
                </c:pt>
                <c:pt idx="103">
                  <c:v>1.831323698197691</c:v>
                </c:pt>
                <c:pt idx="104">
                  <c:v>1.8129953757162551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3-4B0D-98BF-8171CD6E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Well-based</a:t>
            </a:r>
            <a:r>
              <a:rPr lang="en-US" sz="1100" baseline="0"/>
              <a:t> Permeability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Actual (black), Predicted from Porosity (Red)</a:t>
            </a:r>
            <a:endParaRPr lang="en-US" sz="1100"/>
          </a:p>
        </c:rich>
      </c:tx>
      <c:layout>
        <c:manualLayout>
          <c:xMode val="edge"/>
          <c:yMode val="edge"/>
          <c:x val="0.19966871934659122"/>
          <c:y val="2.2613811770395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0.10545243380198407"/>
          <c:w val="0.61851909641591718"/>
          <c:h val="0.80957864405653146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'Por-Perm-Logs'!$V$20:$V$124</c:f>
              <c:numCache>
                <c:formatCode>0.00</c:formatCode>
                <c:ptCount val="105"/>
                <c:pt idx="0">
                  <c:v>12.310418506074711</c:v>
                </c:pt>
                <c:pt idx="1">
                  <c:v>18.228665404466277</c:v>
                </c:pt>
                <c:pt idx="2">
                  <c:v>11.031654013962608</c:v>
                </c:pt>
                <c:pt idx="3">
                  <c:v>11.743302646609671</c:v>
                </c:pt>
                <c:pt idx="4">
                  <c:v>12.148383269910948</c:v>
                </c:pt>
                <c:pt idx="5">
                  <c:v>16.811885081000614</c:v>
                </c:pt>
                <c:pt idx="6">
                  <c:v>12.30958415630127</c:v>
                </c:pt>
                <c:pt idx="7">
                  <c:v>12.647088075814096</c:v>
                </c:pt>
                <c:pt idx="8">
                  <c:v>10.009252985561893</c:v>
                </c:pt>
                <c:pt idx="9">
                  <c:v>7.2165824435212294</c:v>
                </c:pt>
                <c:pt idx="10">
                  <c:v>10.225184037576938</c:v>
                </c:pt>
                <c:pt idx="11">
                  <c:v>11.382148879646753</c:v>
                </c:pt>
                <c:pt idx="12">
                  <c:v>11.358441838402744</c:v>
                </c:pt>
                <c:pt idx="13">
                  <c:v>10.298490355928148</c:v>
                </c:pt>
                <c:pt idx="14">
                  <c:v>15.191721931052793</c:v>
                </c:pt>
                <c:pt idx="15">
                  <c:v>11.885572639503259</c:v>
                </c:pt>
                <c:pt idx="16">
                  <c:v>16.552830158741699</c:v>
                </c:pt>
                <c:pt idx="17">
                  <c:v>8.5483603338815328</c:v>
                </c:pt>
                <c:pt idx="18">
                  <c:v>14.107076755915138</c:v>
                </c:pt>
                <c:pt idx="19">
                  <c:v>11.481922834205132</c:v>
                </c:pt>
                <c:pt idx="20">
                  <c:v>11.298521122674355</c:v>
                </c:pt>
                <c:pt idx="21">
                  <c:v>8.1732253221394764</c:v>
                </c:pt>
                <c:pt idx="22">
                  <c:v>11.67774355830004</c:v>
                </c:pt>
                <c:pt idx="23">
                  <c:v>14.434836903289877</c:v>
                </c:pt>
                <c:pt idx="24">
                  <c:v>11.280687885859198</c:v>
                </c:pt>
                <c:pt idx="25">
                  <c:v>6.9396247939640503</c:v>
                </c:pt>
                <c:pt idx="26">
                  <c:v>10.55170358629708</c:v>
                </c:pt>
                <c:pt idx="27">
                  <c:v>12.761269049949185</c:v>
                </c:pt>
                <c:pt idx="28">
                  <c:v>9.7660542897886344</c:v>
                </c:pt>
                <c:pt idx="29">
                  <c:v>7.4499548713219035</c:v>
                </c:pt>
                <c:pt idx="30">
                  <c:v>11.481184144904148</c:v>
                </c:pt>
                <c:pt idx="31">
                  <c:v>14.129781301726045</c:v>
                </c:pt>
                <c:pt idx="32">
                  <c:v>8.1387490710244741</c:v>
                </c:pt>
                <c:pt idx="33">
                  <c:v>9.3668123280204796</c:v>
                </c:pt>
                <c:pt idx="34">
                  <c:v>12.5049141702541</c:v>
                </c:pt>
                <c:pt idx="35">
                  <c:v>9.0869327478212298</c:v>
                </c:pt>
                <c:pt idx="36">
                  <c:v>7.4248375255540928</c:v>
                </c:pt>
                <c:pt idx="37">
                  <c:v>12.298046746054297</c:v>
                </c:pt>
                <c:pt idx="38">
                  <c:v>10.377952002797134</c:v>
                </c:pt>
                <c:pt idx="39">
                  <c:v>14.703125351993151</c:v>
                </c:pt>
                <c:pt idx="40">
                  <c:v>15.166923700541616</c:v>
                </c:pt>
                <c:pt idx="41">
                  <c:v>12.65203242888072</c:v>
                </c:pt>
                <c:pt idx="42">
                  <c:v>14.477087409230645</c:v>
                </c:pt>
                <c:pt idx="43">
                  <c:v>16.337930468371297</c:v>
                </c:pt>
                <c:pt idx="44">
                  <c:v>15.514537207476259</c:v>
                </c:pt>
                <c:pt idx="45">
                  <c:v>11.07002285643669</c:v>
                </c:pt>
                <c:pt idx="46">
                  <c:v>8.6568069783083637</c:v>
                </c:pt>
                <c:pt idx="47">
                  <c:v>13.280190468461655</c:v>
                </c:pt>
                <c:pt idx="48">
                  <c:v>11.299887403002423</c:v>
                </c:pt>
                <c:pt idx="49">
                  <c:v>7.8632058907380191</c:v>
                </c:pt>
                <c:pt idx="50">
                  <c:v>14.577024327743711</c:v>
                </c:pt>
                <c:pt idx="51">
                  <c:v>9.3721414924689874</c:v>
                </c:pt>
                <c:pt idx="52">
                  <c:v>13.994198663666122</c:v>
                </c:pt>
                <c:pt idx="53">
                  <c:v>12.896518228416358</c:v>
                </c:pt>
                <c:pt idx="54">
                  <c:v>15.313345839118874</c:v>
                </c:pt>
                <c:pt idx="55">
                  <c:v>9.7057445009582111</c:v>
                </c:pt>
                <c:pt idx="56">
                  <c:v>17.570314457941347</c:v>
                </c:pt>
                <c:pt idx="57">
                  <c:v>11.251965793137476</c:v>
                </c:pt>
                <c:pt idx="58">
                  <c:v>13.489946812366853</c:v>
                </c:pt>
                <c:pt idx="59">
                  <c:v>10.702249419361198</c:v>
                </c:pt>
                <c:pt idx="60">
                  <c:v>14.098577469268861</c:v>
                </c:pt>
                <c:pt idx="61">
                  <c:v>8.0605404746819396</c:v>
                </c:pt>
                <c:pt idx="62">
                  <c:v>13.127312663209146</c:v>
                </c:pt>
                <c:pt idx="63">
                  <c:v>5.9794307852959427</c:v>
                </c:pt>
                <c:pt idx="64">
                  <c:v>16.803239915478507</c:v>
                </c:pt>
                <c:pt idx="65">
                  <c:v>12.237972524970509</c:v>
                </c:pt>
                <c:pt idx="66">
                  <c:v>9.1446764694791014</c:v>
                </c:pt>
                <c:pt idx="67">
                  <c:v>13.789602111408254</c:v>
                </c:pt>
                <c:pt idx="68">
                  <c:v>11.172384220498181</c:v>
                </c:pt>
                <c:pt idx="69">
                  <c:v>12.06309503603994</c:v>
                </c:pt>
                <c:pt idx="70">
                  <c:v>13.081593666048853</c:v>
                </c:pt>
                <c:pt idx="71">
                  <c:v>11.445265727506854</c:v>
                </c:pt>
                <c:pt idx="72">
                  <c:v>13.518114389020596</c:v>
                </c:pt>
                <c:pt idx="73">
                  <c:v>11.790387697894403</c:v>
                </c:pt>
                <c:pt idx="74">
                  <c:v>15.451679309335347</c:v>
                </c:pt>
                <c:pt idx="75">
                  <c:v>18.08546673418126</c:v>
                </c:pt>
                <c:pt idx="76">
                  <c:v>12.327963552533138</c:v>
                </c:pt>
                <c:pt idx="77">
                  <c:v>15.696656938811852</c:v>
                </c:pt>
                <c:pt idx="78">
                  <c:v>10.785064715911435</c:v>
                </c:pt>
                <c:pt idx="79">
                  <c:v>11.290530098380579</c:v>
                </c:pt>
                <c:pt idx="80">
                  <c:v>14.543468605435439</c:v>
                </c:pt>
                <c:pt idx="81">
                  <c:v>16.609769768578381</c:v>
                </c:pt>
                <c:pt idx="82">
                  <c:v>12.669644069807656</c:v>
                </c:pt>
                <c:pt idx="83">
                  <c:v>13.410230868690757</c:v>
                </c:pt>
                <c:pt idx="84">
                  <c:v>13.49631919025952</c:v>
                </c:pt>
                <c:pt idx="85">
                  <c:v>21.694546803680566</c:v>
                </c:pt>
                <c:pt idx="86">
                  <c:v>16.323860690196934</c:v>
                </c:pt>
                <c:pt idx="87">
                  <c:v>10.197642625229456</c:v>
                </c:pt>
                <c:pt idx="88">
                  <c:v>14.541027208772199</c:v>
                </c:pt>
                <c:pt idx="89">
                  <c:v>7.863362739371734</c:v>
                </c:pt>
                <c:pt idx="90">
                  <c:v>15.002477443613639</c:v>
                </c:pt>
                <c:pt idx="91">
                  <c:v>11.533256347352339</c:v>
                </c:pt>
                <c:pt idx="92">
                  <c:v>19.207542686370445</c:v>
                </c:pt>
                <c:pt idx="93">
                  <c:v>9.7992825761772018</c:v>
                </c:pt>
                <c:pt idx="94">
                  <c:v>13.32084782505515</c:v>
                </c:pt>
                <c:pt idx="95">
                  <c:v>17.672196531244786</c:v>
                </c:pt>
                <c:pt idx="96">
                  <c:v>12.047474443295688</c:v>
                </c:pt>
                <c:pt idx="97">
                  <c:v>8.1006303672291189</c:v>
                </c:pt>
                <c:pt idx="98">
                  <c:v>16.785595473281028</c:v>
                </c:pt>
                <c:pt idx="99">
                  <c:v>14.293212458849318</c:v>
                </c:pt>
                <c:pt idx="100">
                  <c:v>9.7214985874320483</c:v>
                </c:pt>
                <c:pt idx="101">
                  <c:v>10.654486164102071</c:v>
                </c:pt>
                <c:pt idx="102">
                  <c:v>11.409433422823305</c:v>
                </c:pt>
                <c:pt idx="103">
                  <c:v>11.842206564982781</c:v>
                </c:pt>
                <c:pt idx="104">
                  <c:v>12.046212588709011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6-4B68-9EC1-9C22EB4FEFBC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6-4B68-9EC1-9C22EB4F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42409496540205205"/>
              <c:y val="0.95259053859695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vs. Density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1.7892585704664226</c:v>
                </c:pt>
                <c:pt idx="1">
                  <c:v>1.257551046849156</c:v>
                </c:pt>
                <c:pt idx="2">
                  <c:v>1.9041454133210873</c:v>
                </c:pt>
                <c:pt idx="3">
                  <c:v>1.8402094304790704</c:v>
                </c:pt>
                <c:pt idx="4">
                  <c:v>1.8038161507158692</c:v>
                </c:pt>
                <c:pt idx="5">
                  <c:v>1.3848375170206402</c:v>
                </c:pt>
                <c:pt idx="6">
                  <c:v>1.7893335301731541</c:v>
                </c:pt>
                <c:pt idx="7">
                  <c:v>1.7590114810366002</c:v>
                </c:pt>
                <c:pt idx="8">
                  <c:v>1.9960000331583287</c:v>
                </c:pt>
                <c:pt idx="9">
                  <c:v>2.246899322032351</c:v>
                </c:pt>
                <c:pt idx="10">
                  <c:v>1.9766003415080542</c:v>
                </c:pt>
                <c:pt idx="11">
                  <c:v>1.8726562307518149</c:v>
                </c:pt>
                <c:pt idx="12">
                  <c:v>1.8747861202965668</c:v>
                </c:pt>
                <c:pt idx="13">
                  <c:v>1.9700143504763832</c:v>
                </c:pt>
                <c:pt idx="14">
                  <c:v>1.5303963203461364</c:v>
                </c:pt>
                <c:pt idx="15">
                  <c:v>1.8274276005038701</c:v>
                </c:pt>
                <c:pt idx="16">
                  <c:v>1.4081115462323288</c:v>
                </c:pt>
                <c:pt idx="17">
                  <c:v>2.1272496459966734</c:v>
                </c:pt>
                <c:pt idx="18">
                  <c:v>1.6278430828718087</c:v>
                </c:pt>
                <c:pt idx="19">
                  <c:v>1.8636923326227663</c:v>
                </c:pt>
                <c:pt idx="20">
                  <c:v>1.8801695211448779</c:v>
                </c:pt>
                <c:pt idx="21">
                  <c:v>2.1609525501742115</c:v>
                </c:pt>
                <c:pt idx="22">
                  <c:v>1.846099394364354</c:v>
                </c:pt>
                <c:pt idx="23">
                  <c:v>1.598396434346818</c:v>
                </c:pt>
                <c:pt idx="24">
                  <c:v>1.8817716959692576</c:v>
                </c:pt>
                <c:pt idx="25">
                  <c:v>2.2717817692369326</c:v>
                </c:pt>
                <c:pt idx="26">
                  <c:v>1.9472651509282564</c:v>
                </c:pt>
                <c:pt idx="27">
                  <c:v>1.7487532265156416</c:v>
                </c:pt>
                <c:pt idx="28">
                  <c:v>2.0178495062365291</c:v>
                </c:pt>
                <c:pt idx="29">
                  <c:v>2.2259326611618544</c:v>
                </c:pt>
                <c:pt idx="30">
                  <c:v>1.8637586979950957</c:v>
                </c:pt>
                <c:pt idx="31">
                  <c:v>1.6258032595871037</c:v>
                </c:pt>
                <c:pt idx="32">
                  <c:v>2.1640499677741678</c:v>
                </c:pt>
                <c:pt idx="33">
                  <c:v>2.0537182285896871</c:v>
                </c:pt>
                <c:pt idx="34">
                  <c:v>1.7717846783273123</c:v>
                </c:pt>
                <c:pt idx="35">
                  <c:v>2.0788631880774751</c:v>
                </c:pt>
                <c:pt idx="36">
                  <c:v>2.2281892553775622</c:v>
                </c:pt>
                <c:pt idx="37">
                  <c:v>1.7903700749366112</c:v>
                </c:pt>
                <c:pt idx="38">
                  <c:v>1.9628753520187925</c:v>
                </c:pt>
                <c:pt idx="39">
                  <c:v>1.5742928460504417</c:v>
                </c:pt>
                <c:pt idx="40">
                  <c:v>1.5326242445881568</c:v>
                </c:pt>
                <c:pt idx="41">
                  <c:v>1.7585672701460986</c:v>
                </c:pt>
                <c:pt idx="42">
                  <c:v>1.5946005616380523</c:v>
                </c:pt>
                <c:pt idx="43">
                  <c:v>1.4274185782224975</c:v>
                </c:pt>
                <c:pt idx="44">
                  <c:v>1.501393929239474</c:v>
                </c:pt>
                <c:pt idx="45">
                  <c:v>1.9006982772745158</c:v>
                </c:pt>
                <c:pt idx="46">
                  <c:v>2.1175065754991476</c:v>
                </c:pt>
                <c:pt idx="47">
                  <c:v>1.7021322546085365</c:v>
                </c:pt>
                <c:pt idx="48">
                  <c:v>1.8800467716985845</c:v>
                </c:pt>
                <c:pt idx="49">
                  <c:v>2.1888053361383291</c:v>
                </c:pt>
                <c:pt idx="50">
                  <c:v>1.5856220224907644</c:v>
                </c:pt>
                <c:pt idx="51">
                  <c:v>2.0532394454499308</c:v>
                </c:pt>
                <c:pt idx="52">
                  <c:v>1.6379842837934324</c:v>
                </c:pt>
                <c:pt idx="53">
                  <c:v>1.7366021610077806</c:v>
                </c:pt>
                <c:pt idx="54">
                  <c:v>1.5194693772697931</c:v>
                </c:pt>
                <c:pt idx="55">
                  <c:v>2.0232678622158344</c:v>
                </c:pt>
                <c:pt idx="56">
                  <c:v>1.3166986555004592</c:v>
                </c:pt>
                <c:pt idx="57">
                  <c:v>1.8843521480957688</c:v>
                </c:pt>
                <c:pt idx="58">
                  <c:v>1.6832873114867557</c:v>
                </c:pt>
                <c:pt idx="59">
                  <c:v>1.9337398023810073</c:v>
                </c:pt>
                <c:pt idx="60">
                  <c:v>1.6286066763366969</c:v>
                </c:pt>
                <c:pt idx="61">
                  <c:v>2.171076389584683</c:v>
                </c:pt>
                <c:pt idx="62">
                  <c:v>1.7158671123531408</c:v>
                </c:pt>
                <c:pt idx="63">
                  <c:v>2.3580475819524866</c:v>
                </c:pt>
                <c:pt idx="64">
                  <c:v>1.3856142165449992</c:v>
                </c:pt>
                <c:pt idx="65">
                  <c:v>1.7957672670230682</c:v>
                </c:pt>
                <c:pt idx="66">
                  <c:v>2.0736753728723514</c:v>
                </c:pt>
                <c:pt idx="67">
                  <c:v>1.6563656605777006</c:v>
                </c:pt>
                <c:pt idx="68">
                  <c:v>1.8915019209322328</c:v>
                </c:pt>
                <c:pt idx="69">
                  <c:v>1.8114786217826928</c:v>
                </c:pt>
                <c:pt idx="70">
                  <c:v>1.7199746014761397</c:v>
                </c:pt>
                <c:pt idx="71">
                  <c:v>1.8669856827921913</c:v>
                </c:pt>
                <c:pt idx="72">
                  <c:v>1.6807566782289693</c:v>
                </c:pt>
                <c:pt idx="73">
                  <c:v>1.8359792122323795</c:v>
                </c:pt>
                <c:pt idx="74">
                  <c:v>1.5070412126215467</c:v>
                </c:pt>
                <c:pt idx="75">
                  <c:v>1.2704163111190911</c:v>
                </c:pt>
                <c:pt idx="76">
                  <c:v>1.7876822872588574</c:v>
                </c:pt>
                <c:pt idx="77">
                  <c:v>1.4850319164656223</c:v>
                </c:pt>
                <c:pt idx="78">
                  <c:v>1.9262995051101512</c:v>
                </c:pt>
                <c:pt idx="79">
                  <c:v>1.8808874512703619</c:v>
                </c:pt>
                <c:pt idx="80">
                  <c:v>1.5886367378816633</c:v>
                </c:pt>
                <c:pt idx="81">
                  <c:v>1.4029959740938593</c:v>
                </c:pt>
                <c:pt idx="82">
                  <c:v>1.7569850039539523</c:v>
                </c:pt>
                <c:pt idx="83">
                  <c:v>1.6904491564946666</c:v>
                </c:pt>
                <c:pt idx="84">
                  <c:v>1.682714803896749</c:v>
                </c:pt>
                <c:pt idx="85">
                  <c:v>0.9461691042627095</c:v>
                </c:pt>
                <c:pt idx="86">
                  <c:v>1.4286826361503562</c:v>
                </c:pt>
                <c:pt idx="87">
                  <c:v>1.9790747188714219</c:v>
                </c:pt>
                <c:pt idx="88">
                  <c:v>1.5888560779998209</c:v>
                </c:pt>
                <c:pt idx="89">
                  <c:v>2.1887912445331548</c:v>
                </c:pt>
                <c:pt idx="90">
                  <c:v>1.5473984359222608</c:v>
                </c:pt>
                <c:pt idx="91">
                  <c:v>1.8590804237884977</c:v>
                </c:pt>
                <c:pt idx="92">
                  <c:v>1.1696066902816868</c:v>
                </c:pt>
                <c:pt idx="93">
                  <c:v>2.0148642083648718</c:v>
                </c:pt>
                <c:pt idx="94">
                  <c:v>1.6984795137272752</c:v>
                </c:pt>
                <c:pt idx="95">
                  <c:v>1.3075453596297029</c:v>
                </c:pt>
                <c:pt idx="96">
                  <c:v>1.8128820080942267</c:v>
                </c:pt>
                <c:pt idx="97">
                  <c:v>2.1674746308452604</c:v>
                </c:pt>
                <c:pt idx="98">
                  <c:v>1.3871994296710315</c:v>
                </c:pt>
                <c:pt idx="99">
                  <c:v>1.611120266915822</c:v>
                </c:pt>
                <c:pt idx="100">
                  <c:v>2.0218524825519455</c:v>
                </c:pt>
                <c:pt idx="101">
                  <c:v>1.9380309518733734</c:v>
                </c:pt>
                <c:pt idx="102">
                  <c:v>1.8702049310452451</c:v>
                </c:pt>
                <c:pt idx="103">
                  <c:v>1.831323698197691</c:v>
                </c:pt>
                <c:pt idx="104">
                  <c:v>1.8129953757162551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88D-A9DB-06853C21425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'Por-Perm-Logs'!$AA$98:$AA$99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'Por-Perm-Logs'!$AB$98:$AB$99</c:f>
              <c:numCache>
                <c:formatCode>0.0</c:formatCode>
                <c:ptCount val="2"/>
                <c:pt idx="0">
                  <c:v>32.226017805936777</c:v>
                </c:pt>
                <c:pt idx="1">
                  <c:v>-301.69328757434403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2-488D-A9DB-06853C21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layout>
        <c:manualLayout>
          <c:xMode val="edge"/>
          <c:yMode val="edge"/>
          <c:x val="0.42342257875351341"/>
          <c:y val="3.4090798095713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16.419533654418167</c:v>
                </c:pt>
                <c:pt idx="1">
                  <c:v>19.412231276090388</c:v>
                </c:pt>
                <c:pt idx="2">
                  <c:v>13.755925791956525</c:v>
                </c:pt>
                <c:pt idx="3">
                  <c:v>11.624711837195813</c:v>
                </c:pt>
                <c:pt idx="4">
                  <c:v>8.5251186549239435</c:v>
                </c:pt>
                <c:pt idx="5">
                  <c:v>16.207245603541988</c:v>
                </c:pt>
                <c:pt idx="6">
                  <c:v>13.430124634943081</c:v>
                </c:pt>
                <c:pt idx="7">
                  <c:v>15.367232812799095</c:v>
                </c:pt>
                <c:pt idx="8">
                  <c:v>7.9425656226684129</c:v>
                </c:pt>
                <c:pt idx="9">
                  <c:v>3.3783476132992245</c:v>
                </c:pt>
                <c:pt idx="10">
                  <c:v>10.282749794203777</c:v>
                </c:pt>
                <c:pt idx="11">
                  <c:v>10.395563330085281</c:v>
                </c:pt>
                <c:pt idx="12">
                  <c:v>15.131603194788861</c:v>
                </c:pt>
                <c:pt idx="13">
                  <c:v>7.6467612548214294</c:v>
                </c:pt>
                <c:pt idx="14">
                  <c:v>13.460618097815455</c:v>
                </c:pt>
                <c:pt idx="15">
                  <c:v>12.064789780456247</c:v>
                </c:pt>
                <c:pt idx="16">
                  <c:v>16.926004610703245</c:v>
                </c:pt>
                <c:pt idx="17">
                  <c:v>9.372460627928886</c:v>
                </c:pt>
                <c:pt idx="18">
                  <c:v>14.082076613934154</c:v>
                </c:pt>
                <c:pt idx="19">
                  <c:v>15.48166162716441</c:v>
                </c:pt>
                <c:pt idx="20">
                  <c:v>14.315950173038729</c:v>
                </c:pt>
                <c:pt idx="21">
                  <c:v>9.1328915407368392</c:v>
                </c:pt>
                <c:pt idx="22">
                  <c:v>11.412019169087269</c:v>
                </c:pt>
                <c:pt idx="23">
                  <c:v>14.208595216984378</c:v>
                </c:pt>
                <c:pt idx="24">
                  <c:v>13.376032330988512</c:v>
                </c:pt>
                <c:pt idx="25">
                  <c:v>6.7748137938371791</c:v>
                </c:pt>
                <c:pt idx="26">
                  <c:v>11.881820942905856</c:v>
                </c:pt>
                <c:pt idx="27">
                  <c:v>16.446203759054413</c:v>
                </c:pt>
                <c:pt idx="28">
                  <c:v>9.8465413717427932</c:v>
                </c:pt>
                <c:pt idx="29">
                  <c:v>8.2592963542555289</c:v>
                </c:pt>
                <c:pt idx="30">
                  <c:v>10.229841540752691</c:v>
                </c:pt>
                <c:pt idx="31">
                  <c:v>12.51859661372078</c:v>
                </c:pt>
                <c:pt idx="32">
                  <c:v>9.0964308024076459</c:v>
                </c:pt>
                <c:pt idx="33">
                  <c:v>7.0912620596473648</c:v>
                </c:pt>
                <c:pt idx="34">
                  <c:v>13.833020737956922</c:v>
                </c:pt>
                <c:pt idx="35">
                  <c:v>7.4719229619041503</c:v>
                </c:pt>
                <c:pt idx="36">
                  <c:v>7.7174903368132917</c:v>
                </c:pt>
                <c:pt idx="37">
                  <c:v>11.940693189870542</c:v>
                </c:pt>
                <c:pt idx="38">
                  <c:v>9.2124418550877465</c:v>
                </c:pt>
                <c:pt idx="39">
                  <c:v>14.763826451907411</c:v>
                </c:pt>
                <c:pt idx="40">
                  <c:v>14.415149337570357</c:v>
                </c:pt>
                <c:pt idx="41">
                  <c:v>11.41020010070482</c:v>
                </c:pt>
                <c:pt idx="42">
                  <c:v>13.262392144612859</c:v>
                </c:pt>
                <c:pt idx="43">
                  <c:v>17.494621241315144</c:v>
                </c:pt>
                <c:pt idx="44">
                  <c:v>15.385933630828616</c:v>
                </c:pt>
                <c:pt idx="45">
                  <c:v>7.8316852999576145</c:v>
                </c:pt>
                <c:pt idx="46">
                  <c:v>12.294008475304635</c:v>
                </c:pt>
                <c:pt idx="47">
                  <c:v>11.302298839913108</c:v>
                </c:pt>
                <c:pt idx="48">
                  <c:v>10.735007442685074</c:v>
                </c:pt>
                <c:pt idx="49">
                  <c:v>7.9046225630961162</c:v>
                </c:pt>
                <c:pt idx="50">
                  <c:v>12.621822235017357</c:v>
                </c:pt>
                <c:pt idx="51">
                  <c:v>8.099250121140841</c:v>
                </c:pt>
                <c:pt idx="52">
                  <c:v>13.757712840165507</c:v>
                </c:pt>
                <c:pt idx="53">
                  <c:v>8.6123411205814246</c:v>
                </c:pt>
                <c:pt idx="54">
                  <c:v>16.284429977652124</c:v>
                </c:pt>
                <c:pt idx="55">
                  <c:v>12.133999601725721</c:v>
                </c:pt>
                <c:pt idx="56">
                  <c:v>17.349068862599388</c:v>
                </c:pt>
                <c:pt idx="57">
                  <c:v>7.6547070690272312</c:v>
                </c:pt>
                <c:pt idx="58">
                  <c:v>13.530055372756509</c:v>
                </c:pt>
                <c:pt idx="59">
                  <c:v>14.28061936522319</c:v>
                </c:pt>
                <c:pt idx="60">
                  <c:v>13.532397500055229</c:v>
                </c:pt>
                <c:pt idx="61">
                  <c:v>6.8906509642576186</c:v>
                </c:pt>
                <c:pt idx="62">
                  <c:v>14.885731665166368</c:v>
                </c:pt>
                <c:pt idx="63">
                  <c:v>5.4720523266821681</c:v>
                </c:pt>
                <c:pt idx="64">
                  <c:v>19.246908280336584</c:v>
                </c:pt>
                <c:pt idx="65">
                  <c:v>11.258799553225888</c:v>
                </c:pt>
                <c:pt idx="66">
                  <c:v>10.662885095334278</c:v>
                </c:pt>
                <c:pt idx="67">
                  <c:v>9.8112370606153601</c:v>
                </c:pt>
                <c:pt idx="68">
                  <c:v>8.3333697164702656</c:v>
                </c:pt>
                <c:pt idx="69">
                  <c:v>14.591750463284765</c:v>
                </c:pt>
                <c:pt idx="70">
                  <c:v>15.794595622476432</c:v>
                </c:pt>
                <c:pt idx="71">
                  <c:v>10.871718747924271</c:v>
                </c:pt>
                <c:pt idx="72">
                  <c:v>13.595575129707727</c:v>
                </c:pt>
                <c:pt idx="73">
                  <c:v>13.579415074270848</c:v>
                </c:pt>
                <c:pt idx="74">
                  <c:v>15.587359582484957</c:v>
                </c:pt>
                <c:pt idx="75">
                  <c:v>17.334360168064489</c:v>
                </c:pt>
                <c:pt idx="76">
                  <c:v>12.934971519623037</c:v>
                </c:pt>
                <c:pt idx="77">
                  <c:v>14.094190309108084</c:v>
                </c:pt>
                <c:pt idx="78">
                  <c:v>11.875158207992893</c:v>
                </c:pt>
                <c:pt idx="79">
                  <c:v>10.232249835589849</c:v>
                </c:pt>
                <c:pt idx="80">
                  <c:v>13.49248238024831</c:v>
                </c:pt>
                <c:pt idx="81">
                  <c:v>17.362861119976237</c:v>
                </c:pt>
                <c:pt idx="82">
                  <c:v>13.217104274394417</c:v>
                </c:pt>
                <c:pt idx="83">
                  <c:v>15.298503858842491</c:v>
                </c:pt>
                <c:pt idx="84">
                  <c:v>14.159860235130878</c:v>
                </c:pt>
                <c:pt idx="85">
                  <c:v>18.103209138223121</c:v>
                </c:pt>
                <c:pt idx="86">
                  <c:v>16.502283229020279</c:v>
                </c:pt>
                <c:pt idx="87">
                  <c:v>9.128153776252276</c:v>
                </c:pt>
                <c:pt idx="88">
                  <c:v>14.232632373917937</c:v>
                </c:pt>
                <c:pt idx="89">
                  <c:v>6.629137434550902</c:v>
                </c:pt>
                <c:pt idx="90">
                  <c:v>15.017935415171156</c:v>
                </c:pt>
                <c:pt idx="91">
                  <c:v>8.2654622304828056</c:v>
                </c:pt>
                <c:pt idx="92">
                  <c:v>20.391652796106502</c:v>
                </c:pt>
                <c:pt idx="93">
                  <c:v>7.9763695274389761</c:v>
                </c:pt>
                <c:pt idx="94">
                  <c:v>8.6046714725932674</c:v>
                </c:pt>
                <c:pt idx="95">
                  <c:v>17.283971010191589</c:v>
                </c:pt>
                <c:pt idx="96">
                  <c:v>11.832228435374555</c:v>
                </c:pt>
                <c:pt idx="97">
                  <c:v>6.1760813231611476</c:v>
                </c:pt>
                <c:pt idx="98">
                  <c:v>18.332077227447797</c:v>
                </c:pt>
                <c:pt idx="99">
                  <c:v>18.801308744785715</c:v>
                </c:pt>
                <c:pt idx="100">
                  <c:v>9.3997722996857895</c:v>
                </c:pt>
                <c:pt idx="101">
                  <c:v>11.54794413737214</c:v>
                </c:pt>
                <c:pt idx="102">
                  <c:v>16.236240698807627</c:v>
                </c:pt>
                <c:pt idx="103">
                  <c:v>12.83682500321178</c:v>
                </c:pt>
                <c:pt idx="104">
                  <c:v>11.051289775557777</c:v>
                </c:pt>
              </c:numCache>
            </c:numRef>
          </c:xVal>
          <c:yVal>
            <c:numRef>
              <c:f>'Por-Perm-Logs'!$W$20:$W$124</c:f>
              <c:numCache>
                <c:formatCode>0.00</c:formatCode>
                <c:ptCount val="105"/>
                <c:pt idx="0">
                  <c:v>-4.1091151483434558</c:v>
                </c:pt>
                <c:pt idx="1">
                  <c:v>-1.1835658716241113</c:v>
                </c:pt>
                <c:pt idx="2">
                  <c:v>-2.7242717779939163</c:v>
                </c:pt>
                <c:pt idx="3">
                  <c:v>0.11859080941385791</c:v>
                </c:pt>
                <c:pt idx="4">
                  <c:v>3.6232646149870043</c:v>
                </c:pt>
                <c:pt idx="5">
                  <c:v>0.60463947745862612</c:v>
                </c:pt>
                <c:pt idx="6">
                  <c:v>-1.1205404786418107</c:v>
                </c:pt>
                <c:pt idx="7">
                  <c:v>-2.7201447369849987</c:v>
                </c:pt>
                <c:pt idx="8">
                  <c:v>2.0666873628934805</c:v>
                </c:pt>
                <c:pt idx="9">
                  <c:v>3.8382348302220048</c:v>
                </c:pt>
                <c:pt idx="10">
                  <c:v>-5.7565756626839715E-2</c:v>
                </c:pt>
                <c:pt idx="11">
                  <c:v>0.98658554956147171</c:v>
                </c:pt>
                <c:pt idx="12">
                  <c:v>-3.773161356386117</c:v>
                </c:pt>
                <c:pt idx="13">
                  <c:v>2.651729101106719</c:v>
                </c:pt>
                <c:pt idx="14">
                  <c:v>1.7311038332373379</c:v>
                </c:pt>
                <c:pt idx="15">
                  <c:v>-0.17921714095298746</c:v>
                </c:pt>
                <c:pt idx="16">
                  <c:v>-0.37317445196154608</c:v>
                </c:pt>
                <c:pt idx="17">
                  <c:v>-0.82410029404735319</c:v>
                </c:pt>
                <c:pt idx="18">
                  <c:v>2.500014198098377E-2</c:v>
                </c:pt>
                <c:pt idx="19">
                  <c:v>-3.9997387929592776</c:v>
                </c:pt>
                <c:pt idx="20">
                  <c:v>-3.0174290503643739</c:v>
                </c:pt>
                <c:pt idx="21">
                  <c:v>-0.95966621859736279</c:v>
                </c:pt>
                <c:pt idx="22">
                  <c:v>0.26572438921277097</c:v>
                </c:pt>
                <c:pt idx="23">
                  <c:v>0.22624168630549946</c:v>
                </c:pt>
                <c:pt idx="24">
                  <c:v>-2.0953444451293137</c:v>
                </c:pt>
                <c:pt idx="25">
                  <c:v>0.16481100012687122</c:v>
                </c:pt>
                <c:pt idx="26">
                  <c:v>-1.3301173566087758</c:v>
                </c:pt>
                <c:pt idx="27">
                  <c:v>-3.684934709105228</c:v>
                </c:pt>
                <c:pt idx="28">
                  <c:v>-8.0487081954158768E-2</c:v>
                </c:pt>
                <c:pt idx="29">
                  <c:v>-0.8093414829336254</c:v>
                </c:pt>
                <c:pt idx="30">
                  <c:v>1.251342604151457</c:v>
                </c:pt>
                <c:pt idx="31">
                  <c:v>1.6111846880052649</c:v>
                </c:pt>
                <c:pt idx="32">
                  <c:v>-0.95768173138317181</c:v>
                </c:pt>
                <c:pt idx="33">
                  <c:v>2.2755502683731148</c:v>
                </c:pt>
                <c:pt idx="34">
                  <c:v>-1.3281065677028216</c:v>
                </c:pt>
                <c:pt idx="35">
                  <c:v>1.6150097859170796</c:v>
                </c:pt>
                <c:pt idx="36">
                  <c:v>-0.29265281125919884</c:v>
                </c:pt>
                <c:pt idx="37">
                  <c:v>0.35735355618375486</c:v>
                </c:pt>
                <c:pt idx="38">
                  <c:v>1.1655101477093872</c:v>
                </c:pt>
                <c:pt idx="39">
                  <c:v>-6.0701099914259871E-2</c:v>
                </c:pt>
                <c:pt idx="40">
                  <c:v>0.75177436297125944</c:v>
                </c:pt>
                <c:pt idx="41">
                  <c:v>1.2418323281758994</c:v>
                </c:pt>
                <c:pt idx="42">
                  <c:v>1.2146952646177862</c:v>
                </c:pt>
                <c:pt idx="43">
                  <c:v>-1.1566907729438469</c:v>
                </c:pt>
                <c:pt idx="44">
                  <c:v>0.12860357664764344</c:v>
                </c:pt>
                <c:pt idx="45">
                  <c:v>3.2383375564790757</c:v>
                </c:pt>
                <c:pt idx="46">
                  <c:v>-3.6372014969962709</c:v>
                </c:pt>
                <c:pt idx="47">
                  <c:v>1.9778916285485462</c:v>
                </c:pt>
                <c:pt idx="48">
                  <c:v>0.56487996031734866</c:v>
                </c:pt>
                <c:pt idx="49">
                  <c:v>-4.1416672358097095E-2</c:v>
                </c:pt>
                <c:pt idx="50">
                  <c:v>1.9552020927263545</c:v>
                </c:pt>
                <c:pt idx="51">
                  <c:v>1.2728913713281464</c:v>
                </c:pt>
                <c:pt idx="52">
                  <c:v>0.23648582350061531</c:v>
                </c:pt>
                <c:pt idx="53">
                  <c:v>4.2841771078349336</c:v>
                </c:pt>
                <c:pt idx="54">
                  <c:v>-0.97108413853325004</c:v>
                </c:pt>
                <c:pt idx="55">
                  <c:v>-2.4282551007675099</c:v>
                </c:pt>
                <c:pt idx="56">
                  <c:v>0.22124559534195853</c:v>
                </c:pt>
                <c:pt idx="57">
                  <c:v>3.5972587241102447</c:v>
                </c:pt>
                <c:pt idx="58">
                  <c:v>-4.0108560389656489E-2</c:v>
                </c:pt>
                <c:pt idx="59">
                  <c:v>-3.5783699458619918</c:v>
                </c:pt>
                <c:pt idx="60">
                  <c:v>0.56617996921363201</c:v>
                </c:pt>
                <c:pt idx="61">
                  <c:v>1.169889510424321</c:v>
                </c:pt>
                <c:pt idx="62">
                  <c:v>-1.7584190019572219</c:v>
                </c:pt>
                <c:pt idx="63">
                  <c:v>0.50737845861377462</c:v>
                </c:pt>
                <c:pt idx="64">
                  <c:v>-2.4436683648580768</c:v>
                </c:pt>
                <c:pt idx="65">
                  <c:v>0.97917297174462092</c:v>
                </c:pt>
                <c:pt idx="66">
                  <c:v>-1.518208625855177</c:v>
                </c:pt>
                <c:pt idx="67">
                  <c:v>3.9783650507928936</c:v>
                </c:pt>
                <c:pt idx="68">
                  <c:v>2.8390145040279151</c:v>
                </c:pt>
                <c:pt idx="69">
                  <c:v>-2.5286554272448249</c:v>
                </c:pt>
                <c:pt idx="70">
                  <c:v>-2.7130019564275791</c:v>
                </c:pt>
                <c:pt idx="71">
                  <c:v>0.57354697958258249</c:v>
                </c:pt>
                <c:pt idx="72">
                  <c:v>-7.7460740687131491E-2</c:v>
                </c:pt>
                <c:pt idx="73">
                  <c:v>-1.7890273763764455</c:v>
                </c:pt>
                <c:pt idx="74">
                  <c:v>-0.13568027314961029</c:v>
                </c:pt>
                <c:pt idx="75">
                  <c:v>0.75110656611677129</c:v>
                </c:pt>
                <c:pt idx="76">
                  <c:v>-0.60700796708989913</c:v>
                </c:pt>
                <c:pt idx="77">
                  <c:v>1.602466629703768</c:v>
                </c:pt>
                <c:pt idx="78">
                  <c:v>-1.0900934920814578</c:v>
                </c:pt>
                <c:pt idx="79">
                  <c:v>1.0582802627907295</c:v>
                </c:pt>
                <c:pt idx="80">
                  <c:v>1.0509862251871294</c:v>
                </c:pt>
                <c:pt idx="81">
                  <c:v>-0.7530913513978561</c:v>
                </c:pt>
                <c:pt idx="82">
                  <c:v>-0.54746020458676092</c:v>
                </c:pt>
                <c:pt idx="83">
                  <c:v>-1.8882729901517337</c:v>
                </c:pt>
                <c:pt idx="84">
                  <c:v>-0.66354104487135857</c:v>
                </c:pt>
                <c:pt idx="85">
                  <c:v>3.5913376654574449</c:v>
                </c:pt>
                <c:pt idx="86">
                  <c:v>-0.17842253882334447</c:v>
                </c:pt>
                <c:pt idx="87">
                  <c:v>1.0694888489771799</c:v>
                </c:pt>
                <c:pt idx="88">
                  <c:v>0.308394834854262</c:v>
                </c:pt>
                <c:pt idx="89">
                  <c:v>1.234225304820832</c:v>
                </c:pt>
                <c:pt idx="90">
                  <c:v>-1.5457971557516714E-2</c:v>
                </c:pt>
                <c:pt idx="91">
                  <c:v>3.267794116869533</c:v>
                </c:pt>
                <c:pt idx="92">
                  <c:v>-1.1841101097360571</c:v>
                </c:pt>
                <c:pt idx="93">
                  <c:v>1.8229130487382257</c:v>
                </c:pt>
                <c:pt idx="94">
                  <c:v>4.7161763524618827</c:v>
                </c:pt>
                <c:pt idx="95">
                  <c:v>0.3882255210531973</c:v>
                </c:pt>
                <c:pt idx="96">
                  <c:v>0.21524600792113269</c:v>
                </c:pt>
                <c:pt idx="97">
                  <c:v>1.9245490440679713</c:v>
                </c:pt>
                <c:pt idx="98">
                  <c:v>-1.5464817541667699</c:v>
                </c:pt>
                <c:pt idx="99">
                  <c:v>-4.5080962859363964</c:v>
                </c:pt>
                <c:pt idx="100">
                  <c:v>0.32172628774625878</c:v>
                </c:pt>
                <c:pt idx="101">
                  <c:v>-0.89345797327006871</c:v>
                </c:pt>
                <c:pt idx="102">
                  <c:v>-4.8268072759843221</c:v>
                </c:pt>
                <c:pt idx="103">
                  <c:v>-0.99461843822899887</c:v>
                </c:pt>
                <c:pt idx="104">
                  <c:v>0.99492281315123421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F-4A95-A785-83ABEB2689D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'Por-Perm-Logs'!$AN$113:$AN$114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'Por-Perm-Logs'!$AM$113:$AM$114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F-4A95-A785-83ABEB26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Estimate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4763</xdr:colOff>
      <xdr:row>16</xdr:row>
      <xdr:rowOff>176211</xdr:rowOff>
    </xdr:from>
    <xdr:to>
      <xdr:col>36</xdr:col>
      <xdr:colOff>381224</xdr:colOff>
      <xdr:row>41</xdr:row>
      <xdr:rowOff>11905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561577</xdr:colOff>
      <xdr:row>23</xdr:row>
      <xdr:rowOff>128587</xdr:rowOff>
    </xdr:from>
    <xdr:to>
      <xdr:col>45</xdr:col>
      <xdr:colOff>17586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19845</xdr:colOff>
      <xdr:row>46</xdr:row>
      <xdr:rowOff>75406</xdr:rowOff>
    </xdr:from>
    <xdr:to>
      <xdr:col>45</xdr:col>
      <xdr:colOff>32787</xdr:colOff>
      <xdr:row>61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111125</xdr:colOff>
      <xdr:row>23</xdr:row>
      <xdr:rowOff>127000</xdr:rowOff>
    </xdr:from>
    <xdr:to>
      <xdr:col>53</xdr:col>
      <xdr:colOff>408509</xdr:colOff>
      <xdr:row>39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142875</xdr:colOff>
      <xdr:row>46</xdr:row>
      <xdr:rowOff>79375</xdr:rowOff>
    </xdr:from>
    <xdr:to>
      <xdr:col>53</xdr:col>
      <xdr:colOff>393942</xdr:colOff>
      <xdr:row>61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381000</xdr:colOff>
      <xdr:row>70</xdr:row>
      <xdr:rowOff>0</xdr:rowOff>
    </xdr:from>
    <xdr:to>
      <xdr:col>29</xdr:col>
      <xdr:colOff>500062</xdr:colOff>
      <xdr:row>87</xdr:row>
      <xdr:rowOff>177801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392402</xdr:colOff>
      <xdr:row>80</xdr:row>
      <xdr:rowOff>91138</xdr:rowOff>
    </xdr:from>
    <xdr:to>
      <xdr:col>41</xdr:col>
      <xdr:colOff>175906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464345</xdr:colOff>
      <xdr:row>99</xdr:row>
      <xdr:rowOff>120284</xdr:rowOff>
    </xdr:from>
    <xdr:to>
      <xdr:col>29</xdr:col>
      <xdr:colOff>169069</xdr:colOff>
      <xdr:row>115</xdr:row>
      <xdr:rowOff>143670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511969</xdr:colOff>
      <xdr:row>17</xdr:row>
      <xdr:rowOff>142875</xdr:rowOff>
    </xdr:from>
    <xdr:to>
      <xdr:col>22</xdr:col>
      <xdr:colOff>916781</xdr:colOff>
      <xdr:row>17</xdr:row>
      <xdr:rowOff>436225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434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/>
                <a:t>From Minimized Square Error: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b="1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b="1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d>
                            <m:dPr>
                              <m:ctrlPr>
                                <a:rPr lang="en-US" b="1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  <m:sub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</m:acc>
                            </m:e>
                          </m:d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  <m: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</m:acc>
                            </m:e>
                          </m:d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en-US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sSup>
                            <m:sSup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𝒊</m:t>
                                      </m:r>
                                    </m:sub>
                                  </m:s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</m:acc>
                                </m:e>
                              </m:d>
                            </m:e>
                            <m:sup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4" name="TextBox 14344"/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/>
                <a:t>From Minimized Square Error: </a:t>
              </a:r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500062</xdr:colOff>
      <xdr:row>17</xdr:row>
      <xdr:rowOff>571500</xdr:rowOff>
    </xdr:from>
    <xdr:to>
      <xdr:col>22</xdr:col>
      <xdr:colOff>7180</xdr:colOff>
      <xdr:row>17</xdr:row>
      <xdr:rowOff>736866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4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The find intercept: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  <m:r>
                    <a:rPr lang="en-US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acc>
                    <m:accPr>
                      <m:chr m:val="̅"/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5" name="TextBox 43"/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The find intercept: </a:t>
              </a:r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690562</xdr:colOff>
      <xdr:row>17</xdr:row>
      <xdr:rowOff>345282</xdr:rowOff>
    </xdr:from>
    <xdr:to>
      <xdr:col>16</xdr:col>
      <xdr:colOff>1031117</xdr:colOff>
      <xdr:row>17</xdr:row>
      <xdr:rowOff>510648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Model: </a:t>
              </a:r>
              <a14:m>
                <m:oMath xmlns:m="http://schemas.openxmlformats.org/officeDocument/2006/math">
                  <m:r>
                    <a:rPr lang="en-US" b="1" i="1">
                      <a:latin typeface="Cambria Math" panose="02040503050406030204" pitchFamily="18" charset="0"/>
                    </a:rPr>
                    <m:t>𝒚</m:t>
                  </m:r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𝒙</m:t>
                  </m:r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6" name="TextBox 4"/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Model: </a:t>
              </a:r>
              <a:r>
                <a:rPr lang="en-US" b="1" i="0">
                  <a:latin typeface="Cambria Math" panose="02040503050406030204" pitchFamily="18" charset="0"/>
                </a:rPr>
                <a:t>𝒚=𝒃_𝟎+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</a:t>
              </a:r>
              <a:endParaRPr lang="en-US"/>
            </a:p>
          </xdr:txBody>
        </xdr:sp>
      </mc:Fallback>
    </mc:AlternateContent>
    <xdr:clientData/>
  </xdr:twoCellAnchor>
  <xdr:oneCellAnchor>
    <xdr:from>
      <xdr:col>31</xdr:col>
      <xdr:colOff>393412</xdr:colOff>
      <xdr:row>73</xdr:row>
      <xdr:rowOff>190957</xdr:rowOff>
    </xdr:from>
    <xdr:ext cx="1417618" cy="369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d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(𝜌)^2=𝑟^2=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30</xdr:col>
      <xdr:colOff>593435</xdr:colOff>
      <xdr:row>73</xdr:row>
      <xdr:rowOff>179412</xdr:rowOff>
    </xdr:from>
    <xdr:ext cx="1417618" cy="369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𝜌</m:t>
                  </m:r>
                </m:oMath>
              </a14:m>
              <a:r>
                <a:rPr lang="en-US" sz="1400"/>
                <a:t> =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400"/>
                <a:t> =</a:t>
              </a:r>
            </a:p>
          </xdr:txBody>
        </xdr:sp>
      </mc:Fallback>
    </mc:AlternateContent>
    <xdr:clientData/>
  </xdr:oneCellAnchor>
  <xdr:twoCellAnchor>
    <xdr:from>
      <xdr:col>29</xdr:col>
      <xdr:colOff>297657</xdr:colOff>
      <xdr:row>99</xdr:row>
      <xdr:rowOff>130969</xdr:rowOff>
    </xdr:from>
    <xdr:to>
      <xdr:col>33</xdr:col>
      <xdr:colOff>573881</xdr:colOff>
      <xdr:row>115</xdr:row>
      <xdr:rowOff>154355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365125</xdr:colOff>
      <xdr:row>81</xdr:row>
      <xdr:rowOff>31750</xdr:rowOff>
    </xdr:from>
    <xdr:to>
      <xdr:col>51</xdr:col>
      <xdr:colOff>600317</xdr:colOff>
      <xdr:row>96</xdr:row>
      <xdr:rowOff>63650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25</xdr:col>
      <xdr:colOff>95250</xdr:colOff>
      <xdr:row>134</xdr:row>
      <xdr:rowOff>111125</xdr:rowOff>
    </xdr:from>
    <xdr:ext cx="1886206" cy="574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≠0</m:t>
                    </m:r>
                  </m:oMath>
                </m:oMathPara>
              </a14:m>
              <a:endParaRPr lang="en-US" sz="20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𝐻_0:𝑏_𝑖=0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𝐻_1:𝑏_𝑖≠0</a:t>
              </a:r>
              <a:endParaRPr lang="en-US" sz="20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38</xdr:col>
      <xdr:colOff>501650</xdr:colOff>
      <xdr:row>131</xdr:row>
      <xdr:rowOff>168276</xdr:rowOff>
    </xdr:from>
    <xdr:ext cx="1886206" cy="768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𝑜𝑡h𝑒𝑟𝑤𝑖𝑠𝑒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𝐻_0:𝑏_0=𝑏_1=0</a:t>
              </a:r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𝐻_1:𝑜𝑡ℎ𝑒𝑟𝑤𝑖𝑠𝑒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29</xdr:col>
      <xdr:colOff>444500</xdr:colOff>
      <xdr:row>93</xdr:row>
      <xdr:rowOff>142875</xdr:rowOff>
    </xdr:from>
    <xdr:to>
      <xdr:col>32</xdr:col>
      <xdr:colOff>827591</xdr:colOff>
      <xdr:row>97</xdr:row>
      <xdr:rowOff>2071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d>
                              <m:dPr>
                                <m:ctrlPr>
                                  <a:rPr lang="en-US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𝒊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F8B0DD89-97DE-4C10-9E56-70B1E54E53BD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29</xdr:col>
      <xdr:colOff>666750</xdr:colOff>
      <xdr:row>97</xdr:row>
      <xdr:rowOff>15875</xdr:rowOff>
    </xdr:from>
    <xdr:to>
      <xdr:col>31</xdr:col>
      <xdr:colOff>380243</xdr:colOff>
      <xdr:row>98</xdr:row>
      <xdr:rowOff>102374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b="1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C0F63946-C453-46CC-AA5A-F4F0CF3D2C97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26</xdr:col>
      <xdr:colOff>777875</xdr:colOff>
      <xdr:row>124</xdr:row>
      <xdr:rowOff>63500</xdr:rowOff>
    </xdr:from>
    <xdr:to>
      <xdr:col>27</xdr:col>
      <xdr:colOff>762000</xdr:colOff>
      <xdr:row>124</xdr:row>
      <xdr:rowOff>63500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3653750" y="25368250"/>
          <a:ext cx="777875" cy="0"/>
        </a:xfrm>
        <a:prstGeom prst="straightConnector1">
          <a:avLst/>
        </a:prstGeom>
        <a:ln>
          <a:solidFill>
            <a:sysClr val="windowText" lastClr="0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400050</xdr:colOff>
      <xdr:row>127</xdr:row>
      <xdr:rowOff>133350</xdr:rowOff>
    </xdr:from>
    <xdr:to>
      <xdr:col>30</xdr:col>
      <xdr:colOff>725991</xdr:colOff>
      <xdr:row>129</xdr:row>
      <xdr:rowOff>95579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𝒔𝒔𝒓𝒆𝒔𝒊𝒅</m:t>
                        </m:r>
                      </m:den>
                    </m:f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𝒆𝒙𝒑𝒍𝒂𝒊𝒏𝒆𝒅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 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𝒗𝒂𝒓𝒊𝒂𝒏𝒄𝒆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𝒕𝒐𝒕𝒂𝒍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𝒗𝒂𝒊𝒓𝒂𝒏𝒄𝒆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𝒓^𝟐=𝒔𝒔𝒓𝒆𝒈/(𝒔𝒔𝒓𝒆𝒈+𝒔𝒔𝒓𝒆𝒔𝒊𝒅)=(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rPr>
                <a:t>𝒆𝒙𝒑𝒍𝒂𝒊𝒏𝒆𝒅 𝒗𝒂𝒓𝒊𝒂𝒏𝒄𝒆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ＭＳ Ｐゴシック" panose="020B0600070205080204" pitchFamily="34" charset="-128"/>
                  <a:cs typeface="+mn-cs"/>
                </a:rPr>
                <a:t>)/(</a:t>
              </a:r>
              <a:r>
                <a:rPr lang="en-US" b="1" i="0">
                  <a:latin typeface="Cambria Math" panose="02040503050406030204" pitchFamily="18" charset="0"/>
                </a:rPr>
                <a:t>𝒕𝒐𝒕𝒂𝒍 𝒗𝒂𝒊𝒓𝒂𝒏𝒄𝒆)</a:t>
              </a:r>
              <a:endParaRPr lang="en-US"/>
            </a:p>
          </xdr:txBody>
        </xdr:sp>
      </mc:Fallback>
    </mc:AlternateContent>
    <xdr:clientData/>
  </xdr:twoCellAnchor>
  <xdr:twoCellAnchor>
    <xdr:from>
      <xdr:col>24</xdr:col>
      <xdr:colOff>40485</xdr:colOff>
      <xdr:row>128</xdr:row>
      <xdr:rowOff>26193</xdr:rowOff>
    </xdr:from>
    <xdr:to>
      <xdr:col>27</xdr:col>
      <xdr:colOff>723614</xdr:colOff>
      <xdr:row>128</xdr:row>
      <xdr:rowOff>199317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1434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22757610" y="26255662"/>
              <a:ext cx="2969129" cy="17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9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2757610" y="26255662"/>
              <a:ext cx="2969129" cy="17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𝒓^𝟐=</a:t>
              </a:r>
              <a:endParaRPr lang="en-US"/>
            </a:p>
          </xdr:txBody>
        </xdr:sp>
      </mc:Fallback>
    </mc:AlternateContent>
    <xdr:clientData/>
  </xdr:twoCellAnchor>
  <xdr:twoCellAnchor>
    <xdr:from>
      <xdr:col>23</xdr:col>
      <xdr:colOff>23813</xdr:colOff>
      <xdr:row>16</xdr:row>
      <xdr:rowOff>154782</xdr:rowOff>
    </xdr:from>
    <xdr:to>
      <xdr:col>25</xdr:col>
      <xdr:colOff>383382</xdr:colOff>
      <xdr:row>52</xdr:row>
      <xdr:rowOff>116681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440531</xdr:colOff>
      <xdr:row>16</xdr:row>
      <xdr:rowOff>154781</xdr:rowOff>
    </xdr:from>
    <xdr:to>
      <xdr:col>27</xdr:col>
      <xdr:colOff>716756</xdr:colOff>
      <xdr:row>52</xdr:row>
      <xdr:rowOff>116680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411"/>
  <sheetViews>
    <sheetView tabSelected="1" topLeftCell="Z109" zoomScaleNormal="100" workbookViewId="0">
      <selection activeCell="AC140" sqref="AC140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3" max="13" width="8.140625" customWidth="1"/>
    <col min="14" max="14" width="11.5703125" style="9" customWidth="1"/>
    <col min="15" max="15" width="12.140625" customWidth="1"/>
    <col min="16" max="17" width="16" customWidth="1"/>
    <col min="18" max="24" width="18.42578125" customWidth="1"/>
    <col min="25" max="25" width="7.28515625" customWidth="1"/>
    <col min="26" max="26" width="15.140625" customWidth="1"/>
    <col min="27" max="29" width="11.85546875" customWidth="1"/>
    <col min="30" max="30" width="16.140625" customWidth="1"/>
    <col min="31" max="31" width="13.5703125" style="9" bestFit="1" customWidth="1"/>
    <col min="32" max="32" width="9.140625" style="9"/>
    <col min="33" max="33" width="14.85546875" style="9" bestFit="1" customWidth="1"/>
    <col min="34" max="34" width="9.140625" style="9"/>
    <col min="35" max="35" width="10.85546875" style="9" customWidth="1"/>
    <col min="36" max="36" width="11.42578125" style="9" bestFit="1" customWidth="1"/>
    <col min="37" max="39" width="9.140625" style="9"/>
    <col min="40" max="40" width="12.7109375" style="9" customWidth="1"/>
    <col min="41" max="41" width="9.140625" style="9"/>
    <col min="43" max="43" width="8.7109375" customWidth="1"/>
    <col min="54" max="54" width="15.140625" customWidth="1"/>
    <col min="55" max="137" width="9.140625" style="1"/>
  </cols>
  <sheetData>
    <row r="1" spans="1:137" s="1" customFormat="1" ht="15.75" thickBot="1" x14ac:dyDescent="0.3"/>
    <row r="2" spans="1:137" s="1" customForma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6"/>
    </row>
    <row r="3" spans="1:137" s="1" customFormat="1" ht="29.25" thickBot="1" x14ac:dyDescent="0.5">
      <c r="B3" s="37"/>
      <c r="C3" s="131" t="s">
        <v>120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9"/>
    </row>
    <row r="4" spans="1:137" s="1" customFormat="1" ht="21.75" thickBot="1" x14ac:dyDescent="0.4">
      <c r="B4" s="37"/>
      <c r="C4" s="5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32" t="s">
        <v>121</v>
      </c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  <c r="BA4" s="38"/>
      <c r="BB4" s="39"/>
    </row>
    <row r="5" spans="1:137" s="1" customFormat="1" ht="15.75" x14ac:dyDescent="0.25">
      <c r="B5" s="37"/>
      <c r="C5" s="103" t="s">
        <v>75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</row>
    <row r="6" spans="1:137" s="1" customFormat="1" ht="15.75" x14ac:dyDescent="0.25">
      <c r="B6" s="37"/>
      <c r="C6" s="103" t="s">
        <v>76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52" t="s">
        <v>32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</row>
    <row r="7" spans="1:137" s="1" customFormat="1" ht="15.75" x14ac:dyDescent="0.25">
      <c r="B7" s="37"/>
      <c r="C7" s="103" t="s">
        <v>77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92"/>
      <c r="AA7" s="92"/>
      <c r="AB7" s="92"/>
      <c r="AC7" s="92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40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9"/>
    </row>
    <row r="8" spans="1:137" s="9" customFormat="1" ht="15.75" x14ac:dyDescent="0.25">
      <c r="A8" s="1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52" t="s">
        <v>78</v>
      </c>
      <c r="AA8" s="12"/>
      <c r="AB8" s="12"/>
      <c r="AC8" s="12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40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9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7" s="9" customFormat="1" ht="15.75" x14ac:dyDescent="0.25">
      <c r="A9" s="1"/>
      <c r="B9" s="37"/>
      <c r="C9" s="38"/>
      <c r="D9" s="38"/>
      <c r="E9" s="38"/>
      <c r="F9" s="38"/>
      <c r="G9" s="38"/>
      <c r="H9" s="38"/>
      <c r="I9" s="38"/>
      <c r="J9" s="164" t="s">
        <v>7</v>
      </c>
      <c r="K9" s="165"/>
      <c r="L9" s="164" t="s">
        <v>8</v>
      </c>
      <c r="M9" s="165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53" t="s">
        <v>79</v>
      </c>
      <c r="AA9" s="12"/>
      <c r="AB9" s="12"/>
      <c r="AC9" s="12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40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7" s="9" customFormat="1" ht="16.5" thickBot="1" x14ac:dyDescent="0.3">
      <c r="A10" s="1"/>
      <c r="B10" s="37"/>
      <c r="C10" s="38"/>
      <c r="D10" s="38"/>
      <c r="E10" s="38"/>
      <c r="F10" s="162" t="s">
        <v>14</v>
      </c>
      <c r="G10" s="163"/>
      <c r="H10" s="162" t="s">
        <v>29</v>
      </c>
      <c r="I10" s="163"/>
      <c r="J10" s="162" t="s">
        <v>3</v>
      </c>
      <c r="K10" s="163"/>
      <c r="L10" s="162" t="s">
        <v>6</v>
      </c>
      <c r="M10" s="163"/>
      <c r="N10" s="162" t="s">
        <v>127</v>
      </c>
      <c r="O10" s="163"/>
      <c r="P10" s="92"/>
      <c r="Q10" s="92"/>
      <c r="R10" s="92"/>
      <c r="S10" s="92"/>
      <c r="T10" s="92"/>
      <c r="U10" s="92"/>
      <c r="V10" s="92"/>
      <c r="W10" s="92"/>
      <c r="X10" s="144"/>
      <c r="Y10" s="91"/>
      <c r="Z10" s="54" t="s">
        <v>80</v>
      </c>
      <c r="AA10" s="92"/>
      <c r="AB10" s="92"/>
      <c r="AC10" s="92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40"/>
      <c r="AP10" s="38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1"/>
      <c r="BC10" s="33"/>
      <c r="BD10" s="33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7" ht="15.75" x14ac:dyDescent="0.25">
      <c r="B11" s="37"/>
      <c r="C11" s="38"/>
      <c r="D11" s="38"/>
      <c r="E11" s="38"/>
      <c r="F11" s="42" t="s">
        <v>10</v>
      </c>
      <c r="G11" s="10">
        <f ca="1">MIN(F20:F124)</f>
        <v>0.26012939720969847</v>
      </c>
      <c r="H11" s="42" t="s">
        <v>10</v>
      </c>
      <c r="I11" s="10">
        <f ca="1">MIN(H20:H124)</f>
        <v>0</v>
      </c>
      <c r="J11" s="42" t="s">
        <v>1</v>
      </c>
      <c r="K11" s="2">
        <v>0</v>
      </c>
      <c r="L11" s="42" t="s">
        <v>1</v>
      </c>
      <c r="M11" s="5">
        <v>1.8</v>
      </c>
      <c r="N11" s="42" t="s">
        <v>1</v>
      </c>
      <c r="O11" s="7">
        <f ca="1">AVERAGE(N20:N124)</f>
        <v>1.7835527994068174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53"/>
      <c r="AA11" s="12"/>
      <c r="AB11" s="12"/>
      <c r="AC11" s="12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40"/>
      <c r="AP11" s="43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1"/>
      <c r="BC11" s="33"/>
      <c r="BD11" s="33"/>
    </row>
    <row r="12" spans="1:137" ht="15.75" thickBot="1" x14ac:dyDescent="0.3">
      <c r="B12" s="37"/>
      <c r="C12" s="38"/>
      <c r="D12" s="38"/>
      <c r="E12" s="38"/>
      <c r="F12" s="42" t="s">
        <v>11</v>
      </c>
      <c r="G12" s="11">
        <f ca="1">MAX(F20:F124)</f>
        <v>0.71156962615988395</v>
      </c>
      <c r="H12" s="42" t="s">
        <v>11</v>
      </c>
      <c r="I12" s="11">
        <f ca="1">MAX(H20:H124)</f>
        <v>1</v>
      </c>
      <c r="J12" s="42" t="s">
        <v>2</v>
      </c>
      <c r="K12" s="3">
        <v>1</v>
      </c>
      <c r="L12" s="42" t="s">
        <v>2</v>
      </c>
      <c r="M12" s="6">
        <v>0.3</v>
      </c>
      <c r="N12" s="42" t="s">
        <v>2</v>
      </c>
      <c r="O12" s="8">
        <f ca="1">STDEV(N20:N124)</f>
        <v>0.26502181730492508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38" t="s">
        <v>33</v>
      </c>
      <c r="AA12" s="12"/>
      <c r="AB12" s="12"/>
      <c r="AC12" s="12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40"/>
      <c r="AP12" s="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1"/>
      <c r="BC12" s="33"/>
      <c r="BD12" s="33"/>
    </row>
    <row r="13" spans="1:137" ht="15.75" thickBot="1" x14ac:dyDescent="0.3">
      <c r="B13" s="37"/>
      <c r="C13" s="38"/>
      <c r="D13" s="38"/>
      <c r="E13" s="38"/>
      <c r="F13" s="162" t="s">
        <v>15</v>
      </c>
      <c r="G13" s="163"/>
      <c r="H13" s="162" t="s">
        <v>30</v>
      </c>
      <c r="I13" s="163"/>
      <c r="J13" s="162" t="s">
        <v>4</v>
      </c>
      <c r="K13" s="163"/>
      <c r="L13" s="162" t="s">
        <v>5</v>
      </c>
      <c r="M13" s="163"/>
      <c r="N13" s="162" t="s">
        <v>0</v>
      </c>
      <c r="O13" s="163"/>
      <c r="P13" s="92"/>
      <c r="Q13" s="92"/>
      <c r="R13" s="92"/>
      <c r="S13" s="92"/>
      <c r="T13" s="92"/>
      <c r="U13" s="92"/>
      <c r="V13" s="92"/>
      <c r="W13" s="92"/>
      <c r="X13" s="144"/>
      <c r="Y13" s="92"/>
      <c r="Z13" s="43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40"/>
      <c r="AP13" s="38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1"/>
      <c r="BC13" s="33"/>
      <c r="BD13" s="33"/>
    </row>
    <row r="14" spans="1:137" x14ac:dyDescent="0.25">
      <c r="B14" s="37"/>
      <c r="C14" s="38"/>
      <c r="D14" s="38"/>
      <c r="E14" s="38"/>
      <c r="F14" s="42" t="s">
        <v>10</v>
      </c>
      <c r="G14" s="10">
        <f ca="1">MIN(G20:G124)</f>
        <v>0.22688884507081086</v>
      </c>
      <c r="H14" s="42" t="s">
        <v>10</v>
      </c>
      <c r="I14" s="10">
        <f ca="1">MIN(I20:I124)</f>
        <v>0</v>
      </c>
      <c r="J14" s="42" t="s">
        <v>1</v>
      </c>
      <c r="K14" s="2">
        <v>0</v>
      </c>
      <c r="L14" s="42" t="s">
        <v>1</v>
      </c>
      <c r="M14" s="5">
        <v>12</v>
      </c>
      <c r="N14" s="42" t="s">
        <v>1</v>
      </c>
      <c r="O14" s="7">
        <f ca="1">AVERAGE(O20:O124)</f>
        <v>12.373927409704123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1"/>
      <c r="BC14" s="33"/>
      <c r="BD14" s="33"/>
    </row>
    <row r="15" spans="1:137" ht="15.75" thickBot="1" x14ac:dyDescent="0.3">
      <c r="B15" s="37"/>
      <c r="C15" s="38"/>
      <c r="D15" s="38"/>
      <c r="E15" s="38"/>
      <c r="F15" s="42" t="s">
        <v>11</v>
      </c>
      <c r="G15" s="11">
        <f ca="1">MAX(G20:G124)</f>
        <v>0.69767233069098666</v>
      </c>
      <c r="H15" s="42" t="s">
        <v>11</v>
      </c>
      <c r="I15" s="11">
        <f ca="1">MAX(I20:I124)</f>
        <v>1</v>
      </c>
      <c r="J15" s="42" t="s">
        <v>2</v>
      </c>
      <c r="K15" s="3">
        <v>1</v>
      </c>
      <c r="L15" s="42" t="s">
        <v>2</v>
      </c>
      <c r="M15" s="6">
        <v>3.5</v>
      </c>
      <c r="N15" s="42" t="s">
        <v>2</v>
      </c>
      <c r="O15" s="8">
        <f ca="1">STDEV(O20:O124)</f>
        <v>3.5673223368841294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1"/>
      <c r="BC15" s="33"/>
      <c r="BD15" s="33"/>
    </row>
    <row r="16" spans="1:137" ht="15.75" thickBot="1" x14ac:dyDescent="0.3">
      <c r="B16" s="37"/>
      <c r="C16" s="38"/>
      <c r="D16" s="38"/>
      <c r="E16" s="38"/>
      <c r="F16" s="38"/>
      <c r="G16" s="38"/>
      <c r="H16" s="38"/>
      <c r="I16" s="38"/>
      <c r="J16" s="42" t="s">
        <v>9</v>
      </c>
      <c r="K16" s="4">
        <v>-0.85</v>
      </c>
      <c r="L16" s="38"/>
      <c r="M16" s="43"/>
      <c r="N16" s="38"/>
      <c r="O16" s="43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1"/>
      <c r="BC16" s="33"/>
      <c r="BD16" s="33"/>
    </row>
    <row r="17" spans="1:137" s="9" customFormat="1" ht="19.5" thickBot="1" x14ac:dyDescent="0.35">
      <c r="A17" s="1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132" t="s">
        <v>44</v>
      </c>
      <c r="Q17" s="60"/>
      <c r="R17" s="60"/>
      <c r="S17" s="60"/>
      <c r="T17" s="60"/>
      <c r="U17" s="60"/>
      <c r="V17" s="60"/>
      <c r="W17" s="61"/>
      <c r="X17" s="45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1"/>
      <c r="BC17" s="33"/>
      <c r="BD17" s="33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</row>
    <row r="18" spans="1:137" s="9" customFormat="1" ht="76.5" customHeight="1" thickBot="1" x14ac:dyDescent="0.3">
      <c r="A18" s="1"/>
      <c r="B18" s="37"/>
      <c r="C18" s="104"/>
      <c r="D18" s="160" t="s">
        <v>26</v>
      </c>
      <c r="E18" s="160"/>
      <c r="F18" s="160" t="s">
        <v>25</v>
      </c>
      <c r="G18" s="160"/>
      <c r="H18" s="160" t="s">
        <v>24</v>
      </c>
      <c r="I18" s="160"/>
      <c r="J18" s="160" t="s">
        <v>27</v>
      </c>
      <c r="K18" s="160"/>
      <c r="L18" s="160" t="s">
        <v>28</v>
      </c>
      <c r="M18" s="160"/>
      <c r="N18" s="105" t="s">
        <v>124</v>
      </c>
      <c r="O18" s="146" t="s">
        <v>125</v>
      </c>
      <c r="P18" s="62"/>
      <c r="Q18" s="63"/>
      <c r="R18" s="63"/>
      <c r="S18" s="63"/>
      <c r="T18" s="63"/>
      <c r="U18" s="63"/>
      <c r="V18" s="63"/>
      <c r="W18" s="64"/>
      <c r="X18" s="44"/>
      <c r="Y18" s="44"/>
      <c r="Z18" s="90"/>
      <c r="AA18" s="90"/>
      <c r="AB18" s="90"/>
      <c r="AC18" s="90"/>
      <c r="AD18" s="90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9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</row>
    <row r="19" spans="1:137" s="9" customFormat="1" ht="17.25" x14ac:dyDescent="0.25">
      <c r="A19" s="1"/>
      <c r="B19" s="37"/>
      <c r="C19" s="56" t="s">
        <v>20</v>
      </c>
      <c r="D19" s="56" t="s">
        <v>12</v>
      </c>
      <c r="E19" s="56" t="s">
        <v>13</v>
      </c>
      <c r="F19" s="56" t="s">
        <v>18</v>
      </c>
      <c r="G19" s="56" t="s">
        <v>17</v>
      </c>
      <c r="H19" s="56" t="s">
        <v>16</v>
      </c>
      <c r="I19" s="56" t="s">
        <v>19</v>
      </c>
      <c r="J19" s="56" t="s">
        <v>3</v>
      </c>
      <c r="K19" s="56" t="s">
        <v>4</v>
      </c>
      <c r="L19" s="56" t="s">
        <v>6</v>
      </c>
      <c r="M19" s="56" t="s">
        <v>5</v>
      </c>
      <c r="N19" s="56" t="s">
        <v>128</v>
      </c>
      <c r="O19" s="56" t="s">
        <v>0</v>
      </c>
      <c r="P19" s="65" t="s">
        <v>34</v>
      </c>
      <c r="Q19" s="56" t="s">
        <v>35</v>
      </c>
      <c r="R19" s="56" t="s">
        <v>37</v>
      </c>
      <c r="S19" s="56" t="s">
        <v>38</v>
      </c>
      <c r="T19" s="56" t="s">
        <v>54</v>
      </c>
      <c r="U19" s="56" t="s">
        <v>53</v>
      </c>
      <c r="V19" s="56" t="s">
        <v>126</v>
      </c>
      <c r="W19" s="66" t="s">
        <v>41</v>
      </c>
      <c r="X19" s="145"/>
      <c r="Y19" s="90"/>
      <c r="Z19" s="90"/>
      <c r="AA19" s="90"/>
      <c r="AB19" s="90"/>
      <c r="AC19" s="90"/>
      <c r="AD19" s="90"/>
      <c r="AE19" s="38"/>
      <c r="AF19" s="38"/>
      <c r="AG19" s="38"/>
      <c r="AH19" s="38"/>
      <c r="AI19" s="38"/>
      <c r="AJ19" s="38"/>
      <c r="AK19" s="38"/>
      <c r="AL19" s="45" t="s">
        <v>129</v>
      </c>
      <c r="AM19" s="38"/>
      <c r="AN19" s="38"/>
      <c r="AO19" s="158" t="s">
        <v>23</v>
      </c>
      <c r="AP19" s="13">
        <f ca="1">AM21</f>
        <v>0.9461691042627095</v>
      </c>
      <c r="AQ19" s="14">
        <f t="shared" ref="AQ19:AY19" ca="1" si="0">AP19+($AM$22-$AM$21)/10</f>
        <v>1.0873569520316873</v>
      </c>
      <c r="AR19" s="14">
        <f t="shared" ca="1" si="0"/>
        <v>1.2285447998006649</v>
      </c>
      <c r="AS19" s="14">
        <f t="shared" ca="1" si="0"/>
        <v>1.3697326475696425</v>
      </c>
      <c r="AT19" s="14">
        <f t="shared" ca="1" si="0"/>
        <v>1.5109204953386202</v>
      </c>
      <c r="AU19" s="14">
        <f t="shared" ca="1" si="0"/>
        <v>1.6521083431075978</v>
      </c>
      <c r="AV19" s="14">
        <f t="shared" ca="1" si="0"/>
        <v>1.7932961908765754</v>
      </c>
      <c r="AW19" s="14">
        <f t="shared" ca="1" si="0"/>
        <v>1.9344840386455531</v>
      </c>
      <c r="AX19" s="14">
        <f t="shared" ca="1" si="0"/>
        <v>2.0756718864145309</v>
      </c>
      <c r="AY19" s="15">
        <f t="shared" ca="1" si="0"/>
        <v>2.2168597341835086</v>
      </c>
      <c r="AZ19" s="38"/>
      <c r="BA19" s="38"/>
      <c r="BB19" s="39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</row>
    <row r="20" spans="1:137" s="9" customFormat="1" ht="15.75" thickBot="1" x14ac:dyDescent="0.3">
      <c r="A20" s="1"/>
      <c r="B20" s="37"/>
      <c r="C20" s="46">
        <v>0.25</v>
      </c>
      <c r="D20" s="46">
        <f ca="1">RAND()</f>
        <v>3.0599800367156371E-2</v>
      </c>
      <c r="E20" s="46">
        <f ca="1">RAND()</f>
        <v>0.23604055828032644</v>
      </c>
      <c r="F20" s="46">
        <f ca="1">AVERAGE(D20:D24)</f>
        <v>0.27665271201510561</v>
      </c>
      <c r="G20" s="46">
        <f ca="1">AVERAGE(E20:E24)</f>
        <v>0.45077989476552532</v>
      </c>
      <c r="H20" s="46">
        <f ca="1">(F20-$G$11)/($G$12-$G$11)</f>
        <v>3.6601334453138464E-2</v>
      </c>
      <c r="I20" s="46">
        <f ca="1">(G20-$G$14)/($G$15-$G$14)</f>
        <v>0.4755711628239821</v>
      </c>
      <c r="J20" s="46">
        <f ca="1">_xlfn.NORM.INV(RAND(),$K$11,$K$12)</f>
        <v>-3.580476511192518E-2</v>
      </c>
      <c r="K20" s="46">
        <f ca="1">_xlfn.NORM.INV(RAND(),$K$14+$K$16*($K$15/$K$12)*(J20-$K$11),SQRT((1-$K$16^2)*$K$12))</f>
        <v>1.2627239012623332</v>
      </c>
      <c r="L20" s="12">
        <f ca="1">J20*$M$12+$M$11</f>
        <v>1.7892585704664226</v>
      </c>
      <c r="M20" s="12">
        <f ca="1">K20*$M$15+$M$14</f>
        <v>16.419533654418167</v>
      </c>
      <c r="N20" s="46">
        <f ca="1">IF(L20&lt;0,0,L20)</f>
        <v>1.7892585704664226</v>
      </c>
      <c r="O20" s="12">
        <f ca="1">IF(M20&lt;0,0,M20)</f>
        <v>16.419533654418167</v>
      </c>
      <c r="P20" s="67">
        <f ca="1">N20-$O$11</f>
        <v>5.7057710596051248E-3</v>
      </c>
      <c r="Q20" s="46">
        <f ca="1">O20-$O$11</f>
        <v>14.635980855011351</v>
      </c>
      <c r="R20" s="46">
        <f ca="1">P20*Q20</f>
        <v>8.3509555991458428E-2</v>
      </c>
      <c r="S20" s="46">
        <f ca="1">P20^2</f>
        <v>3.2555823384627389E-5</v>
      </c>
      <c r="T20" s="46">
        <f ca="1">(O20-V20)^2</f>
        <v>16.884827302345659</v>
      </c>
      <c r="U20" s="46">
        <f ca="1">(O20-$O$14)^2</f>
        <v>16.366929887269269</v>
      </c>
      <c r="V20" s="46">
        <f t="shared" ref="V20:V51" ca="1" si="1">$AC$95+$AA$95*N20</f>
        <v>12.310418506074711</v>
      </c>
      <c r="W20" s="68">
        <f ca="1">V20-O20</f>
        <v>-4.1091151483434558</v>
      </c>
      <c r="X20" s="46"/>
      <c r="Y20" s="46"/>
      <c r="Z20" s="12"/>
      <c r="AA20" s="12"/>
      <c r="AB20" s="12"/>
      <c r="AC20" s="12"/>
      <c r="AD20" s="12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161"/>
      <c r="AP20" s="16">
        <f t="shared" ref="AP20:AY20" ca="1" si="2">AP19+($AM$22-$AM$21)/10</f>
        <v>1.0873569520316873</v>
      </c>
      <c r="AQ20" s="17">
        <f t="shared" ca="1" si="2"/>
        <v>1.2285447998006649</v>
      </c>
      <c r="AR20" s="17">
        <f t="shared" ca="1" si="2"/>
        <v>1.3697326475696425</v>
      </c>
      <c r="AS20" s="17">
        <f t="shared" ca="1" si="2"/>
        <v>1.5109204953386202</v>
      </c>
      <c r="AT20" s="17">
        <f t="shared" ca="1" si="2"/>
        <v>1.6521083431075978</v>
      </c>
      <c r="AU20" s="17">
        <f t="shared" ca="1" si="2"/>
        <v>1.7932961908765754</v>
      </c>
      <c r="AV20" s="17">
        <f t="shared" ca="1" si="2"/>
        <v>1.9344840386455531</v>
      </c>
      <c r="AW20" s="17">
        <f t="shared" ca="1" si="2"/>
        <v>2.0756718864145309</v>
      </c>
      <c r="AX20" s="17">
        <f t="shared" ca="1" si="2"/>
        <v>2.2168597341835086</v>
      </c>
      <c r="AY20" s="18">
        <f t="shared" ca="1" si="2"/>
        <v>2.3580475819524862</v>
      </c>
      <c r="AZ20" s="38"/>
      <c r="BA20" s="38"/>
      <c r="BB20" s="39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</row>
    <row r="21" spans="1:137" s="9" customFormat="1" x14ac:dyDescent="0.25">
      <c r="A21" s="1"/>
      <c r="B21" s="37"/>
      <c r="C21" s="46">
        <f>C20+0.25</f>
        <v>0.5</v>
      </c>
      <c r="D21" s="46">
        <f t="shared" ref="D21:E52" ca="1" si="3">RAND()</f>
        <v>0.28227572456984962</v>
      </c>
      <c r="E21" s="46">
        <f t="shared" ca="1" si="3"/>
        <v>0.41508294373861143</v>
      </c>
      <c r="F21" s="46">
        <f ca="1">AVERAGE(D20:D25)</f>
        <v>0.26012939720969847</v>
      </c>
      <c r="G21" s="46">
        <f ca="1">AVERAGE(E20:E25)</f>
        <v>0.49177644546827354</v>
      </c>
      <c r="H21" s="46">
        <f t="shared" ref="H21:H84" ca="1" si="4">(F21-$G$11)/($G$12-$G$11)</f>
        <v>0</v>
      </c>
      <c r="I21" s="46">
        <f t="shared" ref="I21:I84" ca="1" si="5">(G21-$G$14)/($G$15-$G$14)</f>
        <v>0.56265270233198406</v>
      </c>
      <c r="J21" s="46">
        <f t="shared" ref="J21:J84" ca="1" si="6">_xlfn.NORM.INV(RAND(),$K$11,$K$12)</f>
        <v>-1.8081631771694799</v>
      </c>
      <c r="K21" s="46">
        <f t="shared" ref="K21:K84" ca="1" si="7">_xlfn.NORM.INV(RAND(),$K$14+$K$16*($K$15/$K$12)*(J21-$K$11),SQRT((1-$K$16^2)*$K$12))</f>
        <v>2.1177803645972535</v>
      </c>
      <c r="L21" s="12">
        <f t="shared" ref="L21:L84" ca="1" si="8">J21*$M$12+$M$11</f>
        <v>1.257551046849156</v>
      </c>
      <c r="M21" s="12">
        <f t="shared" ref="M21:M84" ca="1" si="9">K21*$M$15+$M$14</f>
        <v>19.412231276090388</v>
      </c>
      <c r="N21" s="46">
        <f t="shared" ref="N21:N84" ca="1" si="10">IF(L21&lt;0,0,L21)</f>
        <v>1.257551046849156</v>
      </c>
      <c r="O21" s="12">
        <f t="shared" ref="O21:O84" ca="1" si="11">IF(M21&lt;0,0,M21)</f>
        <v>19.412231276090388</v>
      </c>
      <c r="P21" s="67">
        <f t="shared" ref="P21:P52" ca="1" si="12">N21-$O$11</f>
        <v>-0.52600175255766146</v>
      </c>
      <c r="Q21" s="46">
        <f t="shared" ref="Q21:Q84" ca="1" si="13">O21-$O$11</f>
        <v>17.628678476683572</v>
      </c>
      <c r="R21" s="46">
        <f t="shared" ref="R21:R84" ca="1" si="14">P21*Q21</f>
        <v>-9.2727157740110844</v>
      </c>
      <c r="S21" s="46">
        <f t="shared" ref="S21:S84" ca="1" si="15">P21^2</f>
        <v>0.27667784369373133</v>
      </c>
      <c r="T21" s="46">
        <f t="shared" ref="T21:T84" ca="1" si="16">(O21-V21)^2</f>
        <v>1.4008281724733422</v>
      </c>
      <c r="U21" s="46">
        <f t="shared" ref="U21:U84" ca="1" si="17">(O21-$O$14)^2</f>
        <v>49.537721315587845</v>
      </c>
      <c r="V21" s="46">
        <f t="shared" ca="1" si="1"/>
        <v>18.228665404466277</v>
      </c>
      <c r="W21" s="68">
        <f t="shared" ref="W21:W84" ca="1" si="18">V21-O21</f>
        <v>-1.1835658716241113</v>
      </c>
      <c r="X21" s="46"/>
      <c r="Y21" s="46"/>
      <c r="Z21" s="12"/>
      <c r="AA21" s="12"/>
      <c r="AB21" s="12"/>
      <c r="AC21" s="12"/>
      <c r="AD21" s="12"/>
      <c r="AE21" s="38"/>
      <c r="AF21" s="38"/>
      <c r="AG21" s="38"/>
      <c r="AH21" s="38"/>
      <c r="AI21" s="38"/>
      <c r="AJ21" s="38"/>
      <c r="AK21" s="38"/>
      <c r="AL21" s="23" t="s">
        <v>10</v>
      </c>
      <c r="AM21" s="19">
        <f ca="1">MIN(N20:N124)</f>
        <v>0.9461691042627095</v>
      </c>
      <c r="AN21" s="42" t="s">
        <v>0</v>
      </c>
      <c r="AO21" s="31">
        <f ca="1">MIN(N20:N124)</f>
        <v>0.9461691042627095</v>
      </c>
      <c r="AP21" s="14">
        <f ca="1">$AM$21+($AM$22-$AM$21)/20</f>
        <v>1.0167630281471984</v>
      </c>
      <c r="AQ21" s="14">
        <f t="shared" ref="AQ21:AY21" ca="1" si="19">AP21+($AM$22-$AM$21)/10</f>
        <v>1.1579508759161761</v>
      </c>
      <c r="AR21" s="14">
        <f t="shared" ca="1" si="19"/>
        <v>1.2991387236851537</v>
      </c>
      <c r="AS21" s="14">
        <f t="shared" ca="1" si="19"/>
        <v>1.4403265714541313</v>
      </c>
      <c r="AT21" s="14">
        <f t="shared" ca="1" si="19"/>
        <v>1.581514419223109</v>
      </c>
      <c r="AU21" s="14">
        <f t="shared" ca="1" si="19"/>
        <v>1.7227022669920866</v>
      </c>
      <c r="AV21" s="14">
        <f t="shared" ca="1" si="19"/>
        <v>1.8638901147610643</v>
      </c>
      <c r="AW21" s="14">
        <f t="shared" ca="1" si="19"/>
        <v>2.0050779625300419</v>
      </c>
      <c r="AX21" s="14">
        <f t="shared" ca="1" si="19"/>
        <v>2.1462658102990195</v>
      </c>
      <c r="AY21" s="14">
        <f t="shared" ca="1" si="19"/>
        <v>2.2874536580679972</v>
      </c>
      <c r="AZ21" s="21">
        <f ca="1">AM22</f>
        <v>2.3580475819524866</v>
      </c>
      <c r="BA21" s="38"/>
      <c r="BB21" s="39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</row>
    <row r="22" spans="1:137" s="9" customFormat="1" ht="15.75" thickBot="1" x14ac:dyDescent="0.3">
      <c r="A22" s="1"/>
      <c r="B22" s="37"/>
      <c r="C22" s="46">
        <f t="shared" ref="C22:C85" si="20">C21+0.25</f>
        <v>0.75</v>
      </c>
      <c r="D22" s="46">
        <f t="shared" ca="1" si="3"/>
        <v>0.14440180820716553</v>
      </c>
      <c r="E22" s="46">
        <f t="shared" ca="1" si="3"/>
        <v>0.7788286128439863</v>
      </c>
      <c r="F22" s="46">
        <f ca="1">AVERAGE(D20:D26)</f>
        <v>0.33998690555948008</v>
      </c>
      <c r="G22" s="46">
        <f ca="1">AVERAGE(E20:E26)</f>
        <v>0.52537580488936098</v>
      </c>
      <c r="H22" s="46">
        <f t="shared" ca="1" si="4"/>
        <v>0.17689497574349661</v>
      </c>
      <c r="I22" s="46">
        <f t="shared" ca="1" si="5"/>
        <v>0.63402172959687653</v>
      </c>
      <c r="J22" s="46">
        <f t="shared" ca="1" si="6"/>
        <v>0.34715137773695764</v>
      </c>
      <c r="K22" s="46">
        <f t="shared" ca="1" si="7"/>
        <v>0.50169308341614971</v>
      </c>
      <c r="L22" s="12">
        <f t="shared" ca="1" si="8"/>
        <v>1.9041454133210873</v>
      </c>
      <c r="M22" s="12">
        <f t="shared" ca="1" si="9"/>
        <v>13.755925791956525</v>
      </c>
      <c r="N22" s="46">
        <f t="shared" ca="1" si="10"/>
        <v>1.9041454133210873</v>
      </c>
      <c r="O22" s="12">
        <f t="shared" ca="1" si="11"/>
        <v>13.755925791956525</v>
      </c>
      <c r="P22" s="67">
        <f t="shared" ca="1" si="12"/>
        <v>0.1205926139142699</v>
      </c>
      <c r="Q22" s="46">
        <f t="shared" ca="1" si="13"/>
        <v>11.972372992549708</v>
      </c>
      <c r="R22" s="46">
        <f t="shared" ca="1" si="14"/>
        <v>1.4437797539281791</v>
      </c>
      <c r="S22" s="46">
        <f t="shared" ca="1" si="15"/>
        <v>1.4542578530676161E-2</v>
      </c>
      <c r="T22" s="46">
        <f t="shared" ca="1" si="16"/>
        <v>7.4216567203741342</v>
      </c>
      <c r="U22" s="46">
        <f t="shared" ca="1" si="17"/>
        <v>1.9099195285482551</v>
      </c>
      <c r="V22" s="46">
        <f t="shared" ca="1" si="1"/>
        <v>11.031654013962608</v>
      </c>
      <c r="W22" s="68">
        <f t="shared" ca="1" si="18"/>
        <v>-2.7242717779939163</v>
      </c>
      <c r="X22" s="46"/>
      <c r="Y22" s="46"/>
      <c r="Z22" s="12"/>
      <c r="AA22" s="12"/>
      <c r="AB22" s="12"/>
      <c r="AC22" s="12"/>
      <c r="AD22" s="12"/>
      <c r="AE22" s="38"/>
      <c r="AF22" s="38"/>
      <c r="AG22" s="38"/>
      <c r="AH22" s="38"/>
      <c r="AI22" s="38"/>
      <c r="AJ22" s="38"/>
      <c r="AK22" s="38"/>
      <c r="AL22" s="24" t="s">
        <v>11</v>
      </c>
      <c r="AM22" s="20">
        <f ca="1">MAX(N20:N124)</f>
        <v>2.3580475819524866</v>
      </c>
      <c r="AN22" s="42" t="s">
        <v>21</v>
      </c>
      <c r="AO22" s="32">
        <v>0</v>
      </c>
      <c r="AP22" s="17">
        <f ca="1">COUNTIF($N$20:$N$124,"&lt;"&amp;AP20)/COUNT($N$20:$N$124)</f>
        <v>9.5238095238095247E-3</v>
      </c>
      <c r="AQ22" s="17">
        <f ca="1">(COUNTIF($N$20:$N$124,"&lt;"&amp;AQ20)-AP22)/COUNT(N20:N124)</f>
        <v>1.8956916099773242E-2</v>
      </c>
      <c r="AR22" s="17">
        <f ca="1">(COUNTIF($N$20:$N$124,"&lt;"&amp;AR20)/COUNT($N$20:$N$124))-SUM($AP$22:AQ22)</f>
        <v>2.8662131519274374E-2</v>
      </c>
      <c r="AS22" s="17">
        <f ca="1">(COUNTIF($N$20:$N$124,"&lt;"&amp;AS20)/COUNT($N$20:$N$124))-SUM($AP$22:AR22)</f>
        <v>9.5238095238095261E-2</v>
      </c>
      <c r="AT22" s="17">
        <f ca="1">(COUNTIF($N$20:$N$124,"&lt;"&amp;AT20)/COUNT($N$20:$N$124))-SUM($AP$22:AS22)</f>
        <v>0.14285714285714285</v>
      </c>
      <c r="AU22" s="17">
        <f ca="1">(COUNTIF($N$20:$N$124,"&lt;"&amp;AU20)/COUNT($N$20:$N$124))-SUM($AP$22:AT22)</f>
        <v>0.18095238095238092</v>
      </c>
      <c r="AV22" s="17">
        <f ca="1">(COUNTIF($N$20:$N$124,"&lt;"&amp;AV20)/COUNT($N$20:$N$124))-SUM($AP$22:AU22)</f>
        <v>0.25714285714285712</v>
      </c>
      <c r="AW22" s="17">
        <f ca="1">(COUNTIF($N$20:$N$124,"&lt;"&amp;AW20)/COUNT($N$20:$N$124))-SUM($AP$22:AV22)</f>
        <v>0.13333333333333341</v>
      </c>
      <c r="AX22" s="17">
        <f ca="1">(COUNTIF($N$20:$N$124,"&lt;"&amp;AX20)/COUNT($N$20:$N$124))-SUM($AP$22:AW22)</f>
        <v>8.5714285714285632E-2</v>
      </c>
      <c r="AY22" s="17">
        <f ca="1">(COUNTIF($N$20:$N$124,"&lt;"&amp;AY20)/COUNT($N$20:$N$124))-SUM($AP$22:AX22)</f>
        <v>3.8095238095238182E-2</v>
      </c>
      <c r="AZ22" s="22">
        <v>0</v>
      </c>
      <c r="BA22" s="38"/>
      <c r="BB22" s="39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</row>
    <row r="23" spans="1:137" s="9" customFormat="1" ht="15.75" thickBot="1" x14ac:dyDescent="0.3">
      <c r="A23" s="1"/>
      <c r="B23" s="37"/>
      <c r="C23" s="46">
        <f t="shared" si="20"/>
        <v>1</v>
      </c>
      <c r="D23" s="46">
        <f t="shared" ca="1" si="3"/>
        <v>0.43062970503021647</v>
      </c>
      <c r="E23" s="46">
        <f t="shared" ca="1" si="3"/>
        <v>0.72677622832952415</v>
      </c>
      <c r="F23" s="46">
        <f ca="1">AVERAGE(D20:D27)</f>
        <v>0.39574724351628043</v>
      </c>
      <c r="G23" s="46">
        <f ca="1">AVERAGE(E20:E27)</f>
        <v>0.52027922132076687</v>
      </c>
      <c r="H23" s="46">
        <f t="shared" ca="1" si="4"/>
        <v>0.30041152207892136</v>
      </c>
      <c r="I23" s="46">
        <f t="shared" ca="1" si="5"/>
        <v>0.62319598119178909</v>
      </c>
      <c r="J23" s="46">
        <f t="shared" ca="1" si="6"/>
        <v>0.13403143493023453</v>
      </c>
      <c r="K23" s="46">
        <f t="shared" ca="1" si="7"/>
        <v>-0.10722518937262508</v>
      </c>
      <c r="L23" s="12">
        <f t="shared" ca="1" si="8"/>
        <v>1.8402094304790704</v>
      </c>
      <c r="M23" s="12">
        <f t="shared" ca="1" si="9"/>
        <v>11.624711837195813</v>
      </c>
      <c r="N23" s="46">
        <f t="shared" ca="1" si="10"/>
        <v>1.8402094304790704</v>
      </c>
      <c r="O23" s="12">
        <f t="shared" ca="1" si="11"/>
        <v>11.624711837195813</v>
      </c>
      <c r="P23" s="67">
        <f t="shared" ca="1" si="12"/>
        <v>5.6656631072252939E-2</v>
      </c>
      <c r="Q23" s="46">
        <f t="shared" ca="1" si="13"/>
        <v>9.8411590377889944</v>
      </c>
      <c r="R23" s="46">
        <f t="shared" ca="1" si="14"/>
        <v>0.55756691692737881</v>
      </c>
      <c r="S23" s="46">
        <f t="shared" ca="1" si="15"/>
        <v>3.2099738444573774E-3</v>
      </c>
      <c r="T23" s="46">
        <f t="shared" ca="1" si="16"/>
        <v>1.406378007743397E-2</v>
      </c>
      <c r="U23" s="46">
        <f t="shared" ca="1" si="17"/>
        <v>0.56132397408895551</v>
      </c>
      <c r="V23" s="46">
        <f t="shared" ca="1" si="1"/>
        <v>11.743302646609671</v>
      </c>
      <c r="W23" s="68">
        <f t="shared" ca="1" si="18"/>
        <v>0.11859080941385791</v>
      </c>
      <c r="X23" s="46"/>
      <c r="Y23" s="46"/>
      <c r="Z23" s="12"/>
      <c r="AA23" s="12"/>
      <c r="AB23" s="12"/>
      <c r="AC23" s="12"/>
      <c r="AD23" s="12"/>
      <c r="AE23" s="38"/>
      <c r="AF23" s="38"/>
      <c r="AG23" s="38"/>
      <c r="AH23" s="38"/>
      <c r="AI23" s="38"/>
      <c r="AJ23" s="38"/>
      <c r="AK23" s="38"/>
      <c r="AL23" s="38"/>
      <c r="AM23" s="38"/>
      <c r="AN23" s="42" t="s">
        <v>31</v>
      </c>
      <c r="AO23" s="25">
        <f>AO22</f>
        <v>0</v>
      </c>
      <c r="AP23" s="26">
        <f ca="1">AP22+AO23</f>
        <v>9.5238095238095247E-3</v>
      </c>
      <c r="AQ23" s="26">
        <f t="shared" ref="AQ23:AZ23" ca="1" si="21">AQ22+AP23</f>
        <v>2.8480725623582767E-2</v>
      </c>
      <c r="AR23" s="26">
        <f t="shared" ca="1" si="21"/>
        <v>5.7142857142857141E-2</v>
      </c>
      <c r="AS23" s="26">
        <f t="shared" ca="1" si="21"/>
        <v>0.15238095238095239</v>
      </c>
      <c r="AT23" s="26">
        <f t="shared" ca="1" si="21"/>
        <v>0.29523809523809524</v>
      </c>
      <c r="AU23" s="26">
        <f t="shared" ca="1" si="21"/>
        <v>0.47619047619047616</v>
      </c>
      <c r="AV23" s="26">
        <f t="shared" ca="1" si="21"/>
        <v>0.73333333333333328</v>
      </c>
      <c r="AW23" s="26">
        <f t="shared" ca="1" si="21"/>
        <v>0.8666666666666667</v>
      </c>
      <c r="AX23" s="26">
        <f t="shared" ca="1" si="21"/>
        <v>0.95238095238095233</v>
      </c>
      <c r="AY23" s="26">
        <f t="shared" ca="1" si="21"/>
        <v>0.99047619047619051</v>
      </c>
      <c r="AZ23" s="27">
        <f t="shared" ca="1" si="21"/>
        <v>0.99047619047619051</v>
      </c>
      <c r="BA23" s="38"/>
      <c r="BB23" s="39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</row>
    <row r="24" spans="1:137" s="9" customFormat="1" x14ac:dyDescent="0.25">
      <c r="A24" s="1"/>
      <c r="B24" s="37"/>
      <c r="C24" s="46">
        <f t="shared" si="20"/>
        <v>1.25</v>
      </c>
      <c r="D24" s="46">
        <f t="shared" ca="1" si="3"/>
        <v>0.4953565219011401</v>
      </c>
      <c r="E24" s="46">
        <f t="shared" ca="1" si="3"/>
        <v>9.7171130635178238E-2</v>
      </c>
      <c r="F24" s="46">
        <f ca="1">AVERAGE(D20:D28)</f>
        <v>0.38813829485515644</v>
      </c>
      <c r="G24" s="46">
        <f ca="1">AVERAGE(E20:E28)</f>
        <v>0.54494701581769978</v>
      </c>
      <c r="H24" s="46">
        <f t="shared" ca="1" si="4"/>
        <v>0.28355669131025363</v>
      </c>
      <c r="I24" s="46">
        <f t="shared" ca="1" si="5"/>
        <v>0.67559330448454935</v>
      </c>
      <c r="J24" s="46">
        <f t="shared" ca="1" si="6"/>
        <v>1.2720502386230478E-2</v>
      </c>
      <c r="K24" s="46">
        <f t="shared" ca="1" si="7"/>
        <v>-0.99282324145030154</v>
      </c>
      <c r="L24" s="12">
        <f t="shared" ca="1" si="8"/>
        <v>1.8038161507158692</v>
      </c>
      <c r="M24" s="12">
        <f t="shared" ca="1" si="9"/>
        <v>8.5251186549239435</v>
      </c>
      <c r="N24" s="46">
        <f t="shared" ca="1" si="10"/>
        <v>1.8038161507158692</v>
      </c>
      <c r="O24" s="12">
        <f t="shared" ca="1" si="11"/>
        <v>8.5251186549239435</v>
      </c>
      <c r="P24" s="67">
        <f t="shared" ca="1" si="12"/>
        <v>2.0263351309051769E-2</v>
      </c>
      <c r="Q24" s="46">
        <f t="shared" ca="1" si="13"/>
        <v>6.7415658555171261</v>
      </c>
      <c r="R24" s="46">
        <f t="shared" ca="1" si="14"/>
        <v>0.13660671730345167</v>
      </c>
      <c r="S24" s="46">
        <f t="shared" ca="1" si="15"/>
        <v>4.1060340627405005E-4</v>
      </c>
      <c r="T24" s="46">
        <f t="shared" ca="1" si="16"/>
        <v>13.128046470216924</v>
      </c>
      <c r="U24" s="46">
        <f t="shared" ca="1" si="17"/>
        <v>14.813328830872557</v>
      </c>
      <c r="V24" s="46">
        <f t="shared" ca="1" si="1"/>
        <v>12.148383269910948</v>
      </c>
      <c r="W24" s="68">
        <f t="shared" ca="1" si="18"/>
        <v>3.6232646149870043</v>
      </c>
      <c r="X24" s="46"/>
      <c r="Y24" s="46"/>
      <c r="Z24" s="12"/>
      <c r="AA24" s="12"/>
      <c r="AB24" s="12"/>
      <c r="AC24" s="12"/>
      <c r="AD24" s="12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47"/>
      <c r="AX24" s="38"/>
      <c r="AY24" s="38"/>
      <c r="AZ24" s="38"/>
      <c r="BA24" s="38"/>
      <c r="BB24" s="39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</row>
    <row r="25" spans="1:137" s="9" customFormat="1" x14ac:dyDescent="0.25">
      <c r="A25" s="1"/>
      <c r="B25" s="37"/>
      <c r="C25" s="46">
        <f t="shared" si="20"/>
        <v>1.5</v>
      </c>
      <c r="D25" s="46">
        <f t="shared" ca="1" si="3"/>
        <v>0.1775128231826627</v>
      </c>
      <c r="E25" s="46">
        <f t="shared" ca="1" si="3"/>
        <v>0.69675919898201444</v>
      </c>
      <c r="F25" s="46">
        <f t="shared" ref="F25:G25" ca="1" si="22">AVERAGE(D21:D29)</f>
        <v>0.45317216529691567</v>
      </c>
      <c r="G25" s="46">
        <f t="shared" ca="1" si="22"/>
        <v>0.5525644289694992</v>
      </c>
      <c r="H25" s="46">
        <f t="shared" ca="1" si="4"/>
        <v>0.42761534242558313</v>
      </c>
      <c r="I25" s="46">
        <f t="shared" ca="1" si="5"/>
        <v>0.69177359411761674</v>
      </c>
      <c r="J25" s="46">
        <f t="shared" ca="1" si="6"/>
        <v>-1.383874943264533</v>
      </c>
      <c r="K25" s="46">
        <f t="shared" ca="1" si="7"/>
        <v>1.202070172440568</v>
      </c>
      <c r="L25" s="12">
        <f t="shared" ca="1" si="8"/>
        <v>1.3848375170206402</v>
      </c>
      <c r="M25" s="12">
        <f t="shared" ca="1" si="9"/>
        <v>16.207245603541988</v>
      </c>
      <c r="N25" s="46">
        <f t="shared" ca="1" si="10"/>
        <v>1.3848375170206402</v>
      </c>
      <c r="O25" s="12">
        <f t="shared" ca="1" si="11"/>
        <v>16.207245603541988</v>
      </c>
      <c r="P25" s="67">
        <f t="shared" ca="1" si="12"/>
        <v>-0.39871528238617726</v>
      </c>
      <c r="Q25" s="46">
        <f t="shared" ca="1" si="13"/>
        <v>14.423692804135172</v>
      </c>
      <c r="R25" s="46">
        <f t="shared" ca="1" si="14"/>
        <v>-5.7509467494522282</v>
      </c>
      <c r="S25" s="46">
        <f t="shared" ca="1" si="15"/>
        <v>0.15897387640828908</v>
      </c>
      <c r="T25" s="46">
        <f t="shared" ca="1" si="16"/>
        <v>0.36558889770144043</v>
      </c>
      <c r="U25" s="46">
        <f t="shared" ca="1" si="17"/>
        <v>14.694328375208393</v>
      </c>
      <c r="V25" s="46">
        <f t="shared" ca="1" si="1"/>
        <v>16.811885081000614</v>
      </c>
      <c r="W25" s="68">
        <f t="shared" ca="1" si="18"/>
        <v>0.60463947745862612</v>
      </c>
      <c r="X25" s="46"/>
      <c r="Y25" s="46"/>
      <c r="Z25" s="12"/>
      <c r="AA25" s="12"/>
      <c r="AB25" s="12"/>
      <c r="AC25" s="12"/>
      <c r="AD25" s="12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9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</row>
    <row r="26" spans="1:137" s="9" customFormat="1" x14ac:dyDescent="0.25">
      <c r="A26" s="1"/>
      <c r="B26" s="37"/>
      <c r="C26" s="46">
        <f t="shared" si="20"/>
        <v>1.75</v>
      </c>
      <c r="D26" s="46">
        <f t="shared" ca="1" si="3"/>
        <v>0.81913195565816999</v>
      </c>
      <c r="E26" s="46">
        <f t="shared" ca="1" si="3"/>
        <v>0.72697196141588583</v>
      </c>
      <c r="F26" s="46">
        <f t="shared" ref="F26:G26" ca="1" si="23">AVERAGE(D22:D30)</f>
        <v>0.51758513576826359</v>
      </c>
      <c r="G26" s="46">
        <f t="shared" ca="1" si="23"/>
        <v>0.52919832952370871</v>
      </c>
      <c r="H26" s="46">
        <f t="shared" ca="1" si="4"/>
        <v>0.57029861773123958</v>
      </c>
      <c r="I26" s="46">
        <f t="shared" ca="1" si="5"/>
        <v>0.64214122560959719</v>
      </c>
      <c r="J26" s="46">
        <f t="shared" ca="1" si="6"/>
        <v>-3.5554899422819759E-2</v>
      </c>
      <c r="K26" s="46">
        <f t="shared" ca="1" si="7"/>
        <v>0.40860703855516606</v>
      </c>
      <c r="L26" s="12">
        <f t="shared" ca="1" si="8"/>
        <v>1.7893335301731541</v>
      </c>
      <c r="M26" s="12">
        <f t="shared" ca="1" si="9"/>
        <v>13.430124634943081</v>
      </c>
      <c r="N26" s="46">
        <f t="shared" ca="1" si="10"/>
        <v>1.7893335301731541</v>
      </c>
      <c r="O26" s="12">
        <f t="shared" ca="1" si="11"/>
        <v>13.430124634943081</v>
      </c>
      <c r="P26" s="67">
        <f t="shared" ca="1" si="12"/>
        <v>5.7807307663366725E-3</v>
      </c>
      <c r="Q26" s="46">
        <f t="shared" ca="1" si="13"/>
        <v>11.646571835536264</v>
      </c>
      <c r="R26" s="46">
        <f t="shared" ca="1" si="14"/>
        <v>6.7325696132034651E-2</v>
      </c>
      <c r="S26" s="46">
        <f t="shared" ca="1" si="15"/>
        <v>3.3416848192871374E-5</v>
      </c>
      <c r="T26" s="46">
        <f t="shared" ca="1" si="16"/>
        <v>1.2556109642748183</v>
      </c>
      <c r="U26" s="46">
        <f t="shared" ca="1" si="17"/>
        <v>1.1155525786024727</v>
      </c>
      <c r="V26" s="46">
        <f t="shared" ca="1" si="1"/>
        <v>12.30958415630127</v>
      </c>
      <c r="W26" s="68">
        <f t="shared" ca="1" si="18"/>
        <v>-1.1205404786418107</v>
      </c>
      <c r="X26" s="46"/>
      <c r="Y26" s="46"/>
      <c r="Z26" s="12"/>
      <c r="AA26" s="12"/>
      <c r="AB26" s="12"/>
      <c r="AC26" s="12"/>
      <c r="AD26" s="12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9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</row>
    <row r="27" spans="1:137" s="9" customFormat="1" x14ac:dyDescent="0.25">
      <c r="A27" s="1"/>
      <c r="B27" s="37"/>
      <c r="C27" s="46">
        <f t="shared" si="20"/>
        <v>2</v>
      </c>
      <c r="D27" s="46">
        <f t="shared" ca="1" si="3"/>
        <v>0.78606960921388291</v>
      </c>
      <c r="E27" s="46">
        <f t="shared" ca="1" si="3"/>
        <v>0.48460313634060814</v>
      </c>
      <c r="F27" s="46">
        <f t="shared" ref="F27:G27" ca="1" si="24">AVERAGE(D23:D31)</f>
        <v>0.54003377485055981</v>
      </c>
      <c r="G27" s="46">
        <f t="shared" ca="1" si="24"/>
        <v>0.51758754924293859</v>
      </c>
      <c r="H27" s="46">
        <f t="shared" ca="1" si="4"/>
        <v>0.62002533157439899</v>
      </c>
      <c r="I27" s="46">
        <f t="shared" ca="1" si="5"/>
        <v>0.61747855022820619</v>
      </c>
      <c r="J27" s="46">
        <f t="shared" ca="1" si="6"/>
        <v>-0.1366283965446658</v>
      </c>
      <c r="K27" s="46">
        <f t="shared" ca="1" si="7"/>
        <v>0.96206651794259856</v>
      </c>
      <c r="L27" s="12">
        <f t="shared" ca="1" si="8"/>
        <v>1.7590114810366002</v>
      </c>
      <c r="M27" s="12">
        <f t="shared" ca="1" si="9"/>
        <v>15.367232812799095</v>
      </c>
      <c r="N27" s="46">
        <f t="shared" ca="1" si="10"/>
        <v>1.7590114810366002</v>
      </c>
      <c r="O27" s="12">
        <f t="shared" ca="1" si="11"/>
        <v>15.367232812799095</v>
      </c>
      <c r="P27" s="67">
        <f t="shared" ca="1" si="12"/>
        <v>-2.4541318370217224E-2</v>
      </c>
      <c r="Q27" s="46">
        <f t="shared" ca="1" si="13"/>
        <v>13.583680013392279</v>
      </c>
      <c r="R27" s="46">
        <f t="shared" ca="1" si="14"/>
        <v>-0.33336141584781648</v>
      </c>
      <c r="S27" s="46">
        <f t="shared" ca="1" si="15"/>
        <v>6.0227630734836139E-4</v>
      </c>
      <c r="T27" s="46">
        <f t="shared" ca="1" si="16"/>
        <v>7.3991873901471878</v>
      </c>
      <c r="U27" s="46">
        <f t="shared" ca="1" si="17"/>
        <v>8.9598772361975527</v>
      </c>
      <c r="V27" s="46">
        <f t="shared" ca="1" si="1"/>
        <v>12.647088075814096</v>
      </c>
      <c r="W27" s="68">
        <f t="shared" ca="1" si="18"/>
        <v>-2.7201447369849987</v>
      </c>
      <c r="X27" s="46"/>
      <c r="Y27" s="46"/>
      <c r="Z27" s="12"/>
      <c r="AA27" s="12"/>
      <c r="AB27" s="12"/>
      <c r="AC27" s="12"/>
      <c r="AD27" s="12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9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</row>
    <row r="28" spans="1:137" s="9" customFormat="1" x14ac:dyDescent="0.25">
      <c r="A28" s="1"/>
      <c r="B28" s="37"/>
      <c r="C28" s="46">
        <f t="shared" si="20"/>
        <v>2.25</v>
      </c>
      <c r="D28" s="46">
        <f t="shared" ca="1" si="3"/>
        <v>0.32726670556616466</v>
      </c>
      <c r="E28" s="46">
        <f t="shared" ca="1" si="3"/>
        <v>0.7422893717931629</v>
      </c>
      <c r="F28" s="46">
        <f t="shared" ref="F28:G28" ca="1" si="25">AVERAGE(D24:D32)</f>
        <v>0.55709384983559274</v>
      </c>
      <c r="G28" s="46">
        <f t="shared" ca="1" si="25"/>
        <v>0.50195197715614737</v>
      </c>
      <c r="H28" s="46">
        <f t="shared" ca="1" si="4"/>
        <v>0.65781566103773847</v>
      </c>
      <c r="I28" s="46">
        <f t="shared" ca="1" si="5"/>
        <v>0.58426673935469176</v>
      </c>
      <c r="J28" s="46">
        <f t="shared" ca="1" si="6"/>
        <v>0.65333344386109571</v>
      </c>
      <c r="K28" s="46">
        <f t="shared" ca="1" si="7"/>
        <v>-1.1592669649518821</v>
      </c>
      <c r="L28" s="12">
        <f t="shared" ca="1" si="8"/>
        <v>1.9960000331583287</v>
      </c>
      <c r="M28" s="12">
        <f t="shared" ca="1" si="9"/>
        <v>7.9425656226684129</v>
      </c>
      <c r="N28" s="46">
        <f t="shared" ca="1" si="10"/>
        <v>1.9960000331583287</v>
      </c>
      <c r="O28" s="12">
        <f t="shared" ca="1" si="11"/>
        <v>7.9425656226684129</v>
      </c>
      <c r="P28" s="67">
        <f t="shared" ca="1" si="12"/>
        <v>0.21244723375151131</v>
      </c>
      <c r="Q28" s="46">
        <f t="shared" ca="1" si="13"/>
        <v>6.1590128232615955</v>
      </c>
      <c r="R28" s="46">
        <f t="shared" ca="1" si="14"/>
        <v>1.3084652369420118</v>
      </c>
      <c r="S28" s="46">
        <f t="shared" ca="1" si="15"/>
        <v>4.5133827128669285E-2</v>
      </c>
      <c r="T28" s="46">
        <f t="shared" ca="1" si="16"/>
        <v>4.2711966559436085</v>
      </c>
      <c r="U28" s="46">
        <f t="shared" ca="1" si="17"/>
        <v>19.636967287600324</v>
      </c>
      <c r="V28" s="46">
        <f t="shared" ca="1" si="1"/>
        <v>10.009252985561893</v>
      </c>
      <c r="W28" s="68">
        <f t="shared" ca="1" si="18"/>
        <v>2.0666873628934805</v>
      </c>
      <c r="X28" s="46"/>
      <c r="Y28" s="46"/>
      <c r="Z28" s="12"/>
      <c r="AA28" s="12"/>
      <c r="AB28" s="12"/>
      <c r="AC28" s="12"/>
      <c r="AD28" s="12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9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</row>
    <row r="29" spans="1:137" s="9" customFormat="1" x14ac:dyDescent="0.25">
      <c r="A29" s="1"/>
      <c r="B29" s="37"/>
      <c r="C29" s="46">
        <f t="shared" si="20"/>
        <v>2.5</v>
      </c>
      <c r="D29" s="46">
        <f t="shared" ca="1" si="3"/>
        <v>0.61590463434298892</v>
      </c>
      <c r="E29" s="46">
        <f t="shared" ca="1" si="3"/>
        <v>0.30459727664652181</v>
      </c>
      <c r="F29" s="46">
        <f t="shared" ref="F29:G29" ca="1" si="26">AVERAGE(D25:D33)</f>
        <v>0.50894988980472211</v>
      </c>
      <c r="G29" s="46">
        <f t="shared" ca="1" si="26"/>
        <v>0.52547449885709863</v>
      </c>
      <c r="H29" s="46">
        <f t="shared" ca="1" si="4"/>
        <v>0.5511704022781716</v>
      </c>
      <c r="I29" s="46">
        <f t="shared" ca="1" si="5"/>
        <v>0.6342313672981813</v>
      </c>
      <c r="J29" s="46">
        <f t="shared" ca="1" si="6"/>
        <v>1.4896644067745028</v>
      </c>
      <c r="K29" s="46">
        <f t="shared" ca="1" si="7"/>
        <v>-2.4633292533430788</v>
      </c>
      <c r="L29" s="12">
        <f t="shared" ca="1" si="8"/>
        <v>2.246899322032351</v>
      </c>
      <c r="M29" s="12">
        <f t="shared" ca="1" si="9"/>
        <v>3.3783476132992245</v>
      </c>
      <c r="N29" s="46">
        <f t="shared" ca="1" si="10"/>
        <v>2.246899322032351</v>
      </c>
      <c r="O29" s="12">
        <f t="shared" ca="1" si="11"/>
        <v>3.3783476132992245</v>
      </c>
      <c r="P29" s="67">
        <f t="shared" ca="1" si="12"/>
        <v>0.46334652262553355</v>
      </c>
      <c r="Q29" s="46">
        <f t="shared" ca="1" si="13"/>
        <v>1.5947948138924071</v>
      </c>
      <c r="R29" s="46">
        <f t="shared" ca="1" si="14"/>
        <v>0.73894263131828175</v>
      </c>
      <c r="S29" s="46">
        <f t="shared" ca="1" si="15"/>
        <v>0.21469000002917407</v>
      </c>
      <c r="T29" s="46">
        <f t="shared" ca="1" si="16"/>
        <v>14.732046611929343</v>
      </c>
      <c r="U29" s="46">
        <f t="shared" ca="1" si="17"/>
        <v>80.920455873487995</v>
      </c>
      <c r="V29" s="46">
        <f t="shared" ca="1" si="1"/>
        <v>7.2165824435212294</v>
      </c>
      <c r="W29" s="68">
        <f t="shared" ca="1" si="18"/>
        <v>3.8382348302220048</v>
      </c>
      <c r="X29" s="46"/>
      <c r="Y29" s="46"/>
      <c r="Z29" s="12"/>
      <c r="AA29" s="12"/>
      <c r="AB29" s="12"/>
      <c r="AC29" s="12"/>
      <c r="AD29" s="12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9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</row>
    <row r="30" spans="1:137" s="9" customFormat="1" x14ac:dyDescent="0.25">
      <c r="A30" s="1"/>
      <c r="B30" s="37"/>
      <c r="C30" s="46">
        <f t="shared" si="20"/>
        <v>2.75</v>
      </c>
      <c r="D30" s="46">
        <f t="shared" ca="1" si="3"/>
        <v>0.86199245881198172</v>
      </c>
      <c r="E30" s="46">
        <f t="shared" ca="1" si="3"/>
        <v>0.20478804872649659</v>
      </c>
      <c r="F30" s="46">
        <f t="shared" ref="F30:G30" ca="1" si="27">AVERAGE(D26:D34)</f>
        <v>0.59581254461350164</v>
      </c>
      <c r="G30" s="46">
        <f t="shared" ca="1" si="27"/>
        <v>0.48762945661315577</v>
      </c>
      <c r="H30" s="46">
        <f t="shared" ca="1" si="4"/>
        <v>0.74358270680578709</v>
      </c>
      <c r="I30" s="46">
        <f t="shared" ca="1" si="5"/>
        <v>0.55384400580420579</v>
      </c>
      <c r="J30" s="46">
        <f t="shared" ca="1" si="6"/>
        <v>0.58866780502684712</v>
      </c>
      <c r="K30" s="46">
        <f t="shared" ca="1" si="7"/>
        <v>-0.49064291594177772</v>
      </c>
      <c r="L30" s="12">
        <f t="shared" ca="1" si="8"/>
        <v>1.9766003415080542</v>
      </c>
      <c r="M30" s="12">
        <f t="shared" ca="1" si="9"/>
        <v>10.282749794203777</v>
      </c>
      <c r="N30" s="46">
        <f t="shared" ca="1" si="10"/>
        <v>1.9766003415080542</v>
      </c>
      <c r="O30" s="12">
        <f t="shared" ca="1" si="11"/>
        <v>10.282749794203777</v>
      </c>
      <c r="P30" s="67">
        <f t="shared" ca="1" si="12"/>
        <v>0.19304754210123676</v>
      </c>
      <c r="Q30" s="46">
        <f t="shared" ca="1" si="13"/>
        <v>8.4991969947969608</v>
      </c>
      <c r="R30" s="46">
        <f t="shared" ca="1" si="14"/>
        <v>1.6407490896797712</v>
      </c>
      <c r="S30" s="46">
        <f t="shared" ca="1" si="15"/>
        <v>3.7267353511328781E-2</v>
      </c>
      <c r="T30" s="46">
        <f t="shared" ca="1" si="16"/>
        <v>3.3138163360205406E-3</v>
      </c>
      <c r="U30" s="46">
        <f t="shared" ca="1" si="17"/>
        <v>4.3730238195697124</v>
      </c>
      <c r="V30" s="46">
        <f t="shared" ca="1" si="1"/>
        <v>10.225184037576938</v>
      </c>
      <c r="W30" s="68">
        <f t="shared" ca="1" si="18"/>
        <v>-5.7565756626839715E-2</v>
      </c>
      <c r="X30" s="46"/>
      <c r="Y30" s="46"/>
      <c r="Z30" s="12"/>
      <c r="AA30" s="12"/>
      <c r="AB30" s="12"/>
      <c r="AC30" s="12"/>
      <c r="AD30" s="12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9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</row>
    <row r="31" spans="1:137" s="9" customFormat="1" x14ac:dyDescent="0.25">
      <c r="A31" s="1"/>
      <c r="B31" s="37"/>
      <c r="C31" s="46">
        <f t="shared" si="20"/>
        <v>3</v>
      </c>
      <c r="D31" s="46">
        <f t="shared" ca="1" si="3"/>
        <v>0.3464395599478316</v>
      </c>
      <c r="E31" s="46">
        <f t="shared" ca="1" si="3"/>
        <v>0.67433159031705536</v>
      </c>
      <c r="F31" s="46">
        <f t="shared" ref="F31:G31" ca="1" si="28">AVERAGE(D27:D35)</f>
        <v>0.60518524502635729</v>
      </c>
      <c r="G31" s="46">
        <f t="shared" ca="1" si="28"/>
        <v>0.42144189125679588</v>
      </c>
      <c r="H31" s="46">
        <f t="shared" ca="1" si="4"/>
        <v>0.76434448170265812</v>
      </c>
      <c r="I31" s="46">
        <f t="shared" ca="1" si="5"/>
        <v>0.41325376129049013</v>
      </c>
      <c r="J31" s="46">
        <f t="shared" ca="1" si="6"/>
        <v>0.24218743583938285</v>
      </c>
      <c r="K31" s="46">
        <f t="shared" ca="1" si="7"/>
        <v>-0.45841047711849137</v>
      </c>
      <c r="L31" s="12">
        <f t="shared" ca="1" si="8"/>
        <v>1.8726562307518149</v>
      </c>
      <c r="M31" s="12">
        <f t="shared" ca="1" si="9"/>
        <v>10.395563330085281</v>
      </c>
      <c r="N31" s="46">
        <f t="shared" ca="1" si="10"/>
        <v>1.8726562307518149</v>
      </c>
      <c r="O31" s="12">
        <f t="shared" ca="1" si="11"/>
        <v>10.395563330085281</v>
      </c>
      <c r="P31" s="67">
        <f t="shared" ca="1" si="12"/>
        <v>8.910343134499743E-2</v>
      </c>
      <c r="Q31" s="46">
        <f t="shared" ca="1" si="13"/>
        <v>8.6120105306784644</v>
      </c>
      <c r="R31" s="46">
        <f t="shared" ca="1" si="14"/>
        <v>0.76735968906270347</v>
      </c>
      <c r="S31" s="46">
        <f t="shared" ca="1" si="15"/>
        <v>7.9394214774526697E-3</v>
      </c>
      <c r="T31" s="46">
        <f t="shared" ca="1" si="16"/>
        <v>0.97335104660351113</v>
      </c>
      <c r="U31" s="46">
        <f t="shared" ca="1" si="17"/>
        <v>3.9139244315261088</v>
      </c>
      <c r="V31" s="46">
        <f t="shared" ca="1" si="1"/>
        <v>11.382148879646753</v>
      </c>
      <c r="W31" s="68">
        <f t="shared" ca="1" si="18"/>
        <v>0.98658554956147171</v>
      </c>
      <c r="X31" s="46"/>
      <c r="Y31" s="46"/>
      <c r="Z31" s="12"/>
      <c r="AA31" s="12"/>
      <c r="AB31" s="12"/>
      <c r="AC31" s="12"/>
      <c r="AD31" s="12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9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</row>
    <row r="32" spans="1:137" s="9" customFormat="1" x14ac:dyDescent="0.25">
      <c r="A32" s="1"/>
      <c r="B32" s="37"/>
      <c r="C32" s="46">
        <f t="shared" si="20"/>
        <v>3.25</v>
      </c>
      <c r="D32" s="46">
        <f t="shared" ca="1" si="3"/>
        <v>0.58417037989551279</v>
      </c>
      <c r="E32" s="46">
        <f t="shared" ca="1" si="3"/>
        <v>0.58605607954840255</v>
      </c>
      <c r="F32" s="46">
        <f t="shared" ref="F32:G32" ca="1" si="29">AVERAGE(D28:D36)</f>
        <v>0.62691270027620771</v>
      </c>
      <c r="G32" s="46">
        <f t="shared" ca="1" si="29"/>
        <v>0.47856753891133486</v>
      </c>
      <c r="H32" s="46">
        <f t="shared" ca="1" si="4"/>
        <v>0.8124736776770114</v>
      </c>
      <c r="I32" s="46">
        <f t="shared" ca="1" si="5"/>
        <v>0.53459541706094649</v>
      </c>
      <c r="J32" s="46">
        <f t="shared" ca="1" si="6"/>
        <v>0.24928706765522243</v>
      </c>
      <c r="K32" s="46">
        <f t="shared" ca="1" si="7"/>
        <v>0.89474376993967453</v>
      </c>
      <c r="L32" s="12">
        <f t="shared" ca="1" si="8"/>
        <v>1.8747861202965668</v>
      </c>
      <c r="M32" s="12">
        <f t="shared" ca="1" si="9"/>
        <v>15.131603194788861</v>
      </c>
      <c r="N32" s="46">
        <f t="shared" ca="1" si="10"/>
        <v>1.8747861202965668</v>
      </c>
      <c r="O32" s="12">
        <f t="shared" ca="1" si="11"/>
        <v>15.131603194788861</v>
      </c>
      <c r="P32" s="67">
        <f t="shared" ca="1" si="12"/>
        <v>9.1233320889749336E-2</v>
      </c>
      <c r="Q32" s="46">
        <f t="shared" ca="1" si="13"/>
        <v>13.348050395382042</v>
      </c>
      <c r="R32" s="46">
        <f t="shared" ca="1" si="14"/>
        <v>1.2177869649744353</v>
      </c>
      <c r="S32" s="46">
        <f t="shared" ca="1" si="15"/>
        <v>8.3235188405719734E-3</v>
      </c>
      <c r="T32" s="46">
        <f t="shared" ca="1" si="16"/>
        <v>14.236746621325523</v>
      </c>
      <c r="U32" s="46">
        <f t="shared" ca="1" si="17"/>
        <v>7.6047757356427237</v>
      </c>
      <c r="V32" s="46">
        <f t="shared" ca="1" si="1"/>
        <v>11.358441838402744</v>
      </c>
      <c r="W32" s="68">
        <f t="shared" ca="1" si="18"/>
        <v>-3.773161356386117</v>
      </c>
      <c r="X32" s="46"/>
      <c r="Y32" s="46"/>
      <c r="Z32" s="12"/>
      <c r="AA32" s="12"/>
      <c r="AB32" s="12"/>
      <c r="AC32" s="12"/>
      <c r="AD32" s="12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9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</row>
    <row r="33" spans="1:137" s="9" customFormat="1" x14ac:dyDescent="0.25">
      <c r="A33" s="1"/>
      <c r="B33" s="37"/>
      <c r="C33" s="46">
        <f t="shared" si="20"/>
        <v>3.5</v>
      </c>
      <c r="D33" s="46">
        <f t="shared" ca="1" si="3"/>
        <v>6.2060881623303699E-2</v>
      </c>
      <c r="E33" s="46">
        <f t="shared" ca="1" si="3"/>
        <v>0.30887382594374013</v>
      </c>
      <c r="F33" s="46">
        <f t="shared" ref="F33:G33" ca="1" si="30">AVERAGE(D29:D37)</f>
        <v>0.62172212012314609</v>
      </c>
      <c r="G33" s="46">
        <f t="shared" ca="1" si="30"/>
        <v>0.5070169191690701</v>
      </c>
      <c r="H33" s="46">
        <f t="shared" ca="1" si="4"/>
        <v>0.80097585400025983</v>
      </c>
      <c r="I33" s="46">
        <f t="shared" ca="1" si="5"/>
        <v>0.59502527734004718</v>
      </c>
      <c r="J33" s="46">
        <f t="shared" ca="1" si="6"/>
        <v>0.56671450158794379</v>
      </c>
      <c r="K33" s="46">
        <f t="shared" ca="1" si="7"/>
        <v>-1.2437824986224486</v>
      </c>
      <c r="L33" s="12">
        <f t="shared" ca="1" si="8"/>
        <v>1.9700143504763832</v>
      </c>
      <c r="M33" s="12">
        <f t="shared" ca="1" si="9"/>
        <v>7.6467612548214294</v>
      </c>
      <c r="N33" s="46">
        <f t="shared" ca="1" si="10"/>
        <v>1.9700143504763832</v>
      </c>
      <c r="O33" s="12">
        <f t="shared" ca="1" si="11"/>
        <v>7.6467612548214294</v>
      </c>
      <c r="P33" s="67">
        <f t="shared" ca="1" si="12"/>
        <v>0.18646155106956575</v>
      </c>
      <c r="Q33" s="46">
        <f t="shared" ca="1" si="13"/>
        <v>5.863208455414612</v>
      </c>
      <c r="R33" s="46">
        <f t="shared" ca="1" si="14"/>
        <v>1.0932629428408014</v>
      </c>
      <c r="S33" s="46">
        <f t="shared" ca="1" si="15"/>
        <v>3.4767910027268277E-2</v>
      </c>
      <c r="T33" s="46">
        <f t="shared" ca="1" si="16"/>
        <v>7.031667225656248</v>
      </c>
      <c r="U33" s="46">
        <f t="shared" ca="1" si="17"/>
        <v>22.346099855868431</v>
      </c>
      <c r="V33" s="46">
        <f t="shared" ca="1" si="1"/>
        <v>10.298490355928148</v>
      </c>
      <c r="W33" s="68">
        <f t="shared" ca="1" si="18"/>
        <v>2.651729101106719</v>
      </c>
      <c r="X33" s="46"/>
      <c r="Y33" s="46"/>
      <c r="Z33" s="12"/>
      <c r="AA33" s="12"/>
      <c r="AB33" s="12"/>
      <c r="AC33" s="12"/>
      <c r="AD33" s="12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9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</row>
    <row r="34" spans="1:137" s="9" customFormat="1" x14ac:dyDescent="0.25">
      <c r="A34" s="1"/>
      <c r="B34" s="37"/>
      <c r="C34" s="46">
        <f t="shared" si="20"/>
        <v>3.75</v>
      </c>
      <c r="D34" s="46">
        <f t="shared" ca="1" si="3"/>
        <v>0.95927671646167845</v>
      </c>
      <c r="E34" s="46">
        <f t="shared" ca="1" si="3"/>
        <v>0.3561538187865283</v>
      </c>
      <c r="F34" s="46">
        <f t="shared" ref="F34:G34" ca="1" si="31">AVERAGE(D30:D38)</f>
        <v>0.61835887017580893</v>
      </c>
      <c r="G34" s="46">
        <f t="shared" ca="1" si="31"/>
        <v>0.5647223174083531</v>
      </c>
      <c r="H34" s="46">
        <f t="shared" ca="1" si="4"/>
        <v>0.7935258091623012</v>
      </c>
      <c r="I34" s="46">
        <f t="shared" ca="1" si="5"/>
        <v>0.71759839216217425</v>
      </c>
      <c r="J34" s="46">
        <f t="shared" ca="1" si="6"/>
        <v>-0.89867893217954598</v>
      </c>
      <c r="K34" s="46">
        <f t="shared" ca="1" si="7"/>
        <v>0.41731945651870134</v>
      </c>
      <c r="L34" s="12">
        <f t="shared" ca="1" si="8"/>
        <v>1.5303963203461364</v>
      </c>
      <c r="M34" s="12">
        <f t="shared" ca="1" si="9"/>
        <v>13.460618097815455</v>
      </c>
      <c r="N34" s="46">
        <f t="shared" ca="1" si="10"/>
        <v>1.5303963203461364</v>
      </c>
      <c r="O34" s="12">
        <f t="shared" ca="1" si="11"/>
        <v>13.460618097815455</v>
      </c>
      <c r="P34" s="67">
        <f t="shared" ca="1" si="12"/>
        <v>-0.25315647906068106</v>
      </c>
      <c r="Q34" s="46">
        <f t="shared" ca="1" si="13"/>
        <v>11.677065298408639</v>
      </c>
      <c r="R34" s="46">
        <f t="shared" ca="1" si="14"/>
        <v>-2.956124736706792</v>
      </c>
      <c r="S34" s="46">
        <f t="shared" ca="1" si="15"/>
        <v>6.4088202890401055E-2</v>
      </c>
      <c r="T34" s="46">
        <f t="shared" ca="1" si="16"/>
        <v>2.9967204814490049</v>
      </c>
      <c r="U34" s="46">
        <f t="shared" ca="1" si="17"/>
        <v>1.1808966516278809</v>
      </c>
      <c r="V34" s="46">
        <f t="shared" ca="1" si="1"/>
        <v>15.191721931052793</v>
      </c>
      <c r="W34" s="68">
        <f t="shared" ca="1" si="18"/>
        <v>1.7311038332373379</v>
      </c>
      <c r="X34" s="46"/>
      <c r="Y34" s="46"/>
      <c r="Z34" s="12"/>
      <c r="AA34" s="12"/>
      <c r="AB34" s="12"/>
      <c r="AC34" s="12"/>
      <c r="AD34" s="12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</row>
    <row r="35" spans="1:137" s="9" customFormat="1" x14ac:dyDescent="0.25">
      <c r="A35" s="1"/>
      <c r="B35" s="37"/>
      <c r="C35" s="46">
        <f t="shared" si="20"/>
        <v>4</v>
      </c>
      <c r="D35" s="46">
        <f t="shared" ca="1" si="3"/>
        <v>0.90348625937387073</v>
      </c>
      <c r="E35" s="46">
        <f t="shared" ca="1" si="3"/>
        <v>0.13128387320864709</v>
      </c>
      <c r="F35" s="46">
        <f t="shared" ref="F35:G35" ca="1" si="32">AVERAGE(D31:D39)</f>
        <v>0.55301172226251583</v>
      </c>
      <c r="G35" s="46">
        <f t="shared" ca="1" si="32"/>
        <v>0.54732014671744933</v>
      </c>
      <c r="H35" s="46">
        <f t="shared" ca="1" si="4"/>
        <v>0.64877320688479378</v>
      </c>
      <c r="I35" s="46">
        <f t="shared" ca="1" si="5"/>
        <v>0.68063411617874758</v>
      </c>
      <c r="J35" s="46">
        <f t="shared" ca="1" si="6"/>
        <v>9.1425335012900177E-2</v>
      </c>
      <c r="K35" s="46">
        <f t="shared" ca="1" si="7"/>
        <v>1.851136584464208E-2</v>
      </c>
      <c r="L35" s="12">
        <f t="shared" ca="1" si="8"/>
        <v>1.8274276005038701</v>
      </c>
      <c r="M35" s="12">
        <f t="shared" ca="1" si="9"/>
        <v>12.064789780456247</v>
      </c>
      <c r="N35" s="46">
        <f t="shared" ca="1" si="10"/>
        <v>1.8274276005038701</v>
      </c>
      <c r="O35" s="12">
        <f t="shared" ca="1" si="11"/>
        <v>12.064789780456247</v>
      </c>
      <c r="P35" s="67">
        <f t="shared" ca="1" si="12"/>
        <v>4.3874801097052663E-2</v>
      </c>
      <c r="Q35" s="46">
        <f t="shared" ca="1" si="13"/>
        <v>10.281236981049428</v>
      </c>
      <c r="R35" s="46">
        <f t="shared" ca="1" si="14"/>
        <v>0.45108722757520586</v>
      </c>
      <c r="S35" s="46">
        <f t="shared" ca="1" si="15"/>
        <v>1.9249981713059334E-3</v>
      </c>
      <c r="T35" s="46">
        <f t="shared" ca="1" si="16"/>
        <v>3.2118783611362979E-2</v>
      </c>
      <c r="U35" s="46">
        <f t="shared" ca="1" si="17"/>
        <v>9.5566073816997665E-2</v>
      </c>
      <c r="V35" s="46">
        <f t="shared" ca="1" si="1"/>
        <v>11.885572639503259</v>
      </c>
      <c r="W35" s="68">
        <f t="shared" ca="1" si="18"/>
        <v>-0.17921714095298746</v>
      </c>
      <c r="X35" s="46"/>
      <c r="Y35" s="46"/>
      <c r="Z35" s="12"/>
      <c r="AA35" s="12"/>
      <c r="AB35" s="12"/>
      <c r="AC35" s="12"/>
      <c r="AD35" s="12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</row>
    <row r="36" spans="1:137" s="9" customFormat="1" x14ac:dyDescent="0.25">
      <c r="A36" s="1"/>
      <c r="B36" s="37"/>
      <c r="C36" s="46">
        <f t="shared" si="20"/>
        <v>4.25</v>
      </c>
      <c r="D36" s="46">
        <f t="shared" ca="1" si="3"/>
        <v>0.98161670646253607</v>
      </c>
      <c r="E36" s="46">
        <f t="shared" ca="1" si="3"/>
        <v>0.99873396523145908</v>
      </c>
      <c r="F36" s="46">
        <f t="shared" ref="F36:G36" ca="1" si="33">AVERAGE(D32:D40)</f>
        <v>0.59539457441544252</v>
      </c>
      <c r="G36" s="46">
        <f t="shared" ca="1" si="33"/>
        <v>0.53397912994722707</v>
      </c>
      <c r="H36" s="46">
        <f t="shared" ca="1" si="4"/>
        <v>0.74265684736470206</v>
      </c>
      <c r="I36" s="46">
        <f t="shared" ca="1" si="5"/>
        <v>0.65229621313474473</v>
      </c>
      <c r="J36" s="46">
        <f t="shared" ca="1" si="6"/>
        <v>-1.3062948458922377</v>
      </c>
      <c r="K36" s="46">
        <f t="shared" ca="1" si="7"/>
        <v>1.4074298887723558</v>
      </c>
      <c r="L36" s="12">
        <f t="shared" ca="1" si="8"/>
        <v>1.4081115462323288</v>
      </c>
      <c r="M36" s="12">
        <f t="shared" ca="1" si="9"/>
        <v>16.926004610703245</v>
      </c>
      <c r="N36" s="46">
        <f t="shared" ca="1" si="10"/>
        <v>1.4081115462323288</v>
      </c>
      <c r="O36" s="12">
        <f t="shared" ca="1" si="11"/>
        <v>16.926004610703245</v>
      </c>
      <c r="P36" s="67">
        <f t="shared" ca="1" si="12"/>
        <v>-0.37544125317448862</v>
      </c>
      <c r="Q36" s="46">
        <f t="shared" ca="1" si="13"/>
        <v>15.142451811296429</v>
      </c>
      <c r="R36" s="46">
        <f t="shared" ca="1" si="14"/>
        <v>-5.6851010841674361</v>
      </c>
      <c r="S36" s="46">
        <f t="shared" ca="1" si="15"/>
        <v>0.14095613458523046</v>
      </c>
      <c r="T36" s="46">
        <f t="shared" ca="1" si="16"/>
        <v>0.13925917159680026</v>
      </c>
      <c r="U36" s="46">
        <f t="shared" ca="1" si="17"/>
        <v>20.721406843856002</v>
      </c>
      <c r="V36" s="46">
        <f t="shared" ca="1" si="1"/>
        <v>16.552830158741699</v>
      </c>
      <c r="W36" s="68">
        <f t="shared" ca="1" si="18"/>
        <v>-0.37317445196154608</v>
      </c>
      <c r="X36" s="46"/>
      <c r="Y36" s="46"/>
      <c r="Z36" s="12"/>
      <c r="AA36" s="12"/>
      <c r="AB36" s="12"/>
      <c r="AC36" s="12"/>
      <c r="AD36" s="12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9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</row>
    <row r="37" spans="1:137" s="9" customFormat="1" x14ac:dyDescent="0.25">
      <c r="A37" s="1"/>
      <c r="B37" s="37"/>
      <c r="C37" s="46">
        <f t="shared" si="20"/>
        <v>4.5</v>
      </c>
      <c r="D37" s="46">
        <f t="shared" ca="1" si="3"/>
        <v>0.28055148418861076</v>
      </c>
      <c r="E37" s="46">
        <f t="shared" ca="1" si="3"/>
        <v>0.99833379411278012</v>
      </c>
      <c r="F37" s="46">
        <f t="shared" ref="F37:G37" ca="1" si="34">AVERAGE(D33:D41)</f>
        <v>0.55110336532308801</v>
      </c>
      <c r="G37" s="46">
        <f t="shared" ca="1" si="34"/>
        <v>0.5280203973124572</v>
      </c>
      <c r="H37" s="46">
        <f t="shared" ca="1" si="4"/>
        <v>0.64454594308097712</v>
      </c>
      <c r="I37" s="46">
        <f t="shared" ca="1" si="5"/>
        <v>0.63963915778599922</v>
      </c>
      <c r="J37" s="46">
        <f t="shared" ca="1" si="6"/>
        <v>1.0908321533222451</v>
      </c>
      <c r="K37" s="46">
        <f t="shared" ca="1" si="7"/>
        <v>-0.75072553487746108</v>
      </c>
      <c r="L37" s="12">
        <f t="shared" ca="1" si="8"/>
        <v>2.1272496459966734</v>
      </c>
      <c r="M37" s="12">
        <f t="shared" ca="1" si="9"/>
        <v>9.372460627928886</v>
      </c>
      <c r="N37" s="46">
        <f t="shared" ca="1" si="10"/>
        <v>2.1272496459966734</v>
      </c>
      <c r="O37" s="12">
        <f t="shared" ca="1" si="11"/>
        <v>9.372460627928886</v>
      </c>
      <c r="P37" s="67">
        <f t="shared" ca="1" si="12"/>
        <v>0.343696846589856</v>
      </c>
      <c r="Q37" s="46">
        <f t="shared" ca="1" si="13"/>
        <v>7.5889078285220686</v>
      </c>
      <c r="R37" s="46">
        <f t="shared" ca="1" si="14"/>
        <v>2.6082836897241064</v>
      </c>
      <c r="S37" s="46">
        <f t="shared" ca="1" si="15"/>
        <v>0.118127522355811</v>
      </c>
      <c r="T37" s="46">
        <f t="shared" ca="1" si="16"/>
        <v>0.67914129464893402</v>
      </c>
      <c r="U37" s="46">
        <f t="shared" ca="1" si="17"/>
        <v>9.0088028421001987</v>
      </c>
      <c r="V37" s="46">
        <f t="shared" ca="1" si="1"/>
        <v>8.5483603338815328</v>
      </c>
      <c r="W37" s="68">
        <f t="shared" ca="1" si="18"/>
        <v>-0.82410029404735319</v>
      </c>
      <c r="X37" s="46"/>
      <c r="Y37" s="46"/>
      <c r="Z37" s="12"/>
      <c r="AA37" s="12"/>
      <c r="AB37" s="12"/>
      <c r="AC37" s="12"/>
      <c r="AD37" s="12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9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</row>
    <row r="38" spans="1:137" s="9" customFormat="1" x14ac:dyDescent="0.25">
      <c r="A38" s="1"/>
      <c r="B38" s="37"/>
      <c r="C38" s="46">
        <f t="shared" si="20"/>
        <v>4.75</v>
      </c>
      <c r="D38" s="46">
        <f t="shared" ca="1" si="3"/>
        <v>0.58563538481695365</v>
      </c>
      <c r="E38" s="46">
        <f t="shared" ca="1" si="3"/>
        <v>0.82394586080006871</v>
      </c>
      <c r="F38" s="46">
        <f t="shared" ref="F38:G38" ca="1" si="35">AVERAGE(D34:D42)</f>
        <v>0.61884341934453857</v>
      </c>
      <c r="G38" s="46">
        <f t="shared" ca="1" si="35"/>
        <v>0.52512512577955939</v>
      </c>
      <c r="H38" s="46">
        <f t="shared" ca="1" si="4"/>
        <v>0.79459914985649782</v>
      </c>
      <c r="I38" s="46">
        <f t="shared" ca="1" si="5"/>
        <v>0.63348925741495332</v>
      </c>
      <c r="J38" s="46">
        <f t="shared" ca="1" si="6"/>
        <v>-0.5738563904273043</v>
      </c>
      <c r="K38" s="46">
        <f t="shared" ca="1" si="7"/>
        <v>0.59487903255261532</v>
      </c>
      <c r="L38" s="12">
        <f t="shared" ca="1" si="8"/>
        <v>1.6278430828718087</v>
      </c>
      <c r="M38" s="12">
        <f t="shared" ca="1" si="9"/>
        <v>14.082076613934154</v>
      </c>
      <c r="N38" s="46">
        <f t="shared" ca="1" si="10"/>
        <v>1.6278430828718087</v>
      </c>
      <c r="O38" s="12">
        <f t="shared" ca="1" si="11"/>
        <v>14.082076613934154</v>
      </c>
      <c r="P38" s="67">
        <f t="shared" ca="1" si="12"/>
        <v>-0.15570971653500876</v>
      </c>
      <c r="Q38" s="46">
        <f t="shared" ca="1" si="13"/>
        <v>12.298523814527336</v>
      </c>
      <c r="R38" s="46">
        <f t="shared" ca="1" si="14"/>
        <v>-1.9149996569591061</v>
      </c>
      <c r="S38" s="46">
        <f t="shared" ca="1" si="15"/>
        <v>2.4245515823412781E-2</v>
      </c>
      <c r="T38" s="46">
        <f t="shared" ca="1" si="16"/>
        <v>6.2500709906934714E-4</v>
      </c>
      <c r="U38" s="46">
        <f t="shared" ca="1" si="17"/>
        <v>2.9177737039116876</v>
      </c>
      <c r="V38" s="46">
        <f t="shared" ca="1" si="1"/>
        <v>14.107076755915138</v>
      </c>
      <c r="W38" s="68">
        <f t="shared" ca="1" si="18"/>
        <v>2.500014198098377E-2</v>
      </c>
      <c r="X38" s="46"/>
      <c r="Y38" s="46"/>
      <c r="Z38" s="12"/>
      <c r="AA38" s="12"/>
      <c r="AB38" s="12"/>
      <c r="AC38" s="12"/>
      <c r="AD38" s="12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9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</row>
    <row r="39" spans="1:137" s="9" customFormat="1" x14ac:dyDescent="0.25">
      <c r="A39" s="1"/>
      <c r="B39" s="37"/>
      <c r="C39" s="46">
        <f t="shared" si="20"/>
        <v>5</v>
      </c>
      <c r="D39" s="46">
        <f t="shared" ca="1" si="3"/>
        <v>0.2738681275923448</v>
      </c>
      <c r="E39" s="46">
        <f t="shared" ca="1" si="3"/>
        <v>4.8168512508361405E-2</v>
      </c>
      <c r="F39" s="46">
        <f t="shared" ref="F39:G39" ca="1" si="36">AVERAGE(D35:D43)</f>
        <v>0.56446658891608203</v>
      </c>
      <c r="G39" s="46">
        <f t="shared" ca="1" si="36"/>
        <v>0.49639798913574701</v>
      </c>
      <c r="H39" s="46">
        <f t="shared" ca="1" si="4"/>
        <v>0.67414725624721827</v>
      </c>
      <c r="I39" s="46">
        <f t="shared" ca="1" si="5"/>
        <v>0.5724694096053613</v>
      </c>
      <c r="J39" s="46">
        <f t="shared" ca="1" si="6"/>
        <v>0.21230777540922086</v>
      </c>
      <c r="K39" s="46">
        <f t="shared" ca="1" si="7"/>
        <v>0.99476046490411729</v>
      </c>
      <c r="L39" s="12">
        <f t="shared" ca="1" si="8"/>
        <v>1.8636923326227663</v>
      </c>
      <c r="M39" s="12">
        <f t="shared" ca="1" si="9"/>
        <v>15.48166162716441</v>
      </c>
      <c r="N39" s="46">
        <f t="shared" ca="1" si="10"/>
        <v>1.8636923326227663</v>
      </c>
      <c r="O39" s="12">
        <f t="shared" ca="1" si="11"/>
        <v>15.48166162716441</v>
      </c>
      <c r="P39" s="67">
        <f t="shared" ca="1" si="12"/>
        <v>8.013953321594891E-2</v>
      </c>
      <c r="Q39" s="46">
        <f t="shared" ca="1" si="13"/>
        <v>13.698108827757594</v>
      </c>
      <c r="R39" s="46">
        <f t="shared" ca="1" si="14"/>
        <v>1.0977600473977627</v>
      </c>
      <c r="S39" s="46">
        <f t="shared" ca="1" si="15"/>
        <v>6.4223447840701785E-3</v>
      </c>
      <c r="T39" s="46">
        <f t="shared" ca="1" si="16"/>
        <v>15.997910411903339</v>
      </c>
      <c r="U39" s="46">
        <f t="shared" ca="1" si="17"/>
        <v>9.6580119663735022</v>
      </c>
      <c r="V39" s="46">
        <f t="shared" ca="1" si="1"/>
        <v>11.481922834205132</v>
      </c>
      <c r="W39" s="68">
        <f t="shared" ca="1" si="18"/>
        <v>-3.9997387929592776</v>
      </c>
      <c r="X39" s="46"/>
      <c r="Y39" s="46"/>
      <c r="Z39" s="12"/>
      <c r="AA39" s="12"/>
      <c r="AB39" s="12"/>
      <c r="AC39" s="12"/>
      <c r="AD39" s="12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9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</row>
    <row r="40" spans="1:137" s="9" customFormat="1" ht="15.75" thickBot="1" x14ac:dyDescent="0.3">
      <c r="A40" s="1"/>
      <c r="B40" s="37"/>
      <c r="C40" s="46">
        <f t="shared" si="20"/>
        <v>5.25</v>
      </c>
      <c r="D40" s="46">
        <f t="shared" ca="1" si="3"/>
        <v>0.72788522932417077</v>
      </c>
      <c r="E40" s="46">
        <f t="shared" ca="1" si="3"/>
        <v>0.55426243938505504</v>
      </c>
      <c r="F40" s="46">
        <f t="shared" ref="F40:G40" ca="1" si="37">AVERAGE(D36:D44)</f>
        <v>0.4909309980038925</v>
      </c>
      <c r="G40" s="46">
        <f t="shared" ca="1" si="37"/>
        <v>0.55690620541161673</v>
      </c>
      <c r="H40" s="46">
        <f t="shared" ca="1" si="4"/>
        <v>0.51125616636097804</v>
      </c>
      <c r="I40" s="46">
        <f t="shared" ca="1" si="5"/>
        <v>0.70099604259921111</v>
      </c>
      <c r="J40" s="46">
        <f t="shared" ca="1" si="6"/>
        <v>0.26723173714959308</v>
      </c>
      <c r="K40" s="46">
        <f t="shared" ca="1" si="7"/>
        <v>0.66170004943963701</v>
      </c>
      <c r="L40" s="12">
        <f t="shared" ca="1" si="8"/>
        <v>1.8801695211448779</v>
      </c>
      <c r="M40" s="12">
        <f t="shared" ca="1" si="9"/>
        <v>14.315950173038729</v>
      </c>
      <c r="N40" s="46">
        <f t="shared" ca="1" si="10"/>
        <v>1.8801695211448779</v>
      </c>
      <c r="O40" s="12">
        <f t="shared" ca="1" si="11"/>
        <v>14.315950173038729</v>
      </c>
      <c r="P40" s="67">
        <f t="shared" ca="1" si="12"/>
        <v>9.6616721738060463E-2</v>
      </c>
      <c r="Q40" s="46">
        <f t="shared" ca="1" si="13"/>
        <v>12.532397373631913</v>
      </c>
      <c r="R40" s="46">
        <f t="shared" ca="1" si="14"/>
        <v>1.2108391497589943</v>
      </c>
      <c r="S40" s="46">
        <f t="shared" ca="1" si="15"/>
        <v>9.3347909194098043E-3</v>
      </c>
      <c r="T40" s="46">
        <f t="shared" ca="1" si="16"/>
        <v>9.1048780739828477</v>
      </c>
      <c r="U40" s="46">
        <f t="shared" ca="1" si="17"/>
        <v>3.7714524133097789</v>
      </c>
      <c r="V40" s="46">
        <f t="shared" ca="1" si="1"/>
        <v>11.298521122674355</v>
      </c>
      <c r="W40" s="68">
        <f t="shared" ca="1" si="18"/>
        <v>-3.0174290503643739</v>
      </c>
      <c r="X40" s="46"/>
      <c r="Y40" s="46"/>
      <c r="Z40" s="12"/>
      <c r="AA40" s="12"/>
      <c r="AB40" s="12"/>
      <c r="AC40" s="12"/>
      <c r="AD40" s="12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9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</row>
    <row r="41" spans="1:137" s="9" customFormat="1" x14ac:dyDescent="0.25">
      <c r="A41" s="1"/>
      <c r="B41" s="37"/>
      <c r="C41" s="46">
        <f t="shared" si="20"/>
        <v>5.5</v>
      </c>
      <c r="D41" s="46">
        <f t="shared" ca="1" si="3"/>
        <v>0.18554949806432353</v>
      </c>
      <c r="E41" s="46">
        <f t="shared" ca="1" si="3"/>
        <v>0.53242748583547472</v>
      </c>
      <c r="F41" s="46">
        <f t="shared" ref="F41:G41" ca="1" si="38">AVERAGE(D37:D45)</f>
        <v>0.46744349432409188</v>
      </c>
      <c r="G41" s="46">
        <f t="shared" ca="1" si="38"/>
        <v>0.46989169661624774</v>
      </c>
      <c r="H41" s="46">
        <f t="shared" ca="1" si="4"/>
        <v>0.45922822960748949</v>
      </c>
      <c r="I41" s="46">
        <f t="shared" ca="1" si="5"/>
        <v>0.51616689830426543</v>
      </c>
      <c r="J41" s="46">
        <f t="shared" ca="1" si="6"/>
        <v>1.2031751672473721</v>
      </c>
      <c r="K41" s="46">
        <f t="shared" ca="1" si="7"/>
        <v>-0.81917384550375993</v>
      </c>
      <c r="L41" s="12">
        <f t="shared" ca="1" si="8"/>
        <v>2.1609525501742115</v>
      </c>
      <c r="M41" s="12">
        <f t="shared" ca="1" si="9"/>
        <v>9.1328915407368392</v>
      </c>
      <c r="N41" s="46">
        <f t="shared" ca="1" si="10"/>
        <v>2.1609525501742115</v>
      </c>
      <c r="O41" s="12">
        <f t="shared" ca="1" si="11"/>
        <v>9.1328915407368392</v>
      </c>
      <c r="P41" s="67">
        <f t="shared" ca="1" si="12"/>
        <v>0.37739975076739407</v>
      </c>
      <c r="Q41" s="46">
        <f t="shared" ca="1" si="13"/>
        <v>7.3493387413300217</v>
      </c>
      <c r="R41" s="46">
        <f t="shared" ca="1" si="14"/>
        <v>2.773638609283104</v>
      </c>
      <c r="S41" s="46">
        <f t="shared" ca="1" si="15"/>
        <v>0.14243057187929117</v>
      </c>
      <c r="T41" s="46">
        <f t="shared" ca="1" si="16"/>
        <v>0.92095925111696131</v>
      </c>
      <c r="U41" s="46">
        <f t="shared" ca="1" si="17"/>
        <v>10.504313503932519</v>
      </c>
      <c r="V41" s="46">
        <f t="shared" ca="1" si="1"/>
        <v>8.1732253221394764</v>
      </c>
      <c r="W41" s="68">
        <f t="shared" ca="1" si="18"/>
        <v>-0.95966621859736279</v>
      </c>
      <c r="X41" s="46"/>
      <c r="Y41" s="46"/>
      <c r="Z41" s="12"/>
      <c r="AA41" s="12"/>
      <c r="AB41" s="12"/>
      <c r="AC41" s="12"/>
      <c r="AD41" s="12"/>
      <c r="AE41" s="38"/>
      <c r="AF41" s="38"/>
      <c r="AG41" s="38"/>
      <c r="AH41" s="38"/>
      <c r="AI41" s="38"/>
      <c r="AJ41" s="38"/>
      <c r="AK41" s="38"/>
      <c r="AL41" s="45" t="s">
        <v>22</v>
      </c>
      <c r="AM41" s="38"/>
      <c r="AN41" s="38"/>
      <c r="AO41" s="158" t="s">
        <v>23</v>
      </c>
      <c r="AP41" s="13">
        <f ca="1">AM43</f>
        <v>3.3783476132992245</v>
      </c>
      <c r="AQ41" s="14">
        <f ca="1">AP41+($AM$44-$AM$43)/10</f>
        <v>5.0796781315799526</v>
      </c>
      <c r="AR41" s="14">
        <f t="shared" ref="AR41:AY41" ca="1" si="39">AQ41+($AM$44-$AM$43)/10</f>
        <v>6.7810086498606807</v>
      </c>
      <c r="AS41" s="14">
        <f t="shared" ca="1" si="39"/>
        <v>8.482339168141408</v>
      </c>
      <c r="AT41" s="14">
        <f t="shared" ca="1" si="39"/>
        <v>10.183669686422135</v>
      </c>
      <c r="AU41" s="14">
        <f t="shared" ca="1" si="39"/>
        <v>11.885000204702862</v>
      </c>
      <c r="AV41" s="14">
        <f t="shared" ca="1" si="39"/>
        <v>13.58633072298359</v>
      </c>
      <c r="AW41" s="14">
        <f t="shared" ca="1" si="39"/>
        <v>15.287661241264317</v>
      </c>
      <c r="AX41" s="14">
        <f t="shared" ca="1" si="39"/>
        <v>16.988991759545044</v>
      </c>
      <c r="AY41" s="14">
        <f t="shared" ca="1" si="39"/>
        <v>18.690322277825771</v>
      </c>
      <c r="AZ41" s="38"/>
      <c r="BA41" s="38"/>
      <c r="BB41" s="39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</row>
    <row r="42" spans="1:137" s="9" customFormat="1" ht="15.75" thickBot="1" x14ac:dyDescent="0.3">
      <c r="A42" s="1"/>
      <c r="B42" s="37"/>
      <c r="C42" s="46">
        <f t="shared" si="20"/>
        <v>5.75</v>
      </c>
      <c r="D42" s="46">
        <f t="shared" ca="1" si="3"/>
        <v>0.67172136781635861</v>
      </c>
      <c r="E42" s="46">
        <f t="shared" ca="1" si="3"/>
        <v>0.28281638214765981</v>
      </c>
      <c r="F42" s="46">
        <f t="shared" ref="F42:G42" ca="1" si="40">AVERAGE(D38:D46)</f>
        <v>0.5165345961308927</v>
      </c>
      <c r="G42" s="46">
        <f t="shared" ca="1" si="40"/>
        <v>0.37045481966404153</v>
      </c>
      <c r="H42" s="46">
        <f t="shared" ca="1" si="4"/>
        <v>0.56797153305867087</v>
      </c>
      <c r="I42" s="46">
        <f t="shared" ca="1" si="5"/>
        <v>0.30495116965308872</v>
      </c>
      <c r="J42" s="46">
        <f t="shared" ca="1" si="6"/>
        <v>0.15366464788117962</v>
      </c>
      <c r="K42" s="46">
        <f t="shared" ca="1" si="7"/>
        <v>-0.16799452311792276</v>
      </c>
      <c r="L42" s="12">
        <f t="shared" ca="1" si="8"/>
        <v>1.846099394364354</v>
      </c>
      <c r="M42" s="12">
        <f t="shared" ca="1" si="9"/>
        <v>11.412019169087269</v>
      </c>
      <c r="N42" s="46">
        <f t="shared" ca="1" si="10"/>
        <v>1.846099394364354</v>
      </c>
      <c r="O42" s="12">
        <f t="shared" ca="1" si="11"/>
        <v>11.412019169087269</v>
      </c>
      <c r="P42" s="67">
        <f t="shared" ca="1" si="12"/>
        <v>6.2546594957536561E-2</v>
      </c>
      <c r="Q42" s="46">
        <f t="shared" ca="1" si="13"/>
        <v>9.6284663696804529</v>
      </c>
      <c r="R42" s="46">
        <f t="shared" ca="1" si="14"/>
        <v>0.60222778608666572</v>
      </c>
      <c r="S42" s="46">
        <f t="shared" ca="1" si="15"/>
        <v>3.9120765407821383E-3</v>
      </c>
      <c r="T42" s="46">
        <f t="shared" ca="1" si="16"/>
        <v>7.06094510225002E-2</v>
      </c>
      <c r="U42" s="46">
        <f t="shared" ca="1" si="17"/>
        <v>0.92526746336661103</v>
      </c>
      <c r="V42" s="46">
        <f t="shared" ca="1" si="1"/>
        <v>11.67774355830004</v>
      </c>
      <c r="W42" s="68">
        <f t="shared" ca="1" si="18"/>
        <v>0.26572438921277097</v>
      </c>
      <c r="X42" s="46"/>
      <c r="Y42" s="46"/>
      <c r="Z42" s="12"/>
      <c r="AA42" s="12"/>
      <c r="AB42" s="12"/>
      <c r="AC42" s="12"/>
      <c r="AD42" s="12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159"/>
      <c r="AP42" s="16">
        <f ca="1">AP41+($AM$44-$AM$43)/10</f>
        <v>5.0796781315799526</v>
      </c>
      <c r="AQ42" s="17">
        <f ca="1">AQ41+($AM$44-$AM$43)/10</f>
        <v>6.7810086498606807</v>
      </c>
      <c r="AR42" s="17">
        <f t="shared" ref="AR42:AY42" ca="1" si="41">AR41+($AM$44-$AM$43)/10</f>
        <v>8.482339168141408</v>
      </c>
      <c r="AS42" s="17">
        <f t="shared" ca="1" si="41"/>
        <v>10.183669686422135</v>
      </c>
      <c r="AT42" s="17">
        <f t="shared" ca="1" si="41"/>
        <v>11.885000204702862</v>
      </c>
      <c r="AU42" s="17">
        <f t="shared" ca="1" si="41"/>
        <v>13.58633072298359</v>
      </c>
      <c r="AV42" s="17">
        <f t="shared" ca="1" si="41"/>
        <v>15.287661241264317</v>
      </c>
      <c r="AW42" s="17">
        <f t="shared" ca="1" si="41"/>
        <v>16.988991759545044</v>
      </c>
      <c r="AX42" s="17">
        <f t="shared" ca="1" si="41"/>
        <v>18.690322277825771</v>
      </c>
      <c r="AY42" s="17">
        <f t="shared" ca="1" si="41"/>
        <v>20.391652796106499</v>
      </c>
      <c r="AZ42" s="38"/>
      <c r="BA42" s="38"/>
      <c r="BB42" s="39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</row>
    <row r="43" spans="1:137" s="9" customFormat="1" x14ac:dyDescent="0.25">
      <c r="A43" s="1"/>
      <c r="B43" s="37"/>
      <c r="C43" s="46">
        <f t="shared" si="20"/>
        <v>6</v>
      </c>
      <c r="D43" s="46">
        <f t="shared" ca="1" si="3"/>
        <v>0.46988524260556996</v>
      </c>
      <c r="E43" s="46">
        <f t="shared" ca="1" si="3"/>
        <v>9.7609588992217056E-2</v>
      </c>
      <c r="F43" s="46">
        <f t="shared" ref="F43:G43" ca="1" si="42">AVERAGE(D39:D47)</f>
        <v>0.50333508402179361</v>
      </c>
      <c r="G43" s="46">
        <f t="shared" ca="1" si="42"/>
        <v>0.33586002457187203</v>
      </c>
      <c r="H43" s="46">
        <f t="shared" ca="1" si="4"/>
        <v>0.53873286254896846</v>
      </c>
      <c r="I43" s="46">
        <f t="shared" ca="1" si="5"/>
        <v>0.23146771887614215</v>
      </c>
      <c r="J43" s="46">
        <f t="shared" ca="1" si="6"/>
        <v>-0.67201188551060687</v>
      </c>
      <c r="K43" s="46">
        <f t="shared" ca="1" si="7"/>
        <v>0.63102720485267949</v>
      </c>
      <c r="L43" s="12">
        <f t="shared" ca="1" si="8"/>
        <v>1.598396434346818</v>
      </c>
      <c r="M43" s="12">
        <f t="shared" ca="1" si="9"/>
        <v>14.208595216984378</v>
      </c>
      <c r="N43" s="46">
        <f t="shared" ca="1" si="10"/>
        <v>1.598396434346818</v>
      </c>
      <c r="O43" s="12">
        <f t="shared" ca="1" si="11"/>
        <v>14.208595216984378</v>
      </c>
      <c r="P43" s="67">
        <f t="shared" ca="1" si="12"/>
        <v>-0.18515636505999944</v>
      </c>
      <c r="Q43" s="46">
        <f t="shared" ca="1" si="13"/>
        <v>12.425042417577561</v>
      </c>
      <c r="R43" s="46">
        <f t="shared" ca="1" si="14"/>
        <v>-2.300575689754969</v>
      </c>
      <c r="S43" s="46">
        <f t="shared" ca="1" si="15"/>
        <v>3.4282879522231781E-2</v>
      </c>
      <c r="T43" s="46">
        <f t="shared" ca="1" si="16"/>
        <v>5.1185300622356017E-2</v>
      </c>
      <c r="U43" s="46">
        <f t="shared" ca="1" si="17"/>
        <v>3.3660059630705379</v>
      </c>
      <c r="V43" s="46">
        <f t="shared" ca="1" si="1"/>
        <v>14.434836903289877</v>
      </c>
      <c r="W43" s="68">
        <f t="shared" ca="1" si="18"/>
        <v>0.22624168630549946</v>
      </c>
      <c r="X43" s="46"/>
      <c r="Y43" s="46"/>
      <c r="Z43" s="12"/>
      <c r="AA43" s="12"/>
      <c r="AB43" s="12"/>
      <c r="AC43" s="12"/>
      <c r="AD43" s="12"/>
      <c r="AE43" s="38"/>
      <c r="AF43" s="38"/>
      <c r="AG43" s="38"/>
      <c r="AH43" s="38"/>
      <c r="AI43" s="38"/>
      <c r="AJ43" s="38"/>
      <c r="AK43" s="38"/>
      <c r="AL43" s="23" t="s">
        <v>10</v>
      </c>
      <c r="AM43" s="19">
        <f ca="1">MIN(O20:O124)</f>
        <v>3.3783476132992245</v>
      </c>
      <c r="AN43" s="42" t="s">
        <v>0</v>
      </c>
      <c r="AO43" s="31">
        <f ca="1">MIN(O20:O124)</f>
        <v>3.3783476132992245</v>
      </c>
      <c r="AP43" s="14">
        <f ca="1">AVERAGE(AP41:AP42)</f>
        <v>4.2290128724395881</v>
      </c>
      <c r="AQ43" s="14">
        <f t="shared" ref="AQ43:AY43" ca="1" si="43">AVERAGE(AQ41:AQ42)</f>
        <v>5.9303433907203171</v>
      </c>
      <c r="AR43" s="14">
        <f t="shared" ca="1" si="43"/>
        <v>7.6316739090010444</v>
      </c>
      <c r="AS43" s="14">
        <f t="shared" ca="1" si="43"/>
        <v>9.3330044272817716</v>
      </c>
      <c r="AT43" s="14">
        <f t="shared" ca="1" si="43"/>
        <v>11.034334945562499</v>
      </c>
      <c r="AU43" s="14">
        <f t="shared" ca="1" si="43"/>
        <v>12.735665463843226</v>
      </c>
      <c r="AV43" s="14">
        <f t="shared" ca="1" si="43"/>
        <v>14.436995982123953</v>
      </c>
      <c r="AW43" s="14">
        <f t="shared" ca="1" si="43"/>
        <v>16.138326500404681</v>
      </c>
      <c r="AX43" s="14">
        <f t="shared" ca="1" si="43"/>
        <v>17.839657018685408</v>
      </c>
      <c r="AY43" s="14">
        <f t="shared" ca="1" si="43"/>
        <v>19.540987536966135</v>
      </c>
      <c r="AZ43" s="21">
        <f ca="1">AM44</f>
        <v>20.391652796106502</v>
      </c>
      <c r="BA43" s="38"/>
      <c r="BB43" s="39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</row>
    <row r="44" spans="1:137" s="9" customFormat="1" ht="15.75" thickBot="1" x14ac:dyDescent="0.3">
      <c r="A44" s="1"/>
      <c r="B44" s="37"/>
      <c r="C44" s="46">
        <f t="shared" si="20"/>
        <v>6.25</v>
      </c>
      <c r="D44" s="46">
        <f t="shared" ca="1" si="3"/>
        <v>0.2416659411641634</v>
      </c>
      <c r="E44" s="46">
        <f t="shared" ca="1" si="3"/>
        <v>0.67585781969147352</v>
      </c>
      <c r="F44" s="46">
        <f t="shared" ref="F44:G44" ca="1" si="44">AVERAGE(D40:D48)</f>
        <v>0.52503739114714354</v>
      </c>
      <c r="G44" s="46">
        <f t="shared" ca="1" si="44"/>
        <v>0.33777379384644479</v>
      </c>
      <c r="H44" s="46">
        <f t="shared" ca="1" si="4"/>
        <v>0.58680635209113485</v>
      </c>
      <c r="I44" s="46">
        <f t="shared" ca="1" si="5"/>
        <v>0.23553279195756452</v>
      </c>
      <c r="J44" s="46">
        <f t="shared" ca="1" si="6"/>
        <v>0.27257231989752562</v>
      </c>
      <c r="K44" s="46">
        <f t="shared" ca="1" si="7"/>
        <v>0.39315209456814609</v>
      </c>
      <c r="L44" s="12">
        <f t="shared" ca="1" si="8"/>
        <v>1.8817716959692576</v>
      </c>
      <c r="M44" s="12">
        <f t="shared" ca="1" si="9"/>
        <v>13.376032330988512</v>
      </c>
      <c r="N44" s="46">
        <f t="shared" ca="1" si="10"/>
        <v>1.8817716959692576</v>
      </c>
      <c r="O44" s="12">
        <f t="shared" ca="1" si="11"/>
        <v>13.376032330988512</v>
      </c>
      <c r="P44" s="67">
        <f t="shared" ca="1" si="12"/>
        <v>9.8218896562440205E-2</v>
      </c>
      <c r="Q44" s="46">
        <f t="shared" ca="1" si="13"/>
        <v>11.592479531581695</v>
      </c>
      <c r="R44" s="46">
        <f t="shared" ca="1" si="14"/>
        <v>1.1386005480146277</v>
      </c>
      <c r="S44" s="46">
        <f t="shared" ca="1" si="15"/>
        <v>9.6469516419433292E-3</v>
      </c>
      <c r="T44" s="46">
        <f t="shared" ca="1" si="16"/>
        <v>4.3904683437342715</v>
      </c>
      <c r="U44" s="46">
        <f t="shared" ca="1" si="17"/>
        <v>1.0042142732623904</v>
      </c>
      <c r="V44" s="46">
        <f t="shared" ca="1" si="1"/>
        <v>11.280687885859198</v>
      </c>
      <c r="W44" s="68">
        <f t="shared" ca="1" si="18"/>
        <v>-2.0953444451293137</v>
      </c>
      <c r="X44" s="46"/>
      <c r="Y44" s="46"/>
      <c r="Z44" s="12"/>
      <c r="AA44" s="12"/>
      <c r="AB44" s="12"/>
      <c r="AC44" s="12"/>
      <c r="AD44" s="12"/>
      <c r="AE44" s="38"/>
      <c r="AF44" s="38"/>
      <c r="AG44" s="38"/>
      <c r="AH44" s="38"/>
      <c r="AI44" s="38"/>
      <c r="AJ44" s="38"/>
      <c r="AK44" s="38"/>
      <c r="AL44" s="24" t="s">
        <v>11</v>
      </c>
      <c r="AM44" s="20">
        <f ca="1">MAX(O20:O124)</f>
        <v>20.391652796106502</v>
      </c>
      <c r="AN44" s="42" t="s">
        <v>21</v>
      </c>
      <c r="AO44" s="32">
        <v>0</v>
      </c>
      <c r="AP44" s="17">
        <f ca="1">COUNTIF($O$20:$O$124,"&lt;"&amp;AP42)/COUNT($O$20:$O$124)</f>
        <v>9.5238095238095247E-3</v>
      </c>
      <c r="AQ44" s="17">
        <f ca="1">(COUNTIF($O$20:$O$124,"&lt;"&amp;AQ42))/COUNT(O20:O124)-AP44</f>
        <v>3.8095238095238092E-2</v>
      </c>
      <c r="AR44" s="17">
        <f ca="1">(COUNTIF($O$20:$O$124,"&lt;"&amp;AR42)/COUNT($O$20:$O$124))-SUM($AP$44:AQ44)</f>
        <v>0.13333333333333333</v>
      </c>
      <c r="AS44" s="17">
        <f ca="1">(COUNTIF($O$20:$O$124,"&lt;"&amp;AS42)/COUNT($O$20:$O$124))-SUM($AP$44:AR44)</f>
        <v>0.10476190476190475</v>
      </c>
      <c r="AT44" s="17">
        <f ca="1">(COUNTIF($O$20:$O$124,"&lt;"&amp;AT42)/COUNT($O$20:$O$124))-SUM($AP$44:AS44)</f>
        <v>0.16190476190476194</v>
      </c>
      <c r="AU44" s="17">
        <f ca="1">(COUNTIF($O$20:$O$124,"&lt;"&amp;AU42)/COUNT($O$20:$O$124))-SUM($AP$44:AT44)</f>
        <v>0.16190476190476194</v>
      </c>
      <c r="AV44" s="17">
        <f ca="1">(COUNTIF($O$20:$O$124,"&lt;"&amp;AV42)/COUNT($O$20:$O$124))-SUM($AP$44:AU44)</f>
        <v>0.16190476190476188</v>
      </c>
      <c r="AW44" s="17">
        <f ca="1">(COUNTIF($O$20:$O$124,"&lt;"&amp;AW42)/COUNT($O$20:$O$124))-SUM($AP$44:AV44)</f>
        <v>0.12380952380952381</v>
      </c>
      <c r="AX44" s="17">
        <f ca="1">(COUNTIF($O$20:$O$124,"&lt;"&amp;AX42)/COUNT($O$20:$O$124))-SUM($AP$44:AW44)</f>
        <v>6.6666666666666652E-2</v>
      </c>
      <c r="AY44" s="17">
        <f ca="1">(COUNTIF($O$20:$O$124,"&lt;"&amp;AY42)/COUNT($O$20:$O$124))-SUM($AP$44:AX44)</f>
        <v>2.8571428571428581E-2</v>
      </c>
      <c r="AZ44" s="22">
        <v>0</v>
      </c>
      <c r="BA44" s="38"/>
      <c r="BB44" s="39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</row>
    <row r="45" spans="1:137" s="9" customFormat="1" ht="15.75" thickBot="1" x14ac:dyDescent="0.3">
      <c r="A45" s="1"/>
      <c r="B45" s="37"/>
      <c r="C45" s="46">
        <f t="shared" si="20"/>
        <v>6.5</v>
      </c>
      <c r="D45" s="46">
        <f t="shared" ca="1" si="3"/>
        <v>0.77022917334433116</v>
      </c>
      <c r="E45" s="46">
        <f t="shared" ca="1" si="3"/>
        <v>0.21560338607313967</v>
      </c>
      <c r="F45" s="46">
        <f t="shared" ref="F45:G45" ca="1" si="45">AVERAGE(D41:D49)</f>
        <v>0.5114089982128005</v>
      </c>
      <c r="G45" s="46">
        <f t="shared" ca="1" si="45"/>
        <v>0.32342118374501488</v>
      </c>
      <c r="H45" s="46">
        <f t="shared" ca="1" si="4"/>
        <v>0.55661765365361282</v>
      </c>
      <c r="I45" s="46">
        <f t="shared" ca="1" si="5"/>
        <v>0.20504614461367388</v>
      </c>
      <c r="J45" s="46">
        <f t="shared" ca="1" si="6"/>
        <v>1.5726058974564416</v>
      </c>
      <c r="K45" s="46">
        <f t="shared" ca="1" si="7"/>
        <v>-1.4929103446179488</v>
      </c>
      <c r="L45" s="12">
        <f t="shared" ca="1" si="8"/>
        <v>2.2717817692369326</v>
      </c>
      <c r="M45" s="12">
        <f t="shared" ca="1" si="9"/>
        <v>6.7748137938371791</v>
      </c>
      <c r="N45" s="46">
        <f t="shared" ca="1" si="10"/>
        <v>2.2717817692369326</v>
      </c>
      <c r="O45" s="12">
        <f t="shared" ca="1" si="11"/>
        <v>6.7748137938371791</v>
      </c>
      <c r="P45" s="67">
        <f t="shared" ca="1" si="12"/>
        <v>0.48822896983011521</v>
      </c>
      <c r="Q45" s="46">
        <f t="shared" ca="1" si="13"/>
        <v>4.9912609944303616</v>
      </c>
      <c r="R45" s="46">
        <f t="shared" ca="1" si="14"/>
        <v>2.4368782134639719</v>
      </c>
      <c r="S45" s="46">
        <f t="shared" ca="1" si="15"/>
        <v>0.23836752698137556</v>
      </c>
      <c r="T45" s="46">
        <f t="shared" ca="1" si="16"/>
        <v>2.7162665762819546E-2</v>
      </c>
      <c r="U45" s="46">
        <f t="shared" ca="1" si="17"/>
        <v>31.350073283386607</v>
      </c>
      <c r="V45" s="46">
        <f t="shared" ca="1" si="1"/>
        <v>6.9396247939640503</v>
      </c>
      <c r="W45" s="68">
        <f t="shared" ca="1" si="18"/>
        <v>0.16481100012687122</v>
      </c>
      <c r="X45" s="46"/>
      <c r="Y45" s="46"/>
      <c r="Z45" s="12"/>
      <c r="AA45" s="12"/>
      <c r="AB45" s="12"/>
      <c r="AC45" s="12"/>
      <c r="AD45" s="12"/>
      <c r="AE45" s="38"/>
      <c r="AF45" s="38"/>
      <c r="AG45" s="38"/>
      <c r="AH45" s="38"/>
      <c r="AI45" s="38"/>
      <c r="AJ45" s="38"/>
      <c r="AK45" s="38"/>
      <c r="AL45" s="38"/>
      <c r="AM45" s="38"/>
      <c r="AN45" s="42" t="s">
        <v>31</v>
      </c>
      <c r="AO45" s="28">
        <f>AO44</f>
        <v>0</v>
      </c>
      <c r="AP45" s="29">
        <f ca="1">AP44+AO45</f>
        <v>9.5238095238095247E-3</v>
      </c>
      <c r="AQ45" s="29">
        <f t="shared" ref="AQ45:AZ45" ca="1" si="46">AQ44+AP45</f>
        <v>4.7619047619047616E-2</v>
      </c>
      <c r="AR45" s="29">
        <f t="shared" ca="1" si="46"/>
        <v>0.18095238095238095</v>
      </c>
      <c r="AS45" s="29">
        <f t="shared" ca="1" si="46"/>
        <v>0.2857142857142857</v>
      </c>
      <c r="AT45" s="29">
        <f t="shared" ca="1" si="46"/>
        <v>0.44761904761904764</v>
      </c>
      <c r="AU45" s="29">
        <f t="shared" ca="1" si="46"/>
        <v>0.60952380952380958</v>
      </c>
      <c r="AV45" s="29">
        <f t="shared" ca="1" si="46"/>
        <v>0.77142857142857146</v>
      </c>
      <c r="AW45" s="29">
        <f t="shared" ca="1" si="46"/>
        <v>0.89523809523809528</v>
      </c>
      <c r="AX45" s="29">
        <f t="shared" ca="1" si="46"/>
        <v>0.96190476190476193</v>
      </c>
      <c r="AY45" s="29">
        <f t="shared" ca="1" si="46"/>
        <v>0.99047619047619051</v>
      </c>
      <c r="AZ45" s="30">
        <f t="shared" ca="1" si="46"/>
        <v>0.99047619047619051</v>
      </c>
      <c r="BA45" s="38"/>
      <c r="BB45" s="39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</row>
    <row r="46" spans="1:137" s="9" customFormat="1" x14ac:dyDescent="0.25">
      <c r="A46" s="1"/>
      <c r="B46" s="37"/>
      <c r="C46" s="46">
        <f t="shared" si="20"/>
        <v>6.75</v>
      </c>
      <c r="D46" s="46">
        <f t="shared" ca="1" si="3"/>
        <v>0.72237140044981918</v>
      </c>
      <c r="E46" s="46">
        <f t="shared" ca="1" si="3"/>
        <v>0.10340190154292361</v>
      </c>
      <c r="F46" s="46">
        <f t="shared" ref="F46:G46" ca="1" si="47">AVERAGE(D42:D50)</f>
        <v>0.50466507260121363</v>
      </c>
      <c r="G46" s="46">
        <f t="shared" ca="1" si="47"/>
        <v>0.37138922115140638</v>
      </c>
      <c r="H46" s="46">
        <f t="shared" ca="1" si="4"/>
        <v>0.54167896370285296</v>
      </c>
      <c r="I46" s="46">
        <f t="shared" ca="1" si="5"/>
        <v>0.30693594931487722</v>
      </c>
      <c r="J46" s="46">
        <f t="shared" ca="1" si="6"/>
        <v>0.49088383642752137</v>
      </c>
      <c r="K46" s="46">
        <f t="shared" ca="1" si="7"/>
        <v>-3.3765444884040985E-2</v>
      </c>
      <c r="L46" s="12">
        <f t="shared" ca="1" si="8"/>
        <v>1.9472651509282564</v>
      </c>
      <c r="M46" s="12">
        <f t="shared" ca="1" si="9"/>
        <v>11.881820942905856</v>
      </c>
      <c r="N46" s="46">
        <f t="shared" ca="1" si="10"/>
        <v>1.9472651509282564</v>
      </c>
      <c r="O46" s="12">
        <f t="shared" ca="1" si="11"/>
        <v>11.881820942905856</v>
      </c>
      <c r="P46" s="67">
        <f t="shared" ca="1" si="12"/>
        <v>0.16371235152143893</v>
      </c>
      <c r="Q46" s="46">
        <f t="shared" ca="1" si="13"/>
        <v>10.098268143499038</v>
      </c>
      <c r="R46" s="46">
        <f t="shared" ca="1" si="14"/>
        <v>1.6532112240662629</v>
      </c>
      <c r="S46" s="46">
        <f t="shared" ca="1" si="15"/>
        <v>2.6801734040679186E-2</v>
      </c>
      <c r="T46" s="46">
        <f t="shared" ca="1" si="16"/>
        <v>1.7692121823519174</v>
      </c>
      <c r="U46" s="46">
        <f t="shared" ca="1" si="17"/>
        <v>0.24216877466467415</v>
      </c>
      <c r="V46" s="46">
        <f t="shared" ca="1" si="1"/>
        <v>10.55170358629708</v>
      </c>
      <c r="W46" s="68">
        <f t="shared" ca="1" si="18"/>
        <v>-1.3301173566087758</v>
      </c>
      <c r="X46" s="46"/>
      <c r="Y46" s="46"/>
      <c r="Z46" s="12"/>
      <c r="AA46" s="12"/>
      <c r="AB46" s="12"/>
      <c r="AC46" s="12"/>
      <c r="AD46" s="12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9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</row>
    <row r="47" spans="1:137" s="9" customFormat="1" x14ac:dyDescent="0.25">
      <c r="A47" s="1"/>
      <c r="B47" s="37"/>
      <c r="C47" s="46">
        <f t="shared" si="20"/>
        <v>7</v>
      </c>
      <c r="D47" s="46">
        <f t="shared" ca="1" si="3"/>
        <v>0.46683977583506131</v>
      </c>
      <c r="E47" s="46">
        <f t="shared" ca="1" si="3"/>
        <v>0.51259270497054299</v>
      </c>
      <c r="F47" s="46">
        <f t="shared" ref="F47:G47" ca="1" si="48">AVERAGE(D43:D51)</f>
        <v>0.44948056021234034</v>
      </c>
      <c r="G47" s="46">
        <f t="shared" ca="1" si="48"/>
        <v>0.34930296768548247</v>
      </c>
      <c r="H47" s="46">
        <f t="shared" ca="1" si="4"/>
        <v>0.41943794739554763</v>
      </c>
      <c r="I47" s="46">
        <f t="shared" ca="1" si="5"/>
        <v>0.26002212557097704</v>
      </c>
      <c r="J47" s="46">
        <f t="shared" ca="1" si="6"/>
        <v>-0.17082257828119465</v>
      </c>
      <c r="K47" s="46">
        <f t="shared" ca="1" si="7"/>
        <v>1.2703439311584033</v>
      </c>
      <c r="L47" s="12">
        <f t="shared" ca="1" si="8"/>
        <v>1.7487532265156416</v>
      </c>
      <c r="M47" s="12">
        <f t="shared" ca="1" si="9"/>
        <v>16.446203759054413</v>
      </c>
      <c r="N47" s="46">
        <f t="shared" ca="1" si="10"/>
        <v>1.7487532265156416</v>
      </c>
      <c r="O47" s="12">
        <f t="shared" ca="1" si="11"/>
        <v>16.446203759054413</v>
      </c>
      <c r="P47" s="67">
        <f t="shared" ca="1" si="12"/>
        <v>-3.4799572891175856E-2</v>
      </c>
      <c r="Q47" s="46">
        <f t="shared" ca="1" si="13"/>
        <v>14.662650959647596</v>
      </c>
      <c r="R47" s="46">
        <f t="shared" ca="1" si="14"/>
        <v>-0.51025399084812617</v>
      </c>
      <c r="S47" s="46">
        <f t="shared" ca="1" si="15"/>
        <v>1.2110102734082615E-3</v>
      </c>
      <c r="T47" s="46">
        <f t="shared" ca="1" si="16"/>
        <v>13.578743810368431</v>
      </c>
      <c r="U47" s="46">
        <f t="shared" ca="1" si="17"/>
        <v>16.583434665477721</v>
      </c>
      <c r="V47" s="46">
        <f t="shared" ca="1" si="1"/>
        <v>12.761269049949185</v>
      </c>
      <c r="W47" s="68">
        <f t="shared" ca="1" si="18"/>
        <v>-3.684934709105228</v>
      </c>
      <c r="X47" s="46"/>
      <c r="Y47" s="46"/>
      <c r="Z47" s="12"/>
      <c r="AA47" s="12"/>
      <c r="AB47" s="12"/>
      <c r="AC47" s="12"/>
      <c r="AD47" s="12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9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</row>
    <row r="48" spans="1:137" s="9" customFormat="1" x14ac:dyDescent="0.25">
      <c r="A48" s="1"/>
      <c r="B48" s="37"/>
      <c r="C48" s="46">
        <f t="shared" si="20"/>
        <v>7.25</v>
      </c>
      <c r="D48" s="46">
        <f t="shared" ca="1" si="3"/>
        <v>0.46918889172049416</v>
      </c>
      <c r="E48" s="46">
        <f t="shared" ca="1" si="3"/>
        <v>6.5392435979516716E-2</v>
      </c>
      <c r="F48" s="46">
        <f t="shared" ref="F48:G48" ca="1" si="49">AVERAGE(D44:D52)</f>
        <v>0.44485733243049336</v>
      </c>
      <c r="G48" s="46">
        <f t="shared" ca="1" si="49"/>
        <v>0.34713856417956573</v>
      </c>
      <c r="H48" s="46">
        <f t="shared" ca="1" si="4"/>
        <v>0.40919688449205271</v>
      </c>
      <c r="I48" s="46">
        <f t="shared" ca="1" si="5"/>
        <v>0.25542467563480198</v>
      </c>
      <c r="J48" s="46">
        <f t="shared" ca="1" si="6"/>
        <v>0.72616502078843093</v>
      </c>
      <c r="K48" s="46">
        <f t="shared" ca="1" si="7"/>
        <v>-0.61527389378777342</v>
      </c>
      <c r="L48" s="12">
        <f t="shared" ca="1" si="8"/>
        <v>2.0178495062365291</v>
      </c>
      <c r="M48" s="12">
        <f t="shared" ca="1" si="9"/>
        <v>9.8465413717427932</v>
      </c>
      <c r="N48" s="46">
        <f t="shared" ca="1" si="10"/>
        <v>2.0178495062365291</v>
      </c>
      <c r="O48" s="12">
        <f t="shared" ca="1" si="11"/>
        <v>9.8465413717427932</v>
      </c>
      <c r="P48" s="67">
        <f t="shared" ca="1" si="12"/>
        <v>0.23429670682971171</v>
      </c>
      <c r="Q48" s="46">
        <f t="shared" ca="1" si="13"/>
        <v>8.0629885723359749</v>
      </c>
      <c r="R48" s="46">
        <f t="shared" ca="1" si="14"/>
        <v>1.8891316697039178</v>
      </c>
      <c r="S48" s="46">
        <f t="shared" ca="1" si="15"/>
        <v>5.4894946831247876E-2</v>
      </c>
      <c r="T48" s="46">
        <f t="shared" ca="1" si="16"/>
        <v>6.47817036149547E-3</v>
      </c>
      <c r="U48" s="46">
        <f t="shared" ca="1" si="17"/>
        <v>6.3876801848818694</v>
      </c>
      <c r="V48" s="46">
        <f t="shared" ca="1" si="1"/>
        <v>9.7660542897886344</v>
      </c>
      <c r="W48" s="68">
        <f t="shared" ca="1" si="18"/>
        <v>-8.0487081954158768E-2</v>
      </c>
      <c r="X48" s="46"/>
      <c r="Y48" s="46"/>
      <c r="Z48" s="12"/>
      <c r="AA48" s="12"/>
      <c r="AB48" s="12"/>
      <c r="AC48" s="12"/>
      <c r="AD48" s="12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9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</row>
    <row r="49" spans="1:137" s="9" customFormat="1" x14ac:dyDescent="0.25">
      <c r="A49" s="1"/>
      <c r="B49" s="37"/>
      <c r="C49" s="46">
        <f t="shared" si="20"/>
        <v>7.5</v>
      </c>
      <c r="D49" s="46">
        <f t="shared" ca="1" si="3"/>
        <v>0.60522969291508388</v>
      </c>
      <c r="E49" s="46">
        <f t="shared" ca="1" si="3"/>
        <v>0.42508894847218615</v>
      </c>
      <c r="F49" s="46">
        <f t="shared" ref="F49:G49" ca="1" si="50">AVERAGE(D45:D53)</f>
        <v>0.44574802337985253</v>
      </c>
      <c r="G49" s="46">
        <f t="shared" ca="1" si="50"/>
        <v>0.27659878045502667</v>
      </c>
      <c r="H49" s="46">
        <f t="shared" ca="1" si="4"/>
        <v>0.41116988311344377</v>
      </c>
      <c r="I49" s="46">
        <f t="shared" ca="1" si="5"/>
        <v>0.10558980274920129</v>
      </c>
      <c r="J49" s="46">
        <f t="shared" ca="1" si="6"/>
        <v>1.419775537206182</v>
      </c>
      <c r="K49" s="46">
        <f t="shared" ca="1" si="7"/>
        <v>-1.0687724702127057</v>
      </c>
      <c r="L49" s="12">
        <f t="shared" ca="1" si="8"/>
        <v>2.2259326611618544</v>
      </c>
      <c r="M49" s="12">
        <f t="shared" ca="1" si="9"/>
        <v>8.2592963542555289</v>
      </c>
      <c r="N49" s="46">
        <f t="shared" ca="1" si="10"/>
        <v>2.2259326611618544</v>
      </c>
      <c r="O49" s="12">
        <f t="shared" ca="1" si="11"/>
        <v>8.2592963542555289</v>
      </c>
      <c r="P49" s="67">
        <f t="shared" ca="1" si="12"/>
        <v>0.44237986175503696</v>
      </c>
      <c r="Q49" s="46">
        <f t="shared" ca="1" si="13"/>
        <v>6.4757435548487114</v>
      </c>
      <c r="R49" s="46">
        <f t="shared" ca="1" si="14"/>
        <v>2.8647385385550446</v>
      </c>
      <c r="S49" s="46">
        <f t="shared" ca="1" si="15"/>
        <v>0.19569994208640562</v>
      </c>
      <c r="T49" s="46">
        <f t="shared" ca="1" si="16"/>
        <v>0.65503363599719988</v>
      </c>
      <c r="U49" s="46">
        <f t="shared" ca="1" si="17"/>
        <v>16.930188722462013</v>
      </c>
      <c r="V49" s="46">
        <f t="shared" ca="1" si="1"/>
        <v>7.4499548713219035</v>
      </c>
      <c r="W49" s="68">
        <f t="shared" ca="1" si="18"/>
        <v>-0.8093414829336254</v>
      </c>
      <c r="X49" s="46"/>
      <c r="Y49" s="46"/>
      <c r="Z49" s="12"/>
      <c r="AA49" s="12"/>
      <c r="AB49" s="12"/>
      <c r="AC49" s="12"/>
      <c r="AD49" s="12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9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</row>
    <row r="50" spans="1:137" s="9" customFormat="1" x14ac:dyDescent="0.25">
      <c r="A50" s="1"/>
      <c r="B50" s="37"/>
      <c r="C50" s="46">
        <f t="shared" si="20"/>
        <v>7.75</v>
      </c>
      <c r="D50" s="46">
        <f t="shared" ca="1" si="3"/>
        <v>0.12485416756004242</v>
      </c>
      <c r="E50" s="46">
        <f t="shared" ca="1" si="3"/>
        <v>0.96413982249299801</v>
      </c>
      <c r="F50" s="46">
        <f t="shared" ref="F50:G50" ca="1" si="51">AVERAGE(D46:D54)</f>
        <v>0.46168117286680982</v>
      </c>
      <c r="G50" s="46">
        <f t="shared" ca="1" si="51"/>
        <v>0.27211216555200413</v>
      </c>
      <c r="H50" s="46">
        <f t="shared" ca="1" si="4"/>
        <v>0.44646392308859062</v>
      </c>
      <c r="I50" s="46">
        <f t="shared" ca="1" si="5"/>
        <v>9.6059700185998159E-2</v>
      </c>
      <c r="J50" s="46">
        <f t="shared" ca="1" si="6"/>
        <v>0.21252899331698574</v>
      </c>
      <c r="K50" s="46">
        <f t="shared" ca="1" si="7"/>
        <v>-0.50575955978494536</v>
      </c>
      <c r="L50" s="12">
        <f t="shared" ca="1" si="8"/>
        <v>1.8637586979950957</v>
      </c>
      <c r="M50" s="12">
        <f t="shared" ca="1" si="9"/>
        <v>10.229841540752691</v>
      </c>
      <c r="N50" s="46">
        <f t="shared" ca="1" si="10"/>
        <v>1.8637586979950957</v>
      </c>
      <c r="O50" s="12">
        <f t="shared" ca="1" si="11"/>
        <v>10.229841540752691</v>
      </c>
      <c r="P50" s="67">
        <f t="shared" ca="1" si="12"/>
        <v>8.0205898588278313E-2</v>
      </c>
      <c r="Q50" s="46">
        <f t="shared" ca="1" si="13"/>
        <v>8.4462887413458745</v>
      </c>
      <c r="R50" s="46">
        <f t="shared" ca="1" si="14"/>
        <v>0.67744217823570407</v>
      </c>
      <c r="S50" s="46">
        <f t="shared" ca="1" si="15"/>
        <v>6.4329861683531846E-3</v>
      </c>
      <c r="T50" s="46">
        <f t="shared" ca="1" si="16"/>
        <v>1.56585831296455</v>
      </c>
      <c r="U50" s="46">
        <f t="shared" ca="1" si="17"/>
        <v>4.597104213437218</v>
      </c>
      <c r="V50" s="46">
        <f t="shared" ca="1" si="1"/>
        <v>11.481184144904148</v>
      </c>
      <c r="W50" s="68">
        <f t="shared" ca="1" si="18"/>
        <v>1.251342604151457</v>
      </c>
      <c r="X50" s="46"/>
      <c r="Y50" s="46"/>
      <c r="Z50" s="12"/>
      <c r="AA50" s="12"/>
      <c r="AB50" s="12"/>
      <c r="AC50" s="12"/>
      <c r="AD50" s="1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9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</row>
    <row r="51" spans="1:137" s="9" customFormat="1" x14ac:dyDescent="0.25">
      <c r="A51" s="1"/>
      <c r="B51" s="37"/>
      <c r="C51" s="46">
        <f t="shared" si="20"/>
        <v>8</v>
      </c>
      <c r="D51" s="46">
        <f t="shared" ca="1" si="3"/>
        <v>0.17506075631649709</v>
      </c>
      <c r="E51" s="46">
        <f t="shared" ca="1" si="3"/>
        <v>8.4040100954344776E-2</v>
      </c>
      <c r="F51" s="46">
        <f t="shared" ref="F51:G51" ca="1" si="52">AVERAGE(D47:D55)</f>
        <v>0.48216637943289165</v>
      </c>
      <c r="G51" s="46">
        <f t="shared" ca="1" si="52"/>
        <v>0.28897314540272384</v>
      </c>
      <c r="H51" s="46">
        <f t="shared" ca="1" si="4"/>
        <v>0.4918413734184377</v>
      </c>
      <c r="I51" s="46">
        <f t="shared" ca="1" si="5"/>
        <v>0.1318744225917943</v>
      </c>
      <c r="J51" s="46">
        <f t="shared" ca="1" si="6"/>
        <v>-0.58065580137632156</v>
      </c>
      <c r="K51" s="46">
        <f t="shared" ca="1" si="7"/>
        <v>0.14817046106308002</v>
      </c>
      <c r="L51" s="12">
        <f t="shared" ca="1" si="8"/>
        <v>1.6258032595871037</v>
      </c>
      <c r="M51" s="12">
        <f t="shared" ca="1" si="9"/>
        <v>12.51859661372078</v>
      </c>
      <c r="N51" s="46">
        <f t="shared" ca="1" si="10"/>
        <v>1.6258032595871037</v>
      </c>
      <c r="O51" s="12">
        <f t="shared" ca="1" si="11"/>
        <v>12.51859661372078</v>
      </c>
      <c r="P51" s="67">
        <f t="shared" ca="1" si="12"/>
        <v>-0.15774953981971374</v>
      </c>
      <c r="Q51" s="46">
        <f t="shared" ca="1" si="13"/>
        <v>10.735043814313961</v>
      </c>
      <c r="R51" s="46">
        <f t="shared" ca="1" si="14"/>
        <v>-1.6934482216524918</v>
      </c>
      <c r="S51" s="46">
        <f t="shared" ca="1" si="15"/>
        <v>2.4884917313331451E-2</v>
      </c>
      <c r="T51" s="46">
        <f t="shared" ca="1" si="16"/>
        <v>2.5959160988626229</v>
      </c>
      <c r="U51" s="46">
        <f t="shared" ca="1" si="17"/>
        <v>2.092917859081295E-2</v>
      </c>
      <c r="V51" s="46">
        <f t="shared" ca="1" si="1"/>
        <v>14.129781301726045</v>
      </c>
      <c r="W51" s="68">
        <f t="shared" ca="1" si="18"/>
        <v>1.6111846880052649</v>
      </c>
      <c r="X51" s="46"/>
      <c r="Y51" s="46"/>
      <c r="Z51" s="12"/>
      <c r="AA51" s="12"/>
      <c r="AB51" s="12"/>
      <c r="AC51" s="12"/>
      <c r="AD51" s="1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9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</row>
    <row r="52" spans="1:137" s="9" customFormat="1" x14ac:dyDescent="0.25">
      <c r="A52" s="1"/>
      <c r="B52" s="37"/>
      <c r="C52" s="46">
        <f t="shared" si="20"/>
        <v>8.25</v>
      </c>
      <c r="D52" s="46">
        <f t="shared" ca="1" si="3"/>
        <v>0.42827619256894711</v>
      </c>
      <c r="E52" s="46">
        <f t="shared" ca="1" si="3"/>
        <v>7.8129957438966446E-2</v>
      </c>
      <c r="F52" s="46">
        <f t="shared" ref="F52:G52" ca="1" si="53">AVERAGE(D48:D56)</f>
        <v>0.48741565477828863</v>
      </c>
      <c r="G52" s="46">
        <f t="shared" ca="1" si="53"/>
        <v>0.24593477325748203</v>
      </c>
      <c r="H52" s="46">
        <f t="shared" ca="1" si="4"/>
        <v>0.50346921473334239</v>
      </c>
      <c r="I52" s="46">
        <f t="shared" ca="1" si="5"/>
        <v>4.0455811999398093E-2</v>
      </c>
      <c r="J52" s="46">
        <f t="shared" ca="1" si="6"/>
        <v>1.2134998925805596</v>
      </c>
      <c r="K52" s="46">
        <f t="shared" ca="1" si="7"/>
        <v>-0.82959119931210146</v>
      </c>
      <c r="L52" s="12">
        <f t="shared" ca="1" si="8"/>
        <v>2.1640499677741678</v>
      </c>
      <c r="M52" s="12">
        <f t="shared" ca="1" si="9"/>
        <v>9.0964308024076459</v>
      </c>
      <c r="N52" s="46">
        <f t="shared" ca="1" si="10"/>
        <v>2.1640499677741678</v>
      </c>
      <c r="O52" s="12">
        <f t="shared" ca="1" si="11"/>
        <v>9.0964308024076459</v>
      </c>
      <c r="P52" s="67">
        <f t="shared" ca="1" si="12"/>
        <v>0.38049716836735037</v>
      </c>
      <c r="Q52" s="46">
        <f t="shared" ca="1" si="13"/>
        <v>7.3128780030008285</v>
      </c>
      <c r="R52" s="46">
        <f t="shared" ca="1" si="14"/>
        <v>2.7825293727576992</v>
      </c>
      <c r="S52" s="46">
        <f t="shared" ca="1" si="15"/>
        <v>0.14477809513557177</v>
      </c>
      <c r="T52" s="46">
        <f t="shared" ca="1" si="16"/>
        <v>0.9171542986250697</v>
      </c>
      <c r="U52" s="46">
        <f t="shared" ca="1" si="17"/>
        <v>10.74198401083992</v>
      </c>
      <c r="V52" s="46">
        <f t="shared" ref="V52:V83" ca="1" si="54">$AC$95+$AA$95*N52</f>
        <v>8.1387490710244741</v>
      </c>
      <c r="W52" s="68">
        <f t="shared" ca="1" si="18"/>
        <v>-0.95768173138317181</v>
      </c>
      <c r="X52" s="46"/>
      <c r="Y52" s="46"/>
      <c r="Z52" s="12"/>
      <c r="AA52" s="12"/>
      <c r="AB52" s="12"/>
      <c r="AC52" s="12"/>
      <c r="AD52" s="1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9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</row>
    <row r="53" spans="1:137" s="9" customFormat="1" x14ac:dyDescent="0.25">
      <c r="A53" s="1"/>
      <c r="B53" s="37"/>
      <c r="C53" s="46">
        <f t="shared" si="20"/>
        <v>8.5</v>
      </c>
      <c r="D53" s="46">
        <f t="shared" ref="D53:E84" ca="1" si="55">RAND()</f>
        <v>0.24968215970839625</v>
      </c>
      <c r="E53" s="46">
        <f t="shared" ca="1" si="55"/>
        <v>4.0999766170621954E-2</v>
      </c>
      <c r="F53" s="46">
        <f t="shared" ref="F53:G53" ca="1" si="56">AVERAGE(D49:D57)</f>
        <v>0.51202762668309665</v>
      </c>
      <c r="G53" s="46">
        <f t="shared" ca="1" si="56"/>
        <v>0.3377280333293482</v>
      </c>
      <c r="H53" s="46">
        <f t="shared" ca="1" si="4"/>
        <v>0.5579879977891693</v>
      </c>
      <c r="I53" s="46">
        <f t="shared" ca="1" si="5"/>
        <v>0.23543559118800839</v>
      </c>
      <c r="J53" s="46">
        <f t="shared" ca="1" si="6"/>
        <v>0.84572742863229011</v>
      </c>
      <c r="K53" s="46">
        <f t="shared" ca="1" si="7"/>
        <v>-1.4024965543864671</v>
      </c>
      <c r="L53" s="12">
        <f t="shared" ca="1" si="8"/>
        <v>2.0537182285896871</v>
      </c>
      <c r="M53" s="12">
        <f t="shared" ca="1" si="9"/>
        <v>7.0912620596473648</v>
      </c>
      <c r="N53" s="46">
        <f t="shared" ca="1" si="10"/>
        <v>2.0537182285896871</v>
      </c>
      <c r="O53" s="12">
        <f t="shared" ca="1" si="11"/>
        <v>7.0912620596473648</v>
      </c>
      <c r="P53" s="67">
        <f t="shared" ref="P53:P84" ca="1" si="57">N53-$O$11</f>
        <v>0.27016542918286968</v>
      </c>
      <c r="Q53" s="46">
        <f t="shared" ca="1" si="13"/>
        <v>5.3077092602405473</v>
      </c>
      <c r="R53" s="46">
        <f t="shared" ca="1" si="14"/>
        <v>1.4339595502707791</v>
      </c>
      <c r="S53" s="46">
        <f t="shared" ca="1" si="15"/>
        <v>7.2989359125564174E-2</v>
      </c>
      <c r="T53" s="46">
        <f t="shared" ca="1" si="16"/>
        <v>5.1781290238929545</v>
      </c>
      <c r="U53" s="46">
        <f t="shared" ca="1" si="17"/>
        <v>27.906553200690293</v>
      </c>
      <c r="V53" s="46">
        <f t="shared" ca="1" si="54"/>
        <v>9.3668123280204796</v>
      </c>
      <c r="W53" s="68">
        <f t="shared" ca="1" si="18"/>
        <v>2.2755502683731148</v>
      </c>
      <c r="X53" s="46"/>
      <c r="Y53" s="46"/>
      <c r="Z53" s="12"/>
      <c r="AA53" s="12"/>
      <c r="AB53" s="12"/>
      <c r="AC53" s="12"/>
      <c r="AD53" s="1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9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</row>
    <row r="54" spans="1:137" s="9" customFormat="1" x14ac:dyDescent="0.25">
      <c r="A54" s="1"/>
      <c r="B54" s="37"/>
      <c r="C54" s="46">
        <f t="shared" si="20"/>
        <v>8.75</v>
      </c>
      <c r="D54" s="46">
        <f t="shared" ca="1" si="55"/>
        <v>0.91362751872694692</v>
      </c>
      <c r="E54" s="46">
        <f t="shared" ca="1" si="55"/>
        <v>0.17522385194593615</v>
      </c>
      <c r="F54" s="46">
        <f t="shared" ref="F54:G54" ca="1" si="58">AVERAGE(D50:D58)</f>
        <v>0.50148992936899406</v>
      </c>
      <c r="G54" s="46">
        <f t="shared" ca="1" si="58"/>
        <v>0.35374663000494971</v>
      </c>
      <c r="H54" s="46">
        <f t="shared" ca="1" si="4"/>
        <v>0.53464560019512286</v>
      </c>
      <c r="I54" s="46">
        <f t="shared" ca="1" si="5"/>
        <v>0.26946099174873489</v>
      </c>
      <c r="J54" s="46">
        <f t="shared" ca="1" si="6"/>
        <v>-9.4051072242292047E-2</v>
      </c>
      <c r="K54" s="46">
        <f t="shared" ca="1" si="7"/>
        <v>0.52372021084483455</v>
      </c>
      <c r="L54" s="12">
        <f t="shared" ca="1" si="8"/>
        <v>1.7717846783273123</v>
      </c>
      <c r="M54" s="12">
        <f t="shared" ca="1" si="9"/>
        <v>13.833020737956922</v>
      </c>
      <c r="N54" s="46">
        <f t="shared" ca="1" si="10"/>
        <v>1.7717846783273123</v>
      </c>
      <c r="O54" s="12">
        <f t="shared" ca="1" si="11"/>
        <v>13.833020737956922</v>
      </c>
      <c r="P54" s="67">
        <f t="shared" ca="1" si="57"/>
        <v>-1.1768121079505089E-2</v>
      </c>
      <c r="Q54" s="46">
        <f t="shared" ca="1" si="13"/>
        <v>12.049467938550105</v>
      </c>
      <c r="R54" s="46">
        <f t="shared" ca="1" si="14"/>
        <v>-0.14179959764447223</v>
      </c>
      <c r="S54" s="46">
        <f t="shared" ca="1" si="15"/>
        <v>1.3848867374189204E-4</v>
      </c>
      <c r="T54" s="46">
        <f t="shared" ca="1" si="16"/>
        <v>1.7638670551753697</v>
      </c>
      <c r="U54" s="46">
        <f t="shared" ca="1" si="17"/>
        <v>2.1289533405518286</v>
      </c>
      <c r="V54" s="46">
        <f t="shared" ca="1" si="54"/>
        <v>12.5049141702541</v>
      </c>
      <c r="W54" s="68">
        <f t="shared" ca="1" si="18"/>
        <v>-1.3281065677028216</v>
      </c>
      <c r="X54" s="46"/>
      <c r="Y54" s="46"/>
      <c r="Z54" s="12"/>
      <c r="AA54" s="12"/>
      <c r="AB54" s="12"/>
      <c r="AC54" s="12"/>
      <c r="AD54" s="1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9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</row>
    <row r="55" spans="1:137" s="9" customFormat="1" x14ac:dyDescent="0.25">
      <c r="A55" s="1"/>
      <c r="B55" s="37"/>
      <c r="C55" s="46">
        <f t="shared" si="20"/>
        <v>9</v>
      </c>
      <c r="D55" s="46">
        <f t="shared" ca="1" si="55"/>
        <v>0.90673825954455567</v>
      </c>
      <c r="E55" s="46">
        <f t="shared" ca="1" si="55"/>
        <v>0.25515072019940144</v>
      </c>
      <c r="F55" s="46">
        <f t="shared" ref="F55:G55" ca="1" si="59">AVERAGE(D51:D59)</f>
        <v>0.58978194655575811</v>
      </c>
      <c r="G55" s="46">
        <f t="shared" ca="1" si="59"/>
        <v>0.30572802453717762</v>
      </c>
      <c r="H55" s="46">
        <f t="shared" ca="1" si="4"/>
        <v>0.73022413202443104</v>
      </c>
      <c r="I55" s="46">
        <f t="shared" ca="1" si="5"/>
        <v>0.16746377448331642</v>
      </c>
      <c r="J55" s="46">
        <f t="shared" ca="1" si="6"/>
        <v>0.92954396025824981</v>
      </c>
      <c r="K55" s="46">
        <f t="shared" ca="1" si="7"/>
        <v>-1.2937362965988142</v>
      </c>
      <c r="L55" s="12">
        <f t="shared" ca="1" si="8"/>
        <v>2.0788631880774751</v>
      </c>
      <c r="M55" s="12">
        <f t="shared" ca="1" si="9"/>
        <v>7.4719229619041503</v>
      </c>
      <c r="N55" s="46">
        <f t="shared" ca="1" si="10"/>
        <v>2.0788631880774751</v>
      </c>
      <c r="O55" s="12">
        <f t="shared" ca="1" si="11"/>
        <v>7.4719229619041503</v>
      </c>
      <c r="P55" s="67">
        <f t="shared" ca="1" si="57"/>
        <v>0.29531038867065762</v>
      </c>
      <c r="Q55" s="46">
        <f t="shared" ca="1" si="13"/>
        <v>5.6883701624973328</v>
      </c>
      <c r="R55" s="46">
        <f t="shared" ca="1" si="14"/>
        <v>1.6798348035896593</v>
      </c>
      <c r="S55" s="46">
        <f t="shared" ca="1" si="15"/>
        <v>8.7208225656814867E-2</v>
      </c>
      <c r="T55" s="46">
        <f t="shared" ca="1" si="16"/>
        <v>2.6082566086079311</v>
      </c>
      <c r="U55" s="46">
        <f t="shared" ca="1" si="17"/>
        <v>24.029647606250716</v>
      </c>
      <c r="V55" s="46">
        <f t="shared" ca="1" si="54"/>
        <v>9.0869327478212298</v>
      </c>
      <c r="W55" s="68">
        <f t="shared" ca="1" si="18"/>
        <v>1.6150097859170796</v>
      </c>
      <c r="X55" s="46"/>
      <c r="Y55" s="46"/>
      <c r="Z55" s="12"/>
      <c r="AA55" s="12"/>
      <c r="AB55" s="12"/>
      <c r="AC55" s="12"/>
      <c r="AD55" s="12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9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</row>
    <row r="56" spans="1:137" s="9" customFormat="1" x14ac:dyDescent="0.25">
      <c r="A56" s="1"/>
      <c r="B56" s="37"/>
      <c r="C56" s="46">
        <f t="shared" si="20"/>
        <v>9.25</v>
      </c>
      <c r="D56" s="46">
        <f t="shared" ca="1" si="55"/>
        <v>0.51408325394363485</v>
      </c>
      <c r="E56" s="46">
        <f t="shared" ca="1" si="55"/>
        <v>0.12524735566336731</v>
      </c>
      <c r="F56" s="46">
        <f t="shared" ref="F56:G56" ca="1" si="60">AVERAGE(D52:D60)</f>
        <v>0.63562666754798713</v>
      </c>
      <c r="G56" s="46">
        <f t="shared" ca="1" si="60"/>
        <v>0.34912432075317779</v>
      </c>
      <c r="H56" s="46">
        <f t="shared" ca="1" si="4"/>
        <v>0.83177627127183473</v>
      </c>
      <c r="I56" s="46">
        <f t="shared" ca="1" si="5"/>
        <v>0.25964265828344174</v>
      </c>
      <c r="J56" s="46">
        <f t="shared" ca="1" si="6"/>
        <v>1.4272975179252068</v>
      </c>
      <c r="K56" s="46">
        <f t="shared" ca="1" si="7"/>
        <v>-1.2235741894819165</v>
      </c>
      <c r="L56" s="12">
        <f t="shared" ca="1" si="8"/>
        <v>2.2281892553775622</v>
      </c>
      <c r="M56" s="12">
        <f t="shared" ca="1" si="9"/>
        <v>7.7174903368132917</v>
      </c>
      <c r="N56" s="46">
        <f t="shared" ca="1" si="10"/>
        <v>2.2281892553775622</v>
      </c>
      <c r="O56" s="12">
        <f t="shared" ca="1" si="11"/>
        <v>7.7174903368132917</v>
      </c>
      <c r="P56" s="67">
        <f t="shared" ca="1" si="57"/>
        <v>0.44463645597074475</v>
      </c>
      <c r="Q56" s="46">
        <f t="shared" ca="1" si="13"/>
        <v>5.9339375374064742</v>
      </c>
      <c r="R56" s="46">
        <f t="shared" ca="1" si="14"/>
        <v>2.6384449565841832</v>
      </c>
      <c r="S56" s="46">
        <f t="shared" ca="1" si="15"/>
        <v>0.19770157797822405</v>
      </c>
      <c r="T56" s="46">
        <f t="shared" ca="1" si="16"/>
        <v>8.5645667937912257E-2</v>
      </c>
      <c r="U56" s="46">
        <f t="shared" ca="1" si="17"/>
        <v>21.682406213792135</v>
      </c>
      <c r="V56" s="46">
        <f t="shared" ca="1" si="54"/>
        <v>7.4248375255540928</v>
      </c>
      <c r="W56" s="68">
        <f t="shared" ca="1" si="18"/>
        <v>-0.29265281125919884</v>
      </c>
      <c r="X56" s="46"/>
      <c r="Y56" s="46"/>
      <c r="Z56" s="12"/>
      <c r="AA56" s="12"/>
      <c r="AB56" s="12"/>
      <c r="AC56" s="12"/>
      <c r="AD56" s="12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9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</row>
    <row r="57" spans="1:137" s="9" customFormat="1" x14ac:dyDescent="0.25">
      <c r="A57" s="1"/>
      <c r="B57" s="37"/>
      <c r="C57" s="46">
        <f t="shared" si="20"/>
        <v>9.5</v>
      </c>
      <c r="D57" s="46">
        <f t="shared" ca="1" si="55"/>
        <v>0.69069663886376576</v>
      </c>
      <c r="E57" s="46">
        <f t="shared" ca="1" si="55"/>
        <v>0.89153177662631233</v>
      </c>
      <c r="F57" s="46">
        <f t="shared" ref="F57:G57" ca="1" si="61">AVERAGE(D53:D61)</f>
        <v>0.66022556518502773</v>
      </c>
      <c r="G57" s="46">
        <f t="shared" ca="1" si="61"/>
        <v>0.44181188038198127</v>
      </c>
      <c r="H57" s="46">
        <f t="shared" ca="1" si="4"/>
        <v>0.88626609308998505</v>
      </c>
      <c r="I57" s="46">
        <f t="shared" ca="1" si="5"/>
        <v>0.45652203587397822</v>
      </c>
      <c r="J57" s="46">
        <f t="shared" ca="1" si="6"/>
        <v>-3.209975021129631E-2</v>
      </c>
      <c r="K57" s="46">
        <f t="shared" ca="1" si="7"/>
        <v>-1.6944802894131073E-2</v>
      </c>
      <c r="L57" s="12">
        <f t="shared" ca="1" si="8"/>
        <v>1.7903700749366112</v>
      </c>
      <c r="M57" s="12">
        <f t="shared" ca="1" si="9"/>
        <v>11.940693189870542</v>
      </c>
      <c r="N57" s="46">
        <f t="shared" ca="1" si="10"/>
        <v>1.7903700749366112</v>
      </c>
      <c r="O57" s="12">
        <f t="shared" ca="1" si="11"/>
        <v>11.940693189870542</v>
      </c>
      <c r="P57" s="67">
        <f t="shared" ca="1" si="57"/>
        <v>6.8172755297937204E-3</v>
      </c>
      <c r="Q57" s="46">
        <f t="shared" ca="1" si="13"/>
        <v>10.157140390463724</v>
      </c>
      <c r="R57" s="46">
        <f t="shared" ca="1" si="14"/>
        <v>6.9244024636587784E-2</v>
      </c>
      <c r="S57" s="46">
        <f t="shared" ca="1" si="15"/>
        <v>4.647524564912425E-5</v>
      </c>
      <c r="T57" s="46">
        <f t="shared" ca="1" si="16"/>
        <v>0.12770156411717604</v>
      </c>
      <c r="U57" s="46">
        <f t="shared" ca="1" si="17"/>
        <v>0.18769188923481178</v>
      </c>
      <c r="V57" s="46">
        <f t="shared" ca="1" si="54"/>
        <v>12.298046746054297</v>
      </c>
      <c r="W57" s="68">
        <f t="shared" ca="1" si="18"/>
        <v>0.35735355618375486</v>
      </c>
      <c r="X57" s="46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9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</row>
    <row r="58" spans="1:137" s="9" customFormat="1" x14ac:dyDescent="0.25">
      <c r="A58" s="1"/>
      <c r="B58" s="37"/>
      <c r="C58" s="46">
        <f t="shared" si="20"/>
        <v>9.75</v>
      </c>
      <c r="D58" s="46">
        <f t="shared" ca="1" si="55"/>
        <v>0.51039041708815969</v>
      </c>
      <c r="E58" s="46">
        <f t="shared" ca="1" si="55"/>
        <v>0.56925631855259906</v>
      </c>
      <c r="F58" s="46">
        <f t="shared" ref="F58:G58" ca="1" si="62">AVERAGE(D54:D62)</f>
        <v>0.71156962615988395</v>
      </c>
      <c r="G58" s="46">
        <f t="shared" ca="1" si="62"/>
        <v>0.47088680120301096</v>
      </c>
      <c r="H58" s="46">
        <f t="shared" ca="1" si="4"/>
        <v>1</v>
      </c>
      <c r="I58" s="46">
        <f t="shared" ca="1" si="5"/>
        <v>0.51828061855393037</v>
      </c>
      <c r="J58" s="46">
        <f t="shared" ca="1" si="6"/>
        <v>0.54291784006264177</v>
      </c>
      <c r="K58" s="46">
        <f t="shared" ca="1" si="7"/>
        <v>-0.7964451842606437</v>
      </c>
      <c r="L58" s="12">
        <f t="shared" ca="1" si="8"/>
        <v>1.9628753520187925</v>
      </c>
      <c r="M58" s="12">
        <f t="shared" ca="1" si="9"/>
        <v>9.2124418550877465</v>
      </c>
      <c r="N58" s="46">
        <f t="shared" ca="1" si="10"/>
        <v>1.9628753520187925</v>
      </c>
      <c r="O58" s="12">
        <f t="shared" ca="1" si="11"/>
        <v>9.2124418550877465</v>
      </c>
      <c r="P58" s="67">
        <f t="shared" ca="1" si="57"/>
        <v>0.17932255261197505</v>
      </c>
      <c r="Q58" s="46">
        <f t="shared" ca="1" si="13"/>
        <v>7.4288890556809291</v>
      </c>
      <c r="R58" s="46">
        <f t="shared" ca="1" si="14"/>
        <v>1.3321673485358692</v>
      </c>
      <c r="S58" s="46">
        <f t="shared" ca="1" si="15"/>
        <v>3.215657787527456E-2</v>
      </c>
      <c r="T58" s="46">
        <f t="shared" ca="1" si="16"/>
        <v>1.3584139044135577</v>
      </c>
      <c r="U58" s="46">
        <f t="shared" ca="1" si="17"/>
        <v>9.9949909120480189</v>
      </c>
      <c r="V58" s="46">
        <f t="shared" ca="1" si="54"/>
        <v>10.377952002797134</v>
      </c>
      <c r="W58" s="68">
        <f t="shared" ca="1" si="18"/>
        <v>1.1655101477093872</v>
      </c>
      <c r="X58" s="46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9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</row>
    <row r="59" spans="1:137" s="9" customFormat="1" x14ac:dyDescent="0.25">
      <c r="A59" s="1"/>
      <c r="B59" s="37"/>
      <c r="C59" s="46">
        <f t="shared" si="20"/>
        <v>10</v>
      </c>
      <c r="D59" s="46">
        <f t="shared" ca="1" si="55"/>
        <v>0.91948232224091875</v>
      </c>
      <c r="E59" s="46">
        <f t="shared" ca="1" si="55"/>
        <v>0.53197237328304969</v>
      </c>
      <c r="F59" s="46">
        <f t="shared" ref="F59:G59" ca="1" si="63">AVERAGE(D55:D63)</f>
        <v>0.66329698204502907</v>
      </c>
      <c r="G59" s="46">
        <f t="shared" ca="1" si="63"/>
        <v>0.51509259009825425</v>
      </c>
      <c r="H59" s="46">
        <f t="shared" ca="1" si="4"/>
        <v>0.89306968892180505</v>
      </c>
      <c r="I59" s="46">
        <f t="shared" ca="1" si="5"/>
        <v>0.61217896088216606</v>
      </c>
      <c r="J59" s="46">
        <f t="shared" ca="1" si="6"/>
        <v>-0.75235717983186112</v>
      </c>
      <c r="K59" s="46">
        <f t="shared" ca="1" si="7"/>
        <v>0.7896647005449744</v>
      </c>
      <c r="L59" s="12">
        <f t="shared" ca="1" si="8"/>
        <v>1.5742928460504417</v>
      </c>
      <c r="M59" s="12">
        <f t="shared" ca="1" si="9"/>
        <v>14.763826451907411</v>
      </c>
      <c r="N59" s="46">
        <f t="shared" ca="1" si="10"/>
        <v>1.5742928460504417</v>
      </c>
      <c r="O59" s="12">
        <f t="shared" ca="1" si="11"/>
        <v>14.763826451907411</v>
      </c>
      <c r="P59" s="67">
        <f t="shared" ca="1" si="57"/>
        <v>-0.20925995335637571</v>
      </c>
      <c r="Q59" s="46">
        <f t="shared" ca="1" si="13"/>
        <v>12.980273652500593</v>
      </c>
      <c r="R59" s="46">
        <f t="shared" ca="1" si="14"/>
        <v>-2.7162514590752664</v>
      </c>
      <c r="S59" s="46">
        <f t="shared" ca="1" si="15"/>
        <v>4.3789728078712536E-2</v>
      </c>
      <c r="T59" s="46">
        <f t="shared" ca="1" si="16"/>
        <v>3.6846235308009598E-3</v>
      </c>
      <c r="U59" s="46">
        <f t="shared" ca="1" si="17"/>
        <v>5.7116174319241919</v>
      </c>
      <c r="V59" s="46">
        <f t="shared" ca="1" si="54"/>
        <v>14.703125351993151</v>
      </c>
      <c r="W59" s="68">
        <f t="shared" ca="1" si="18"/>
        <v>-6.0701099914259871E-2</v>
      </c>
      <c r="X59" s="46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9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</row>
    <row r="60" spans="1:137" s="9" customFormat="1" x14ac:dyDescent="0.25">
      <c r="A60" s="1"/>
      <c r="B60" s="37"/>
      <c r="C60" s="46">
        <f t="shared" si="20"/>
        <v>10.25</v>
      </c>
      <c r="D60" s="46">
        <f t="shared" ca="1" si="55"/>
        <v>0.58766324524655933</v>
      </c>
      <c r="E60" s="46">
        <f t="shared" ca="1" si="55"/>
        <v>0.47460676689834524</v>
      </c>
      <c r="F60" s="46">
        <f t="shared" ref="F60:G60" ca="1" si="64">AVERAGE(D56:D64)</f>
        <v>0.63723843560094373</v>
      </c>
      <c r="G60" s="46">
        <f t="shared" ca="1" si="64"/>
        <v>0.58707980232863166</v>
      </c>
      <c r="H60" s="46">
        <f t="shared" ca="1" si="4"/>
        <v>0.83534655134347291</v>
      </c>
      <c r="I60" s="46">
        <f t="shared" ca="1" si="5"/>
        <v>0.76508834370715351</v>
      </c>
      <c r="J60" s="46">
        <f t="shared" ca="1" si="6"/>
        <v>-0.89125251803947736</v>
      </c>
      <c r="K60" s="46">
        <f t="shared" ca="1" si="7"/>
        <v>0.690042667877245</v>
      </c>
      <c r="L60" s="12">
        <f t="shared" ca="1" si="8"/>
        <v>1.5326242445881568</v>
      </c>
      <c r="M60" s="12">
        <f t="shared" ca="1" si="9"/>
        <v>14.415149337570357</v>
      </c>
      <c r="N60" s="46">
        <f t="shared" ca="1" si="10"/>
        <v>1.5326242445881568</v>
      </c>
      <c r="O60" s="12">
        <f t="shared" ca="1" si="11"/>
        <v>14.415149337570357</v>
      </c>
      <c r="P60" s="67">
        <f t="shared" ca="1" si="57"/>
        <v>-0.25092855481866061</v>
      </c>
      <c r="Q60" s="46">
        <f t="shared" ca="1" si="13"/>
        <v>12.631596538163539</v>
      </c>
      <c r="R60" s="46">
        <f t="shared" ca="1" si="14"/>
        <v>-3.169628264373773</v>
      </c>
      <c r="S60" s="46">
        <f t="shared" ca="1" si="15"/>
        <v>6.2965139623381558E-2</v>
      </c>
      <c r="T60" s="46">
        <f t="shared" ca="1" si="16"/>
        <v>0.56516469282084292</v>
      </c>
      <c r="U60" s="46">
        <f t="shared" ca="1" si="17"/>
        <v>4.1665869588019442</v>
      </c>
      <c r="V60" s="46">
        <f t="shared" ca="1" si="54"/>
        <v>15.166923700541616</v>
      </c>
      <c r="W60" s="68">
        <f t="shared" ca="1" si="18"/>
        <v>0.75177436297125944</v>
      </c>
      <c r="X60" s="46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9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</row>
    <row r="61" spans="1:137" s="9" customFormat="1" x14ac:dyDescent="0.25">
      <c r="A61" s="1"/>
      <c r="B61" s="37"/>
      <c r="C61" s="46">
        <f t="shared" si="20"/>
        <v>10.5</v>
      </c>
      <c r="D61" s="46">
        <f t="shared" ca="1" si="55"/>
        <v>0.64966627130231258</v>
      </c>
      <c r="E61" s="46">
        <f t="shared" ca="1" si="55"/>
        <v>0.91231799409819803</v>
      </c>
      <c r="F61" s="46">
        <f t="shared" ref="F61:G61" ca="1" si="65">AVERAGE(D57:D65)</f>
        <v>0.65539489722669264</v>
      </c>
      <c r="G61" s="46">
        <f t="shared" ca="1" si="65"/>
        <v>0.61537866362425941</v>
      </c>
      <c r="H61" s="46">
        <f t="shared" ca="1" si="4"/>
        <v>0.87556552267434284</v>
      </c>
      <c r="I61" s="46">
        <f t="shared" ca="1" si="5"/>
        <v>0.82519848384588179</v>
      </c>
      <c r="J61" s="46">
        <f t="shared" ca="1" si="6"/>
        <v>-0.13810909951300471</v>
      </c>
      <c r="K61" s="46">
        <f t="shared" ca="1" si="7"/>
        <v>-0.16851425694148003</v>
      </c>
      <c r="L61" s="12">
        <f t="shared" ca="1" si="8"/>
        <v>1.7585672701460986</v>
      </c>
      <c r="M61" s="12">
        <f t="shared" ca="1" si="9"/>
        <v>11.41020010070482</v>
      </c>
      <c r="N61" s="46">
        <f t="shared" ca="1" si="10"/>
        <v>1.7585672701460986</v>
      </c>
      <c r="O61" s="12">
        <f t="shared" ca="1" si="11"/>
        <v>11.41020010070482</v>
      </c>
      <c r="P61" s="67">
        <f t="shared" ca="1" si="57"/>
        <v>-2.4985529260718842E-2</v>
      </c>
      <c r="Q61" s="46">
        <f t="shared" ca="1" si="13"/>
        <v>9.6266473012980036</v>
      </c>
      <c r="R61" s="46">
        <f t="shared" ca="1" si="14"/>
        <v>-0.24052687782920135</v>
      </c>
      <c r="S61" s="46">
        <f t="shared" ca="1" si="15"/>
        <v>6.2427667243823747E-4</v>
      </c>
      <c r="T61" s="46">
        <f t="shared" ca="1" si="16"/>
        <v>1.5421475313027746</v>
      </c>
      <c r="U61" s="46">
        <f t="shared" ca="1" si="17"/>
        <v>0.92877032611103816</v>
      </c>
      <c r="V61" s="46">
        <f t="shared" ca="1" si="54"/>
        <v>12.65203242888072</v>
      </c>
      <c r="W61" s="68">
        <f t="shared" ca="1" si="18"/>
        <v>1.2418323281758994</v>
      </c>
      <c r="X61" s="46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9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</row>
    <row r="62" spans="1:137" s="9" customFormat="1" x14ac:dyDescent="0.25">
      <c r="A62" s="1"/>
      <c r="B62" s="37"/>
      <c r="C62" s="46">
        <f t="shared" si="20"/>
        <v>10.75</v>
      </c>
      <c r="D62" s="46">
        <f t="shared" ca="1" si="55"/>
        <v>0.71177870848210101</v>
      </c>
      <c r="E62" s="46">
        <f t="shared" ca="1" si="55"/>
        <v>0.30267405355988841</v>
      </c>
      <c r="F62" s="46">
        <f t="shared" ref="F62:G62" ca="1" si="66">AVERAGE(D58:D66)</f>
        <v>0.61676395304546627</v>
      </c>
      <c r="G62" s="46">
        <f t="shared" ca="1" si="66"/>
        <v>0.61638653644325236</v>
      </c>
      <c r="H62" s="46">
        <f t="shared" ca="1" si="4"/>
        <v>0.78999285611987613</v>
      </c>
      <c r="I62" s="46">
        <f t="shared" ca="1" si="5"/>
        <v>0.82733932533624388</v>
      </c>
      <c r="J62" s="46">
        <f t="shared" ca="1" si="6"/>
        <v>-0.6846647945398262</v>
      </c>
      <c r="K62" s="46">
        <f t="shared" ca="1" si="7"/>
        <v>0.36068346988938826</v>
      </c>
      <c r="L62" s="12">
        <f t="shared" ca="1" si="8"/>
        <v>1.5946005616380523</v>
      </c>
      <c r="M62" s="12">
        <f t="shared" ca="1" si="9"/>
        <v>13.262392144612859</v>
      </c>
      <c r="N62" s="46">
        <f t="shared" ca="1" si="10"/>
        <v>1.5946005616380523</v>
      </c>
      <c r="O62" s="12">
        <f t="shared" ca="1" si="11"/>
        <v>13.262392144612859</v>
      </c>
      <c r="P62" s="67">
        <f t="shared" ca="1" si="57"/>
        <v>-0.18895223776876513</v>
      </c>
      <c r="Q62" s="46">
        <f t="shared" ca="1" si="13"/>
        <v>11.47883934520604</v>
      </c>
      <c r="R62" s="46">
        <f t="shared" ca="1" si="14"/>
        <v>-2.1689523812648281</v>
      </c>
      <c r="S62" s="46">
        <f t="shared" ca="1" si="15"/>
        <v>3.5702948157823954E-2</v>
      </c>
      <c r="T62" s="46">
        <f t="shared" ca="1" si="16"/>
        <v>1.4754845858848737</v>
      </c>
      <c r="U62" s="46">
        <f t="shared" ca="1" si="17"/>
        <v>0.78936958517644973</v>
      </c>
      <c r="V62" s="46">
        <f t="shared" ca="1" si="54"/>
        <v>14.477087409230645</v>
      </c>
      <c r="W62" s="68">
        <f t="shared" ca="1" si="18"/>
        <v>1.2146952646177862</v>
      </c>
      <c r="X62" s="46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9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</row>
    <row r="63" spans="1:137" s="9" customFormat="1" x14ac:dyDescent="0.25">
      <c r="A63" s="1"/>
      <c r="B63" s="37"/>
      <c r="C63" s="46">
        <f t="shared" si="20"/>
        <v>11</v>
      </c>
      <c r="D63" s="46">
        <f t="shared" ca="1" si="55"/>
        <v>0.47917372169325412</v>
      </c>
      <c r="E63" s="46">
        <f t="shared" ca="1" si="55"/>
        <v>0.57307595200312555</v>
      </c>
      <c r="F63" s="46">
        <f t="shared" ref="F63:G63" ca="1" si="67">AVERAGE(D59:D67)</f>
        <v>0.57376859934175517</v>
      </c>
      <c r="G63" s="46">
        <f t="shared" ca="1" si="67"/>
        <v>0.64986707486433248</v>
      </c>
      <c r="H63" s="46">
        <f t="shared" ca="1" si="4"/>
        <v>0.69475244344399234</v>
      </c>
      <c r="I63" s="46">
        <f t="shared" ca="1" si="5"/>
        <v>0.89845596269444539</v>
      </c>
      <c r="J63" s="46">
        <f t="shared" ca="1" si="6"/>
        <v>-1.2419380725916751</v>
      </c>
      <c r="K63" s="46">
        <f t="shared" ca="1" si="7"/>
        <v>1.569891783232898</v>
      </c>
      <c r="L63" s="12">
        <f t="shared" ca="1" si="8"/>
        <v>1.4274185782224975</v>
      </c>
      <c r="M63" s="12">
        <f t="shared" ca="1" si="9"/>
        <v>17.494621241315144</v>
      </c>
      <c r="N63" s="46">
        <f t="shared" ca="1" si="10"/>
        <v>1.4274185782224975</v>
      </c>
      <c r="O63" s="12">
        <f t="shared" ca="1" si="11"/>
        <v>17.494621241315144</v>
      </c>
      <c r="P63" s="67">
        <f t="shared" ca="1" si="57"/>
        <v>-0.35613422118431992</v>
      </c>
      <c r="Q63" s="46">
        <f t="shared" ca="1" si="13"/>
        <v>15.711068441908328</v>
      </c>
      <c r="R63" s="46">
        <f t="shared" ca="1" si="14"/>
        <v>-5.595249123532569</v>
      </c>
      <c r="S63" s="46">
        <f t="shared" ca="1" si="15"/>
        <v>0.12683158349856211</v>
      </c>
      <c r="T63" s="46">
        <f t="shared" ca="1" si="16"/>
        <v>1.3379335442134341</v>
      </c>
      <c r="U63" s="46">
        <f t="shared" ca="1" si="17"/>
        <v>26.221505317099162</v>
      </c>
      <c r="V63" s="46">
        <f t="shared" ca="1" si="54"/>
        <v>16.337930468371297</v>
      </c>
      <c r="W63" s="68">
        <f t="shared" ca="1" si="18"/>
        <v>-1.1566907729438469</v>
      </c>
      <c r="X63" s="46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9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</row>
    <row r="64" spans="1:137" s="9" customFormat="1" ht="15.75" thickBot="1" x14ac:dyDescent="0.3">
      <c r="A64" s="1"/>
      <c r="B64" s="37"/>
      <c r="C64" s="46">
        <f t="shared" si="20"/>
        <v>11.25</v>
      </c>
      <c r="D64" s="46">
        <f t="shared" ca="1" si="55"/>
        <v>0.6722113415477885</v>
      </c>
      <c r="E64" s="46">
        <f t="shared" ca="1" si="55"/>
        <v>0.90303563027279932</v>
      </c>
      <c r="F64" s="46">
        <f t="shared" ref="F64:G64" ca="1" si="68">AVERAGE(D60:D68)</f>
        <v>0.4898305348252639</v>
      </c>
      <c r="G64" s="46">
        <f t="shared" ca="1" si="68"/>
        <v>0.59943309808127099</v>
      </c>
      <c r="H64" s="46">
        <f t="shared" ca="1" si="4"/>
        <v>0.50881849442113403</v>
      </c>
      <c r="I64" s="46">
        <f t="shared" ca="1" si="5"/>
        <v>0.79132821007877441</v>
      </c>
      <c r="J64" s="46">
        <f t="shared" ca="1" si="6"/>
        <v>-0.99535356920175366</v>
      </c>
      <c r="K64" s="46">
        <f t="shared" ca="1" si="7"/>
        <v>0.96740960880817572</v>
      </c>
      <c r="L64" s="12">
        <f t="shared" ca="1" si="8"/>
        <v>1.501393929239474</v>
      </c>
      <c r="M64" s="12">
        <f t="shared" ca="1" si="9"/>
        <v>15.385933630828616</v>
      </c>
      <c r="N64" s="46">
        <f t="shared" ca="1" si="10"/>
        <v>1.501393929239474</v>
      </c>
      <c r="O64" s="12">
        <f t="shared" ca="1" si="11"/>
        <v>15.385933630828616</v>
      </c>
      <c r="P64" s="67">
        <f t="shared" ca="1" si="57"/>
        <v>-0.28215887016734342</v>
      </c>
      <c r="Q64" s="46">
        <f t="shared" ca="1" si="13"/>
        <v>13.602380831421797</v>
      </c>
      <c r="R64" s="46">
        <f t="shared" ca="1" si="14"/>
        <v>-3.8380324069799037</v>
      </c>
      <c r="S64" s="46">
        <f t="shared" ca="1" si="15"/>
        <v>7.9613628014111759E-2</v>
      </c>
      <c r="T64" s="46">
        <f t="shared" ca="1" si="16"/>
        <v>1.6538879926566299E-2</v>
      </c>
      <c r="U64" s="46">
        <f t="shared" ca="1" si="17"/>
        <v>9.0721814760926449</v>
      </c>
      <c r="V64" s="46">
        <f t="shared" ca="1" si="54"/>
        <v>15.514537207476259</v>
      </c>
      <c r="W64" s="68">
        <f t="shared" ca="1" si="18"/>
        <v>0.12860357664764344</v>
      </c>
      <c r="X64" s="46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9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</row>
    <row r="65" spans="1:137" s="9" customFormat="1" ht="19.5" thickBot="1" x14ac:dyDescent="0.35">
      <c r="A65" s="1"/>
      <c r="B65" s="37"/>
      <c r="C65" s="46">
        <f t="shared" si="20"/>
        <v>11.5</v>
      </c>
      <c r="D65" s="46">
        <f t="shared" ca="1" si="55"/>
        <v>0.67749140857537427</v>
      </c>
      <c r="E65" s="46">
        <f t="shared" ca="1" si="55"/>
        <v>0.37993710732401709</v>
      </c>
      <c r="F65" s="46">
        <f t="shared" ref="F65:G65" ca="1" si="69">AVERAGE(D61:D69)</f>
        <v>0.42497332103870517</v>
      </c>
      <c r="G65" s="46">
        <f t="shared" ca="1" si="69"/>
        <v>0.58332541928913995</v>
      </c>
      <c r="H65" s="46">
        <f t="shared" ca="1" si="4"/>
        <v>0.36515116123422958</v>
      </c>
      <c r="I65" s="46">
        <f t="shared" ca="1" si="5"/>
        <v>0.75711358852952448</v>
      </c>
      <c r="J65" s="46">
        <f t="shared" ca="1" si="6"/>
        <v>0.33566092424838578</v>
      </c>
      <c r="K65" s="46">
        <f t="shared" ca="1" si="7"/>
        <v>-1.1909470571549674</v>
      </c>
      <c r="L65" s="12">
        <f t="shared" ca="1" si="8"/>
        <v>1.9006982772745158</v>
      </c>
      <c r="M65" s="12">
        <f t="shared" ca="1" si="9"/>
        <v>7.8316852999576145</v>
      </c>
      <c r="N65" s="46">
        <f t="shared" ca="1" si="10"/>
        <v>1.9006982772745158</v>
      </c>
      <c r="O65" s="12">
        <f t="shared" ca="1" si="11"/>
        <v>7.8316852999576145</v>
      </c>
      <c r="P65" s="67">
        <f t="shared" ca="1" si="57"/>
        <v>0.11714547786769836</v>
      </c>
      <c r="Q65" s="46">
        <f t="shared" ca="1" si="13"/>
        <v>6.0481325005507971</v>
      </c>
      <c r="R65" s="46">
        <f t="shared" ca="1" si="14"/>
        <v>0.70851137198418046</v>
      </c>
      <c r="S65" s="46">
        <f t="shared" ca="1" si="15"/>
        <v>1.3723062984851405E-2</v>
      </c>
      <c r="T65" s="46">
        <f t="shared" ca="1" si="16"/>
        <v>10.486830129702872</v>
      </c>
      <c r="U65" s="46">
        <f t="shared" ca="1" si="17"/>
        <v>20.631963383554414</v>
      </c>
      <c r="V65" s="46">
        <f t="shared" ca="1" si="54"/>
        <v>11.07002285643669</v>
      </c>
      <c r="W65" s="68">
        <f t="shared" ca="1" si="18"/>
        <v>3.2383375564790757</v>
      </c>
      <c r="X65" s="46"/>
      <c r="Y65" s="38"/>
      <c r="Z65" s="133" t="s">
        <v>45</v>
      </c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7"/>
      <c r="BA65" s="38"/>
      <c r="BB65" s="39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</row>
    <row r="66" spans="1:137" s="9" customFormat="1" x14ac:dyDescent="0.25">
      <c r="A66" s="1"/>
      <c r="B66" s="37"/>
      <c r="C66" s="46">
        <f t="shared" si="20"/>
        <v>11.75</v>
      </c>
      <c r="D66" s="46">
        <f t="shared" ca="1" si="55"/>
        <v>0.34301814123272911</v>
      </c>
      <c r="E66" s="46">
        <f t="shared" ca="1" si="55"/>
        <v>0.90060263199724833</v>
      </c>
      <c r="F66" s="46">
        <f t="shared" ref="F66:G66" ca="1" si="70">AVERAGE(D62:D70)</f>
        <v>0.41858631006425451</v>
      </c>
      <c r="G66" s="46">
        <f t="shared" ca="1" si="70"/>
        <v>0.4840885368220344</v>
      </c>
      <c r="H66" s="46">
        <f t="shared" ca="1" si="4"/>
        <v>0.35100308455682866</v>
      </c>
      <c r="I66" s="46">
        <f t="shared" ca="1" si="5"/>
        <v>0.54632267190172878</v>
      </c>
      <c r="J66" s="46">
        <f t="shared" ca="1" si="6"/>
        <v>1.0583552516638244</v>
      </c>
      <c r="K66" s="46">
        <f t="shared" ca="1" si="7"/>
        <v>8.4002421515609993E-2</v>
      </c>
      <c r="L66" s="12">
        <f t="shared" ca="1" si="8"/>
        <v>2.1175065754991476</v>
      </c>
      <c r="M66" s="12">
        <f t="shared" ca="1" si="9"/>
        <v>12.294008475304635</v>
      </c>
      <c r="N66" s="46">
        <f t="shared" ca="1" si="10"/>
        <v>2.1175065754991476</v>
      </c>
      <c r="O66" s="12">
        <f t="shared" ca="1" si="11"/>
        <v>12.294008475304635</v>
      </c>
      <c r="P66" s="67">
        <f t="shared" ca="1" si="57"/>
        <v>0.33395377609233012</v>
      </c>
      <c r="Q66" s="46">
        <f t="shared" ca="1" si="13"/>
        <v>10.510455675897816</v>
      </c>
      <c r="R66" s="46">
        <f t="shared" ca="1" si="14"/>
        <v>3.5100063614171395</v>
      </c>
      <c r="S66" s="46">
        <f t="shared" ca="1" si="15"/>
        <v>0.11152512456632616</v>
      </c>
      <c r="T66" s="46">
        <f t="shared" ca="1" si="16"/>
        <v>13.229234729751914</v>
      </c>
      <c r="U66" s="46">
        <f t="shared" ca="1" si="17"/>
        <v>6.3870360755497631E-3</v>
      </c>
      <c r="V66" s="46">
        <f t="shared" ca="1" si="54"/>
        <v>8.6568069783083637</v>
      </c>
      <c r="W66" s="68">
        <f t="shared" ca="1" si="18"/>
        <v>-3.6372014969962709</v>
      </c>
      <c r="X66" s="46"/>
      <c r="Y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38"/>
      <c r="BB66" s="39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</row>
    <row r="67" spans="1:137" s="9" customFormat="1" x14ac:dyDescent="0.25">
      <c r="A67" s="1"/>
      <c r="B67" s="37"/>
      <c r="C67" s="46">
        <f t="shared" si="20"/>
        <v>12</v>
      </c>
      <c r="D67" s="46">
        <f t="shared" ca="1" si="55"/>
        <v>0.12343223375475898</v>
      </c>
      <c r="E67" s="46">
        <f t="shared" ca="1" si="55"/>
        <v>0.87058116434232191</v>
      </c>
      <c r="F67" s="46">
        <f t="shared" ref="F67:G67" ca="1" si="71">AVERAGE(D63:D71)</f>
        <v>0.40601028657801153</v>
      </c>
      <c r="G67" s="46">
        <f t="shared" ca="1" si="71"/>
        <v>0.49905585317417306</v>
      </c>
      <c r="H67" s="46">
        <f t="shared" ca="1" si="4"/>
        <v>0.3231455240654027</v>
      </c>
      <c r="I67" s="46">
        <f t="shared" ca="1" si="5"/>
        <v>0.57811502828063144</v>
      </c>
      <c r="J67" s="46">
        <f t="shared" ca="1" si="6"/>
        <v>-0.32622581797154565</v>
      </c>
      <c r="K67" s="46">
        <f t="shared" ca="1" si="7"/>
        <v>-0.19934318859625488</v>
      </c>
      <c r="L67" s="12">
        <f t="shared" ca="1" si="8"/>
        <v>1.7021322546085365</v>
      </c>
      <c r="M67" s="12">
        <f t="shared" ca="1" si="9"/>
        <v>11.302298839913108</v>
      </c>
      <c r="N67" s="46">
        <f t="shared" ca="1" si="10"/>
        <v>1.7021322546085365</v>
      </c>
      <c r="O67" s="12">
        <f t="shared" ca="1" si="11"/>
        <v>11.302298839913108</v>
      </c>
      <c r="P67" s="67">
        <f t="shared" ca="1" si="57"/>
        <v>-8.142054479828098E-2</v>
      </c>
      <c r="Q67" s="46">
        <f t="shared" ca="1" si="13"/>
        <v>9.51874604050629</v>
      </c>
      <c r="R67" s="46">
        <f t="shared" ca="1" si="14"/>
        <v>-0.77502148841450214</v>
      </c>
      <c r="S67" s="46">
        <f t="shared" ca="1" si="15"/>
        <v>6.6293051152488802E-3</v>
      </c>
      <c r="T67" s="46">
        <f t="shared" ca="1" si="16"/>
        <v>3.9120552942824203</v>
      </c>
      <c r="U67" s="46">
        <f t="shared" ca="1" si="17"/>
        <v>1.1483877915923359</v>
      </c>
      <c r="V67" s="46">
        <f t="shared" ca="1" si="54"/>
        <v>13.280190468461655</v>
      </c>
      <c r="W67" s="68">
        <f t="shared" ca="1" si="18"/>
        <v>1.9778916285485462</v>
      </c>
      <c r="X67" s="46"/>
      <c r="Y67" s="46"/>
      <c r="Z67" s="107" t="s">
        <v>83</v>
      </c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107" t="s">
        <v>91</v>
      </c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38"/>
      <c r="BB67" s="39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</row>
    <row r="68" spans="1:137" s="9" customFormat="1" x14ac:dyDescent="0.25">
      <c r="A68" s="1"/>
      <c r="B68" s="37"/>
      <c r="C68" s="46">
        <f t="shared" si="20"/>
        <v>12.25</v>
      </c>
      <c r="D68" s="46">
        <f t="shared" ca="1" si="55"/>
        <v>0.16403974159249701</v>
      </c>
      <c r="E68" s="46">
        <f t="shared" ca="1" si="55"/>
        <v>7.8066582235495452E-2</v>
      </c>
      <c r="F68" s="46">
        <f t="shared" ref="F68:G68" ca="1" si="72">AVERAGE(D64:D72)</f>
        <v>0.41838364029581493</v>
      </c>
      <c r="G68" s="46">
        <f t="shared" ca="1" si="72"/>
        <v>0.47862290313708972</v>
      </c>
      <c r="H68" s="46">
        <f t="shared" ca="1" si="4"/>
        <v>0.35055414413140207</v>
      </c>
      <c r="I68" s="46">
        <f t="shared" ca="1" si="5"/>
        <v>0.53471301724754172</v>
      </c>
      <c r="J68" s="46">
        <f t="shared" ca="1" si="6"/>
        <v>0.26682257232861456</v>
      </c>
      <c r="K68" s="46">
        <f t="shared" ca="1" si="7"/>
        <v>-0.36142644494712173</v>
      </c>
      <c r="L68" s="12">
        <f t="shared" ca="1" si="8"/>
        <v>1.8800467716985845</v>
      </c>
      <c r="M68" s="12">
        <f t="shared" ca="1" si="9"/>
        <v>10.735007442685074</v>
      </c>
      <c r="N68" s="46">
        <f t="shared" ca="1" si="10"/>
        <v>1.8800467716985845</v>
      </c>
      <c r="O68" s="12">
        <f t="shared" ca="1" si="11"/>
        <v>10.735007442685074</v>
      </c>
      <c r="P68" s="67">
        <f t="shared" ca="1" si="57"/>
        <v>9.6493972291767038E-2</v>
      </c>
      <c r="Q68" s="46">
        <f t="shared" ca="1" si="13"/>
        <v>8.9514546432782574</v>
      </c>
      <c r="R68" s="46">
        <f t="shared" ca="1" si="14"/>
        <v>0.86376141631950154</v>
      </c>
      <c r="S68" s="46">
        <f t="shared" ca="1" si="15"/>
        <v>9.3110866886443044E-3</v>
      </c>
      <c r="T68" s="46">
        <f t="shared" ca="1" si="16"/>
        <v>0.31908936956812939</v>
      </c>
      <c r="U68" s="46">
        <f t="shared" ca="1" si="17"/>
        <v>2.6860586582937218</v>
      </c>
      <c r="V68" s="46">
        <f t="shared" ca="1" si="54"/>
        <v>11.299887403002423</v>
      </c>
      <c r="W68" s="68">
        <f t="shared" ca="1" si="18"/>
        <v>0.56487996031734866</v>
      </c>
      <c r="X68" s="46"/>
      <c r="Y68" s="46"/>
      <c r="Z68" s="107" t="s">
        <v>84</v>
      </c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107" t="s">
        <v>98</v>
      </c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38"/>
      <c r="BB68" s="39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</row>
    <row r="69" spans="1:137" s="9" customFormat="1" x14ac:dyDescent="0.25">
      <c r="A69" s="1"/>
      <c r="B69" s="37"/>
      <c r="C69" s="46">
        <f t="shared" si="20"/>
        <v>12.5</v>
      </c>
      <c r="D69" s="46">
        <f t="shared" ca="1" si="55"/>
        <v>3.9483211675308549E-3</v>
      </c>
      <c r="E69" s="46">
        <f t="shared" ca="1" si="55"/>
        <v>0.3296376577691652</v>
      </c>
      <c r="F69" s="46">
        <f t="shared" ref="F69:G69" ca="1" si="73">AVERAGE(D65:D73)</f>
        <v>0.38355616956197047</v>
      </c>
      <c r="G69" s="46">
        <f t="shared" ca="1" si="73"/>
        <v>0.39532590463465561</v>
      </c>
      <c r="H69" s="46">
        <f t="shared" ca="1" si="4"/>
        <v>0.27340667587223738</v>
      </c>
      <c r="I69" s="46">
        <f t="shared" ca="1" si="5"/>
        <v>0.35778030604017058</v>
      </c>
      <c r="J69" s="46">
        <f t="shared" ca="1" si="6"/>
        <v>1.2960177871277641</v>
      </c>
      <c r="K69" s="46">
        <f t="shared" ca="1" si="7"/>
        <v>-1.1701078391153954</v>
      </c>
      <c r="L69" s="12">
        <f t="shared" ca="1" si="8"/>
        <v>2.1888053361383291</v>
      </c>
      <c r="M69" s="12">
        <f t="shared" ca="1" si="9"/>
        <v>7.9046225630961162</v>
      </c>
      <c r="N69" s="46">
        <f t="shared" ca="1" si="10"/>
        <v>2.1888053361383291</v>
      </c>
      <c r="O69" s="12">
        <f t="shared" ca="1" si="11"/>
        <v>7.9046225630961162</v>
      </c>
      <c r="P69" s="67">
        <f t="shared" ca="1" si="57"/>
        <v>0.40525253673151163</v>
      </c>
      <c r="Q69" s="46">
        <f t="shared" ca="1" si="13"/>
        <v>6.1210697636892988</v>
      </c>
      <c r="R69" s="46">
        <f t="shared" ca="1" si="14"/>
        <v>2.4805790492456428</v>
      </c>
      <c r="S69" s="46">
        <f t="shared" ca="1" si="15"/>
        <v>0.16422961852732518</v>
      </c>
      <c r="T69" s="46">
        <f t="shared" ca="1" si="16"/>
        <v>1.715340749217964E-3</v>
      </c>
      <c r="U69" s="46">
        <f t="shared" ca="1" si="17"/>
        <v>19.974685811913822</v>
      </c>
      <c r="V69" s="46">
        <f t="shared" ca="1" si="54"/>
        <v>7.8632058907380191</v>
      </c>
      <c r="W69" s="68">
        <f t="shared" ca="1" si="18"/>
        <v>-4.1416672358097095E-2</v>
      </c>
      <c r="X69" s="46"/>
      <c r="Y69" s="46"/>
      <c r="Z69" s="38" t="s">
        <v>85</v>
      </c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 t="s">
        <v>99</v>
      </c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9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</row>
    <row r="70" spans="1:137" s="9" customFormat="1" ht="15.75" thickBot="1" x14ac:dyDescent="0.3">
      <c r="A70" s="1"/>
      <c r="B70" s="37"/>
      <c r="C70" s="46">
        <f t="shared" si="20"/>
        <v>12.75</v>
      </c>
      <c r="D70" s="46">
        <f t="shared" ca="1" si="55"/>
        <v>0.59218317253225727</v>
      </c>
      <c r="E70" s="46">
        <f t="shared" ca="1" si="55"/>
        <v>1.9186051894247713E-2</v>
      </c>
      <c r="F70" s="46">
        <f t="shared" ref="F70:G70" ca="1" si="74">AVERAGE(D66:D74)</f>
        <v>0.33863847345276327</v>
      </c>
      <c r="G70" s="46">
        <f t="shared" ca="1" si="74"/>
        <v>0.46180550731720366</v>
      </c>
      <c r="H70" s="46">
        <f t="shared" ca="1" si="4"/>
        <v>0.17390801972973469</v>
      </c>
      <c r="I70" s="46">
        <f t="shared" ca="1" si="5"/>
        <v>0.49899087249615548</v>
      </c>
      <c r="J70" s="46">
        <f t="shared" ca="1" si="6"/>
        <v>-0.7145932583641188</v>
      </c>
      <c r="K70" s="46">
        <f t="shared" ca="1" si="7"/>
        <v>0.17766349571924456</v>
      </c>
      <c r="L70" s="12">
        <f t="shared" ca="1" si="8"/>
        <v>1.5856220224907644</v>
      </c>
      <c r="M70" s="12">
        <f t="shared" ca="1" si="9"/>
        <v>12.621822235017357</v>
      </c>
      <c r="N70" s="46">
        <f t="shared" ca="1" si="10"/>
        <v>1.5856220224907644</v>
      </c>
      <c r="O70" s="12">
        <f t="shared" ca="1" si="11"/>
        <v>12.621822235017357</v>
      </c>
      <c r="P70" s="67">
        <f t="shared" ca="1" si="57"/>
        <v>-0.19793077691605299</v>
      </c>
      <c r="Q70" s="46">
        <f t="shared" ca="1" si="13"/>
        <v>10.838269435610538</v>
      </c>
      <c r="R70" s="46">
        <f t="shared" ca="1" si="14"/>
        <v>-2.1452270898159052</v>
      </c>
      <c r="S70" s="46">
        <f t="shared" ca="1" si="15"/>
        <v>3.917659245059233E-2</v>
      </c>
      <c r="T70" s="46">
        <f t="shared" ca="1" si="16"/>
        <v>3.8228152234015162</v>
      </c>
      <c r="U70" s="46">
        <f t="shared" ca="1" si="17"/>
        <v>6.1451844417078488E-2</v>
      </c>
      <c r="V70" s="46">
        <f t="shared" ca="1" si="54"/>
        <v>14.577024327743711</v>
      </c>
      <c r="W70" s="68">
        <f t="shared" ca="1" si="18"/>
        <v>1.9552020927263545</v>
      </c>
      <c r="X70" s="46"/>
      <c r="Y70" s="46"/>
      <c r="Z70" s="12"/>
      <c r="AA70" s="12"/>
      <c r="AB70" s="12"/>
      <c r="AC70" s="12"/>
      <c r="AD70" s="12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9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</row>
    <row r="71" spans="1:137" s="9" customFormat="1" x14ac:dyDescent="0.25">
      <c r="A71" s="1"/>
      <c r="B71" s="37"/>
      <c r="C71" s="46">
        <f t="shared" si="20"/>
        <v>13</v>
      </c>
      <c r="D71" s="46">
        <f t="shared" ca="1" si="55"/>
        <v>0.59859449710591461</v>
      </c>
      <c r="E71" s="46">
        <f t="shared" ca="1" si="55"/>
        <v>0.43737990072913646</v>
      </c>
      <c r="F71" s="46">
        <f t="shared" ref="F71:G71" ca="1" si="75">AVERAGE(D67:D75)</f>
        <v>0.37444824576317892</v>
      </c>
      <c r="G71" s="46">
        <f t="shared" ca="1" si="75"/>
        <v>0.4467453102960216</v>
      </c>
      <c r="H71" s="46">
        <f t="shared" ca="1" si="4"/>
        <v>0.25323141630360785</v>
      </c>
      <c r="I71" s="46">
        <f t="shared" ca="1" si="5"/>
        <v>0.46700122655234577</v>
      </c>
      <c r="J71" s="46">
        <f t="shared" ca="1" si="6"/>
        <v>0.84413148483310252</v>
      </c>
      <c r="K71" s="46">
        <f t="shared" ca="1" si="7"/>
        <v>-1.1144999653883314</v>
      </c>
      <c r="L71" s="12">
        <f t="shared" ca="1" si="8"/>
        <v>2.0532394454499308</v>
      </c>
      <c r="M71" s="12">
        <f t="shared" ca="1" si="9"/>
        <v>8.099250121140841</v>
      </c>
      <c r="N71" s="46">
        <f t="shared" ca="1" si="10"/>
        <v>2.0532394454499308</v>
      </c>
      <c r="O71" s="12">
        <f t="shared" ca="1" si="11"/>
        <v>8.099250121140841</v>
      </c>
      <c r="P71" s="67">
        <f t="shared" ca="1" si="57"/>
        <v>0.26968664604311332</v>
      </c>
      <c r="Q71" s="46">
        <f t="shared" ca="1" si="13"/>
        <v>6.3156973217340235</v>
      </c>
      <c r="R71" s="46">
        <f t="shared" ca="1" si="14"/>
        <v>1.7032592281219223</v>
      </c>
      <c r="S71" s="46">
        <f t="shared" ca="1" si="15"/>
        <v>7.2730887053983492E-2</v>
      </c>
      <c r="T71" s="46">
        <f t="shared" ca="1" si="16"/>
        <v>1.6202524432016492</v>
      </c>
      <c r="U71" s="46">
        <f t="shared" ca="1" si="17"/>
        <v>18.272865921358733</v>
      </c>
      <c r="V71" s="46">
        <f t="shared" ca="1" si="54"/>
        <v>9.3721414924689874</v>
      </c>
      <c r="W71" s="68">
        <f t="shared" ca="1" si="18"/>
        <v>1.2728913713281464</v>
      </c>
      <c r="X71" s="46"/>
      <c r="Y71" s="46"/>
      <c r="Z71" s="12"/>
      <c r="AA71" s="12"/>
      <c r="AB71" s="12"/>
      <c r="AC71" s="12"/>
      <c r="AD71" s="12"/>
      <c r="AE71" s="38" t="s">
        <v>86</v>
      </c>
      <c r="AF71" s="38"/>
      <c r="AG71" s="38"/>
      <c r="AH71" s="38"/>
      <c r="AI71" s="38"/>
      <c r="AJ71" s="38"/>
      <c r="AK71" s="38"/>
      <c r="AL71" s="45" t="s">
        <v>60</v>
      </c>
      <c r="AM71" s="38"/>
      <c r="AN71" s="38"/>
      <c r="AO71" s="158" t="s">
        <v>23</v>
      </c>
      <c r="AP71" s="13">
        <f ca="1">AM73</f>
        <v>-4.8268072759843221</v>
      </c>
      <c r="AQ71" s="14">
        <f ca="1">AP71+($AM$74-$AM$73)/10</f>
        <v>-3.8725089131397015</v>
      </c>
      <c r="AR71" s="14">
        <f ca="1">AQ71+($AM$74-$AM$73)/10</f>
        <v>-2.9182105502950808</v>
      </c>
      <c r="AS71" s="14">
        <f ca="1">AR71+($AM$74-$AM$73)/10</f>
        <v>-1.9639121874504604</v>
      </c>
      <c r="AT71" s="14">
        <f t="shared" ref="AT71:AY71" ca="1" si="76">AS71+($AM$74-$AM$73)/10</f>
        <v>-1.0096138246058399</v>
      </c>
      <c r="AU71" s="14">
        <f t="shared" ca="1" si="76"/>
        <v>-5.5315461761219487E-2</v>
      </c>
      <c r="AV71" s="14">
        <f t="shared" ca="1" si="76"/>
        <v>0.89898290108340095</v>
      </c>
      <c r="AW71" s="14">
        <f t="shared" ca="1" si="76"/>
        <v>1.8532812639280214</v>
      </c>
      <c r="AX71" s="14">
        <f t="shared" ca="1" si="76"/>
        <v>2.8075796267726418</v>
      </c>
      <c r="AY71" s="15">
        <f t="shared" ca="1" si="76"/>
        <v>3.7618779896172621</v>
      </c>
      <c r="AZ71" s="38"/>
      <c r="BA71" s="38"/>
      <c r="BB71" s="39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</row>
    <row r="72" spans="1:137" s="9" customFormat="1" ht="15.75" thickBot="1" x14ac:dyDescent="0.3">
      <c r="A72" s="1"/>
      <c r="B72" s="37"/>
      <c r="C72" s="46">
        <f t="shared" si="20"/>
        <v>13.25</v>
      </c>
      <c r="D72" s="46">
        <f t="shared" ca="1" si="55"/>
        <v>0.59053390515348358</v>
      </c>
      <c r="E72" s="46">
        <f t="shared" ca="1" si="55"/>
        <v>0.38917940166937592</v>
      </c>
      <c r="F72" s="46">
        <f t="shared" ref="F72:G72" ca="1" si="77">AVERAGE(D68:D76)</f>
        <v>0.44458118296059113</v>
      </c>
      <c r="G72" s="46">
        <f t="shared" ca="1" si="77"/>
        <v>0.39308414129096447</v>
      </c>
      <c r="H72" s="46">
        <f t="shared" ca="1" si="4"/>
        <v>0.40858517677928552</v>
      </c>
      <c r="I72" s="46">
        <f t="shared" ca="1" si="5"/>
        <v>0.35301853462684668</v>
      </c>
      <c r="J72" s="46">
        <f t="shared" ca="1" si="6"/>
        <v>-0.54005238735522576</v>
      </c>
      <c r="K72" s="46">
        <f t="shared" ca="1" si="7"/>
        <v>0.50220366861871635</v>
      </c>
      <c r="L72" s="12">
        <f t="shared" ca="1" si="8"/>
        <v>1.6379842837934324</v>
      </c>
      <c r="M72" s="12">
        <f t="shared" ca="1" si="9"/>
        <v>13.757712840165507</v>
      </c>
      <c r="N72" s="46">
        <f t="shared" ca="1" si="10"/>
        <v>1.6379842837934324</v>
      </c>
      <c r="O72" s="12">
        <f t="shared" ca="1" si="11"/>
        <v>13.757712840165507</v>
      </c>
      <c r="P72" s="67">
        <f t="shared" ca="1" si="57"/>
        <v>-0.14556851561338502</v>
      </c>
      <c r="Q72" s="46">
        <f t="shared" ca="1" si="13"/>
        <v>11.97416004075869</v>
      </c>
      <c r="R72" s="46">
        <f t="shared" ca="1" si="14"/>
        <v>-1.7430607028503524</v>
      </c>
      <c r="S72" s="46">
        <f t="shared" ca="1" si="15"/>
        <v>2.119019273788432E-2</v>
      </c>
      <c r="T72" s="46">
        <f t="shared" ca="1" si="16"/>
        <v>5.5925544716764176E-2</v>
      </c>
      <c r="U72" s="46">
        <f t="shared" ca="1" si="17"/>
        <v>1.9148621175571963</v>
      </c>
      <c r="V72" s="46">
        <f t="shared" ca="1" si="54"/>
        <v>13.994198663666122</v>
      </c>
      <c r="W72" s="68">
        <f t="shared" ca="1" si="18"/>
        <v>0.23648582350061531</v>
      </c>
      <c r="X72" s="46"/>
      <c r="Y72" s="46"/>
      <c r="Z72" s="12"/>
      <c r="AA72" s="12"/>
      <c r="AB72" s="12"/>
      <c r="AC72" s="12"/>
      <c r="AD72" s="12"/>
      <c r="AE72" s="38" t="s">
        <v>88</v>
      </c>
      <c r="AF72" s="38"/>
      <c r="AG72" s="38"/>
      <c r="AH72" s="38"/>
      <c r="AI72" s="38"/>
      <c r="AJ72" s="38"/>
      <c r="AK72" s="38"/>
      <c r="AL72" s="38"/>
      <c r="AM72" s="38"/>
      <c r="AN72" s="38"/>
      <c r="AO72" s="159"/>
      <c r="AP72" s="16">
        <f ca="1">AP71+($AM$74-$AM$73)/10</f>
        <v>-3.8725089131397015</v>
      </c>
      <c r="AQ72" s="17">
        <f ca="1">AQ71+($AM$74-$AM$73)/10</f>
        <v>-2.9182105502950808</v>
      </c>
      <c r="AR72" s="17">
        <f ca="1">AR71+($AM$74-$AM$73)/10</f>
        <v>-1.9639121874504604</v>
      </c>
      <c r="AS72" s="17">
        <f t="shared" ref="AS72:AY72" ca="1" si="78">AS71+($AM$74-$AM$73)/10</f>
        <v>-1.0096138246058399</v>
      </c>
      <c r="AT72" s="17">
        <f t="shared" ca="1" si="78"/>
        <v>-5.5315461761219487E-2</v>
      </c>
      <c r="AU72" s="17">
        <f t="shared" ca="1" si="78"/>
        <v>0.89898290108340095</v>
      </c>
      <c r="AV72" s="17">
        <f t="shared" ca="1" si="78"/>
        <v>1.8532812639280214</v>
      </c>
      <c r="AW72" s="17">
        <f t="shared" ca="1" si="78"/>
        <v>2.8075796267726418</v>
      </c>
      <c r="AX72" s="17">
        <f t="shared" ca="1" si="78"/>
        <v>3.7618779896172621</v>
      </c>
      <c r="AY72" s="18">
        <f t="shared" ca="1" si="78"/>
        <v>4.7161763524618827</v>
      </c>
      <c r="AZ72" s="92" t="s">
        <v>62</v>
      </c>
      <c r="BA72" s="38"/>
      <c r="BB72" s="39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</row>
    <row r="73" spans="1:137" s="9" customFormat="1" ht="17.25" x14ac:dyDescent="0.25">
      <c r="A73" s="1"/>
      <c r="B73" s="37"/>
      <c r="C73" s="46">
        <f t="shared" si="20"/>
        <v>13.5</v>
      </c>
      <c r="D73" s="46">
        <f t="shared" ca="1" si="55"/>
        <v>0.35876410494318867</v>
      </c>
      <c r="E73" s="46">
        <f t="shared" ca="1" si="55"/>
        <v>0.15336264375089226</v>
      </c>
      <c r="F73" s="46">
        <f t="shared" ref="F73:G73" ca="1" si="79">AVERAGE(D69:D77)</f>
        <v>0.45013587600331323</v>
      </c>
      <c r="G73" s="46">
        <f t="shared" ca="1" si="79"/>
        <v>0.39238284429565812</v>
      </c>
      <c r="H73" s="46">
        <f t="shared" ca="1" si="4"/>
        <v>0.4208895588137343</v>
      </c>
      <c r="I73" s="46">
        <f t="shared" ca="1" si="5"/>
        <v>0.35152889657299158</v>
      </c>
      <c r="J73" s="46">
        <f t="shared" ca="1" si="6"/>
        <v>-0.21132612997406439</v>
      </c>
      <c r="K73" s="46">
        <f t="shared" ca="1" si="7"/>
        <v>-0.96790253697673589</v>
      </c>
      <c r="L73" s="12">
        <f t="shared" ca="1" si="8"/>
        <v>1.7366021610077806</v>
      </c>
      <c r="M73" s="12">
        <f t="shared" ca="1" si="9"/>
        <v>8.6123411205814246</v>
      </c>
      <c r="N73" s="46">
        <f t="shared" ca="1" si="10"/>
        <v>1.7366021610077806</v>
      </c>
      <c r="O73" s="12">
        <f t="shared" ca="1" si="11"/>
        <v>8.6123411205814246</v>
      </c>
      <c r="P73" s="67">
        <f t="shared" ca="1" si="57"/>
        <v>-4.6950638399036793E-2</v>
      </c>
      <c r="Q73" s="46">
        <f t="shared" ca="1" si="13"/>
        <v>6.8287883211746072</v>
      </c>
      <c r="R73" s="46">
        <f t="shared" ca="1" si="14"/>
        <v>-0.32061597117103452</v>
      </c>
      <c r="S73" s="46">
        <f t="shared" ca="1" si="15"/>
        <v>2.2043624460771081E-3</v>
      </c>
      <c r="T73" s="46">
        <f t="shared" ca="1" si="16"/>
        <v>18.354173491296894</v>
      </c>
      <c r="U73" s="46">
        <f t="shared" ca="1" si="17"/>
        <v>14.149531410515873</v>
      </c>
      <c r="V73" s="46">
        <f t="shared" ca="1" si="54"/>
        <v>12.896518228416358</v>
      </c>
      <c r="W73" s="68">
        <f t="shared" ca="1" si="18"/>
        <v>4.2841771078349336</v>
      </c>
      <c r="X73" s="46"/>
      <c r="Y73" s="46"/>
      <c r="Z73" s="12"/>
      <c r="AA73" s="12"/>
      <c r="AB73" s="12"/>
      <c r="AC73" s="12"/>
      <c r="AD73" s="12"/>
      <c r="AE73" s="38" t="s">
        <v>87</v>
      </c>
      <c r="AF73" s="38"/>
      <c r="AG73" s="38"/>
      <c r="AH73" s="38"/>
      <c r="AI73" s="38"/>
      <c r="AJ73" s="38"/>
      <c r="AK73" s="38"/>
      <c r="AL73" s="23" t="s">
        <v>10</v>
      </c>
      <c r="AM73" s="19">
        <f ca="1">MIN(W20:W124)</f>
        <v>-4.8268072759843221</v>
      </c>
      <c r="AN73" s="38"/>
      <c r="AO73" s="38"/>
      <c r="AP73" s="47">
        <f ca="1">AVERAGE(AP71:AP72)</f>
        <v>-4.3496580945620114</v>
      </c>
      <c r="AQ73" s="47">
        <f t="shared" ref="AQ73:AY73" ca="1" si="80">AVERAGE(AQ71:AQ72)</f>
        <v>-3.3953597317173911</v>
      </c>
      <c r="AR73" s="47">
        <f t="shared" ca="1" si="80"/>
        <v>-2.4410613688727705</v>
      </c>
      <c r="AS73" s="47">
        <f t="shared" ca="1" si="80"/>
        <v>-1.4867630060281503</v>
      </c>
      <c r="AT73" s="47">
        <f t="shared" ca="1" si="80"/>
        <v>-0.53246464318352971</v>
      </c>
      <c r="AU73" s="47">
        <f t="shared" ca="1" si="80"/>
        <v>0.42183371966109073</v>
      </c>
      <c r="AV73" s="47">
        <f t="shared" ca="1" si="80"/>
        <v>1.3761320825057113</v>
      </c>
      <c r="AW73" s="47">
        <f t="shared" ca="1" si="80"/>
        <v>2.3304304453503315</v>
      </c>
      <c r="AX73" s="47">
        <f t="shared" ca="1" si="80"/>
        <v>3.2847288081949522</v>
      </c>
      <c r="AY73" s="47">
        <f t="shared" ca="1" si="80"/>
        <v>4.2390271710395719</v>
      </c>
      <c r="AZ73" s="38"/>
      <c r="BA73" s="38"/>
      <c r="BB73" s="39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</row>
    <row r="74" spans="1:137" s="9" customFormat="1" ht="15.75" thickBot="1" x14ac:dyDescent="0.3">
      <c r="A74" s="1"/>
      <c r="B74" s="37"/>
      <c r="C74" s="46">
        <f t="shared" si="20"/>
        <v>13.75</v>
      </c>
      <c r="D74" s="46">
        <f t="shared" ca="1" si="55"/>
        <v>0.27323214359250947</v>
      </c>
      <c r="E74" s="46">
        <f t="shared" ca="1" si="55"/>
        <v>0.9782535314669496</v>
      </c>
      <c r="F74" s="46">
        <f t="shared" ref="F74:G74" ca="1" si="81">AVERAGE(D70:D78)</f>
        <v>0.46698336459708961</v>
      </c>
      <c r="G74" s="46">
        <f t="shared" ca="1" si="81"/>
        <v>0.44539629953310267</v>
      </c>
      <c r="H74" s="46">
        <f t="shared" ca="1" si="4"/>
        <v>0.45820898121646264</v>
      </c>
      <c r="I74" s="46">
        <f t="shared" ca="1" si="5"/>
        <v>0.46413576757996522</v>
      </c>
      <c r="J74" s="46">
        <f t="shared" ca="1" si="6"/>
        <v>-0.93510207576735616</v>
      </c>
      <c r="K74" s="46">
        <f t="shared" ca="1" si="7"/>
        <v>1.2241228507577495</v>
      </c>
      <c r="L74" s="12">
        <f t="shared" ca="1" si="8"/>
        <v>1.5194693772697931</v>
      </c>
      <c r="M74" s="12">
        <f t="shared" ca="1" si="9"/>
        <v>16.284429977652124</v>
      </c>
      <c r="N74" s="46">
        <f t="shared" ca="1" si="10"/>
        <v>1.5194693772697931</v>
      </c>
      <c r="O74" s="12">
        <f t="shared" ca="1" si="11"/>
        <v>16.284429977652124</v>
      </c>
      <c r="P74" s="67">
        <f t="shared" ca="1" si="57"/>
        <v>-0.26408342213702429</v>
      </c>
      <c r="Q74" s="46">
        <f t="shared" ca="1" si="13"/>
        <v>14.500877178245307</v>
      </c>
      <c r="R74" s="46">
        <f t="shared" ca="1" si="14"/>
        <v>-3.8294412692196973</v>
      </c>
      <c r="S74" s="46">
        <f t="shared" ca="1" si="15"/>
        <v>6.9740053847601777E-2</v>
      </c>
      <c r="T74" s="46">
        <f t="shared" ca="1" si="16"/>
        <v>0.94300440411086439</v>
      </c>
      <c r="U74" s="46">
        <f t="shared" ca="1" si="17"/>
        <v>15.292030333927908</v>
      </c>
      <c r="V74" s="46">
        <f t="shared" ca="1" si="54"/>
        <v>15.313345839118874</v>
      </c>
      <c r="W74" s="68">
        <f t="shared" ca="1" si="18"/>
        <v>-0.97108413853325004</v>
      </c>
      <c r="X74" s="46"/>
      <c r="Y74" s="46"/>
      <c r="Z74" s="12"/>
      <c r="AA74" s="12"/>
      <c r="AB74" s="12"/>
      <c r="AC74" s="12"/>
      <c r="AD74" s="12"/>
      <c r="AE74" s="38"/>
      <c r="AF74" s="38"/>
      <c r="AG74" s="38"/>
      <c r="AH74" s="38"/>
      <c r="AI74" s="38"/>
      <c r="AJ74" s="38"/>
      <c r="AK74" s="38"/>
      <c r="AL74" s="24" t="s">
        <v>11</v>
      </c>
      <c r="AM74" s="20">
        <f ca="1">MAX(W20:W124)</f>
        <v>4.7161763524618827</v>
      </c>
      <c r="AN74" s="38"/>
      <c r="AO74" s="42" t="s">
        <v>61</v>
      </c>
      <c r="AP74" s="86">
        <f ca="1">COUNTIF($W$20:$W$124,"&lt;"&amp;AP72)</f>
        <v>4</v>
      </c>
      <c r="AQ74" s="87">
        <f ca="1">(COUNTIF($W$20:$W$124,"&lt;"&amp;AQ72))-AP74</f>
        <v>5</v>
      </c>
      <c r="AR74" s="87">
        <f ca="1">COUNTIF($W$20:$W$124,"&lt;"&amp;AR72)-SUM($AP$74:AQ74)</f>
        <v>7</v>
      </c>
      <c r="AS74" s="87">
        <f ca="1">COUNTIF($W$20:$W$124,"&lt;"&amp;AS72)-SUM($AP$74:AR74)</f>
        <v>12</v>
      </c>
      <c r="AT74" s="87">
        <f ca="1">COUNTIF($W$20:$W$124,"&lt;"&amp;AT72)-SUM($AP$74:AS74)</f>
        <v>20</v>
      </c>
      <c r="AU74" s="87">
        <f ca="1">COUNTIF($W$20:$W$124,"&lt;"&amp;AU72)-SUM($AP$74:AT74)</f>
        <v>23</v>
      </c>
      <c r="AV74" s="87">
        <f ca="1">COUNTIF($W$20:$W$124,"&lt;"&amp;AV72)-SUM($AP$74:AU74)</f>
        <v>18</v>
      </c>
      <c r="AW74" s="87">
        <f ca="1">COUNTIF($W$20:$W$124,"&lt;"&amp;AW72)-SUM($AP$74:AV74)</f>
        <v>6</v>
      </c>
      <c r="AX74" s="87">
        <f ca="1">COUNTIF($W$20:$W$124,"&lt;"&amp;AX72)-SUM($AP$74:AW74)</f>
        <v>6</v>
      </c>
      <c r="AY74" s="89">
        <f ca="1">COUNTIF($W$20:$W$124,"&lt;="&amp;AY72)-SUM($AP$74:AX74)</f>
        <v>4</v>
      </c>
      <c r="AZ74" s="88">
        <f ca="1">SUM(AP74:AY74)</f>
        <v>105</v>
      </c>
      <c r="BA74" s="38"/>
      <c r="BB74" s="39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</row>
    <row r="75" spans="1:137" s="9" customFormat="1" ht="15.75" thickBot="1" x14ac:dyDescent="0.3">
      <c r="A75" s="1"/>
      <c r="B75" s="37"/>
      <c r="C75" s="46">
        <f t="shared" si="20"/>
        <v>14</v>
      </c>
      <c r="D75" s="46">
        <f t="shared" ca="1" si="55"/>
        <v>0.66530609202646984</v>
      </c>
      <c r="E75" s="46">
        <f t="shared" ca="1" si="55"/>
        <v>0.76506085880661034</v>
      </c>
      <c r="F75" s="46">
        <f t="shared" ref="F75:G75" ca="1" si="82">AVERAGE(D71:D79)</f>
        <v>0.42967129319155017</v>
      </c>
      <c r="G75" s="46">
        <f t="shared" ca="1" si="82"/>
        <v>0.55290797766598798</v>
      </c>
      <c r="H75" s="46">
        <f t="shared" ca="1" si="4"/>
        <v>0.37555779283587049</v>
      </c>
      <c r="I75" s="46">
        <f t="shared" ca="1" si="5"/>
        <v>0.69250333232420702</v>
      </c>
      <c r="J75" s="46">
        <f t="shared" ca="1" si="6"/>
        <v>0.74422620738611411</v>
      </c>
      <c r="K75" s="46">
        <f t="shared" ca="1" si="7"/>
        <v>3.8285600493062955E-2</v>
      </c>
      <c r="L75" s="12">
        <f t="shared" ca="1" si="8"/>
        <v>2.0232678622158344</v>
      </c>
      <c r="M75" s="12">
        <f t="shared" ca="1" si="9"/>
        <v>12.133999601725721</v>
      </c>
      <c r="N75" s="46">
        <f t="shared" ca="1" si="10"/>
        <v>2.0232678622158344</v>
      </c>
      <c r="O75" s="12">
        <f t="shared" ca="1" si="11"/>
        <v>12.133999601725721</v>
      </c>
      <c r="P75" s="67">
        <f t="shared" ca="1" si="57"/>
        <v>0.239715062809017</v>
      </c>
      <c r="Q75" s="46">
        <f t="shared" ca="1" si="13"/>
        <v>10.350446802318903</v>
      </c>
      <c r="R75" s="46">
        <f t="shared" ca="1" si="14"/>
        <v>2.4811580053192648</v>
      </c>
      <c r="S75" s="46">
        <f t="shared" ca="1" si="15"/>
        <v>5.7463311337530965E-2</v>
      </c>
      <c r="T75" s="46">
        <f t="shared" ca="1" si="16"/>
        <v>5.8964228344034302</v>
      </c>
      <c r="U75" s="46">
        <f t="shared" ca="1" si="17"/>
        <v>5.756535304132103E-2</v>
      </c>
      <c r="V75" s="46">
        <f t="shared" ca="1" si="54"/>
        <v>9.7057445009582111</v>
      </c>
      <c r="W75" s="68">
        <f t="shared" ca="1" si="18"/>
        <v>-2.4282551007675099</v>
      </c>
      <c r="X75" s="46"/>
      <c r="Y75" s="46"/>
      <c r="Z75" s="12"/>
      <c r="AA75" s="12"/>
      <c r="AB75" s="12"/>
      <c r="AC75" s="12"/>
      <c r="AD75" s="12"/>
      <c r="AE75" s="76"/>
      <c r="AF75" s="108">
        <f ca="1">CORREL(O20:O124,N20:N124)</f>
        <v>-0.82691248306963205</v>
      </c>
      <c r="AG75" s="38"/>
      <c r="AH75" s="108">
        <f ca="1">AF75^2</f>
        <v>0.68378425465638448</v>
      </c>
      <c r="AI75" s="38"/>
      <c r="AJ75" s="38"/>
      <c r="AK75" s="38"/>
      <c r="AL75" s="38"/>
      <c r="AM75" s="38"/>
      <c r="AN75" s="42"/>
      <c r="AO75" s="79" t="s">
        <v>67</v>
      </c>
      <c r="AP75" s="46">
        <f ca="1">AP74/$AZ$74</f>
        <v>3.8095238095238099E-2</v>
      </c>
      <c r="AQ75" s="46">
        <f t="shared" ref="AQ75:AY75" ca="1" si="83">AQ74/$AZ$74</f>
        <v>4.7619047619047616E-2</v>
      </c>
      <c r="AR75" s="46">
        <f t="shared" ca="1" si="83"/>
        <v>6.6666666666666666E-2</v>
      </c>
      <c r="AS75" s="46">
        <f t="shared" ca="1" si="83"/>
        <v>0.11428571428571428</v>
      </c>
      <c r="AT75" s="46">
        <f t="shared" ca="1" si="83"/>
        <v>0.19047619047619047</v>
      </c>
      <c r="AU75" s="46">
        <f t="shared" ca="1" si="83"/>
        <v>0.21904761904761905</v>
      </c>
      <c r="AV75" s="46">
        <f t="shared" ca="1" si="83"/>
        <v>0.17142857142857143</v>
      </c>
      <c r="AW75" s="46">
        <f t="shared" ca="1" si="83"/>
        <v>5.7142857142857141E-2</v>
      </c>
      <c r="AX75" s="46">
        <f t="shared" ca="1" si="83"/>
        <v>5.7142857142857141E-2</v>
      </c>
      <c r="AY75" s="46">
        <f t="shared" ca="1" si="83"/>
        <v>3.8095238095238099E-2</v>
      </c>
      <c r="AZ75" s="129">
        <f ca="1">SUM(AP75:AY75)</f>
        <v>1.0000000000000002</v>
      </c>
      <c r="BA75" s="38"/>
      <c r="BB75" s="39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</row>
    <row r="76" spans="1:137" s="9" customFormat="1" x14ac:dyDescent="0.25">
      <c r="A76" s="1"/>
      <c r="B76" s="37"/>
      <c r="C76" s="46">
        <f t="shared" si="20"/>
        <v>14.25</v>
      </c>
      <c r="D76" s="46">
        <f t="shared" ca="1" si="55"/>
        <v>0.75462866853146893</v>
      </c>
      <c r="E76" s="46">
        <f t="shared" ca="1" si="55"/>
        <v>0.3876306432968073</v>
      </c>
      <c r="F76" s="46">
        <f t="shared" ref="F76:G76" ca="1" si="84">AVERAGE(D72:D80)</f>
        <v>0.38750129472762196</v>
      </c>
      <c r="G76" s="46">
        <f t="shared" ca="1" si="84"/>
        <v>0.57926603408325883</v>
      </c>
      <c r="H76" s="46">
        <f t="shared" ca="1" si="4"/>
        <v>0.28214565151653431</v>
      </c>
      <c r="I76" s="46">
        <f t="shared" ca="1" si="5"/>
        <v>0.74849097255026265</v>
      </c>
      <c r="J76" s="46">
        <f t="shared" ca="1" si="6"/>
        <v>-1.6110044816651365</v>
      </c>
      <c r="K76" s="46">
        <f t="shared" ca="1" si="7"/>
        <v>1.5283053893141114</v>
      </c>
      <c r="L76" s="12">
        <f t="shared" ca="1" si="8"/>
        <v>1.3166986555004592</v>
      </c>
      <c r="M76" s="12">
        <f t="shared" ca="1" si="9"/>
        <v>17.349068862599388</v>
      </c>
      <c r="N76" s="46">
        <f t="shared" ca="1" si="10"/>
        <v>1.3166986555004592</v>
      </c>
      <c r="O76" s="12">
        <f t="shared" ca="1" si="11"/>
        <v>17.349068862599388</v>
      </c>
      <c r="P76" s="67">
        <f t="shared" ca="1" si="57"/>
        <v>-0.46685414390635827</v>
      </c>
      <c r="Q76" s="46">
        <f t="shared" ca="1" si="13"/>
        <v>15.565516063192572</v>
      </c>
      <c r="R76" s="46">
        <f t="shared" ca="1" si="14"/>
        <v>-7.2668256761424361</v>
      </c>
      <c r="S76" s="46">
        <f t="shared" ca="1" si="15"/>
        <v>0.21795279168253867</v>
      </c>
      <c r="T76" s="46">
        <f t="shared" ca="1" si="16"/>
        <v>4.8949613458217661E-2</v>
      </c>
      <c r="U76" s="46">
        <f t="shared" ca="1" si="17"/>
        <v>24.75203247631681</v>
      </c>
      <c r="V76" s="46">
        <f t="shared" ca="1" si="54"/>
        <v>17.570314457941347</v>
      </c>
      <c r="W76" s="68">
        <f t="shared" ca="1" si="18"/>
        <v>0.22124559534195853</v>
      </c>
      <c r="X76" s="46"/>
      <c r="Y76" s="46"/>
      <c r="Z76" s="12"/>
      <c r="AA76" s="12"/>
      <c r="AB76" s="12"/>
      <c r="AC76" s="12"/>
      <c r="AD76" s="12"/>
      <c r="AE76" s="38"/>
      <c r="AF76" s="38"/>
      <c r="AG76" s="38"/>
      <c r="AH76" s="38"/>
      <c r="AI76" s="38"/>
      <c r="AJ76" s="38"/>
      <c r="AK76" s="38"/>
      <c r="AL76" s="84" t="s">
        <v>1</v>
      </c>
      <c r="AM76" s="82">
        <f ca="1">AVERAGE(W20:W124)</f>
        <v>-1.3872501031506718E-15</v>
      </c>
      <c r="AN76" s="38"/>
      <c r="AO76" s="79" t="s">
        <v>65</v>
      </c>
      <c r="AP76" s="58">
        <f ca="1">_xlfn.NORM.DIST(AP72,$AM$76,$AM$77,TRUE)</f>
        <v>2.6775615734645528E-2</v>
      </c>
      <c r="AQ76" s="58">
        <f ca="1">_xlfn.NORM.DIST(AQ72,$AM$76,$AM$77,TRUE)-AP76</f>
        <v>4.6096336147204403E-2</v>
      </c>
      <c r="AR76" s="58">
        <f ca="1">_xlfn.NORM.DIST(AR72,$AM$76,$AM$77,TRUE)-SUM($AP$76:AQ76)</f>
        <v>9.0915100296651188E-2</v>
      </c>
      <c r="AS76" s="58">
        <f ca="1">_xlfn.NORM.DIST(AS72,$AM$76,$AM$77,TRUE)-SUM($AP$76:AR76)</f>
        <v>0.14359196925528003</v>
      </c>
      <c r="AT76" s="58">
        <f ca="1">_xlfn.NORM.DIST(AT72,$AM$76,$AM$77,TRUE)-SUM($AP$76:AS76)</f>
        <v>0.18162161708998492</v>
      </c>
      <c r="AU76" s="58">
        <f ca="1">_xlfn.NORM.DIST(AU72,$AM$76,$AM$77,TRUE)-SUM($AP$76:AT76)</f>
        <v>0.18397462963615119</v>
      </c>
      <c r="AV76" s="58">
        <f ca="1">_xlfn.NORM.DIST(AV72,$AM$76,$AM$77,TRUE)-SUM($AP$76:AU76)</f>
        <v>0.14924572014964743</v>
      </c>
      <c r="AW76" s="58">
        <f ca="1">_xlfn.NORM.DIST(AW72,$AM$76,$AM$77,TRUE)-SUM($AP$76:AV76)</f>
        <v>9.6959571945632983E-2</v>
      </c>
      <c r="AX76" s="58">
        <f ca="1">_xlfn.NORM.DIST(AX72,$AM$76,$AM$77,TRUE)-SUM($AP$76:AW76)</f>
        <v>5.0443664573392E-2</v>
      </c>
      <c r="AY76" s="58">
        <f ca="1">_xlfn.NORM.DIST(AY72,$AM$76,$AM$77,TRUE)-SUM($AP$76:AX76)</f>
        <v>2.1014708844323216E-2</v>
      </c>
      <c r="AZ76" s="88"/>
      <c r="BA76" s="38"/>
      <c r="BB76" s="39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</row>
    <row r="77" spans="1:137" s="9" customFormat="1" ht="18" thickBot="1" x14ac:dyDescent="0.3">
      <c r="A77" s="1"/>
      <c r="B77" s="37"/>
      <c r="C77" s="46">
        <f t="shared" si="20"/>
        <v>14.5</v>
      </c>
      <c r="D77" s="46">
        <f t="shared" ca="1" si="55"/>
        <v>0.21403197897699588</v>
      </c>
      <c r="E77" s="46">
        <f t="shared" ca="1" si="55"/>
        <v>7.1754909277738643E-2</v>
      </c>
      <c r="F77" s="46">
        <f t="shared" ref="F77:G77" ca="1" si="85">AVERAGE(D73:D81)</f>
        <v>0.35241462799560741</v>
      </c>
      <c r="G77" s="46">
        <f t="shared" ca="1" si="85"/>
        <v>0.6188355441406217</v>
      </c>
      <c r="H77" s="46">
        <f t="shared" ca="1" si="4"/>
        <v>0.20442402973371748</v>
      </c>
      <c r="I77" s="46">
        <f t="shared" ca="1" si="5"/>
        <v>0.83254130835428275</v>
      </c>
      <c r="J77" s="46">
        <f t="shared" ca="1" si="6"/>
        <v>0.28117382698589583</v>
      </c>
      <c r="K77" s="46">
        <f t="shared" ca="1" si="7"/>
        <v>-1.2415122659922198</v>
      </c>
      <c r="L77" s="12">
        <f t="shared" ca="1" si="8"/>
        <v>1.8843521480957688</v>
      </c>
      <c r="M77" s="12">
        <f t="shared" ca="1" si="9"/>
        <v>7.6547070690272312</v>
      </c>
      <c r="N77" s="46">
        <f t="shared" ca="1" si="10"/>
        <v>1.8843521480957688</v>
      </c>
      <c r="O77" s="12">
        <f t="shared" ca="1" si="11"/>
        <v>7.6547070690272312</v>
      </c>
      <c r="P77" s="67">
        <f t="shared" ca="1" si="57"/>
        <v>0.10079934868895135</v>
      </c>
      <c r="Q77" s="46">
        <f t="shared" ca="1" si="13"/>
        <v>5.8711542696204138</v>
      </c>
      <c r="R77" s="46">
        <f t="shared" ca="1" si="14"/>
        <v>0.59180852643009363</v>
      </c>
      <c r="S77" s="46">
        <f t="shared" ca="1" si="15"/>
        <v>1.0160508696116798E-2</v>
      </c>
      <c r="T77" s="46">
        <f t="shared" ca="1" si="16"/>
        <v>12.940270328187266</v>
      </c>
      <c r="U77" s="46">
        <f t="shared" ca="1" si="17"/>
        <v>22.271040623858521</v>
      </c>
      <c r="V77" s="46">
        <f t="shared" ca="1" si="54"/>
        <v>11.251965793137476</v>
      </c>
      <c r="W77" s="68">
        <f t="shared" ca="1" si="18"/>
        <v>3.5972587241102447</v>
      </c>
      <c r="X77" s="46"/>
      <c r="Y77" s="46"/>
      <c r="Z77" s="12"/>
      <c r="AA77" s="12"/>
      <c r="AB77" s="12"/>
      <c r="AC77" s="12"/>
      <c r="AD77" s="12"/>
      <c r="AE77" s="38" t="s">
        <v>90</v>
      </c>
      <c r="AF77" s="38"/>
      <c r="AG77" s="38"/>
      <c r="AH77" s="38"/>
      <c r="AI77" s="38"/>
      <c r="AJ77" s="38"/>
      <c r="AK77" s="38"/>
      <c r="AL77" s="85" t="s">
        <v>2</v>
      </c>
      <c r="AM77" s="83">
        <f ca="1">_xlfn.STDEV.S(W20:W124)</f>
        <v>2.0060146421947351</v>
      </c>
      <c r="AN77" s="38"/>
      <c r="AO77" s="79" t="s">
        <v>66</v>
      </c>
      <c r="AP77" s="12">
        <f t="shared" ref="AP77:AY77" ca="1" si="86">AP76/SUM($AP$76:$AY$76)*105</f>
        <v>2.8380064184576614</v>
      </c>
      <c r="AQ77" s="12">
        <f t="shared" ca="1" si="86"/>
        <v>4.8858520808496326</v>
      </c>
      <c r="AR77" s="12">
        <f t="shared" ca="1" si="86"/>
        <v>9.6362914949800285</v>
      </c>
      <c r="AS77" s="12">
        <f t="shared" ca="1" si="86"/>
        <v>15.219628725780071</v>
      </c>
      <c r="AT77" s="12">
        <f t="shared" ca="1" si="86"/>
        <v>19.25047476555671</v>
      </c>
      <c r="AU77" s="12">
        <f t="shared" ca="1" si="86"/>
        <v>19.499875741986568</v>
      </c>
      <c r="AV77" s="12">
        <f t="shared" ca="1" si="86"/>
        <v>15.818882221407959</v>
      </c>
      <c r="AW77" s="12">
        <f t="shared" ca="1" si="86"/>
        <v>10.276958342980818</v>
      </c>
      <c r="AX77" s="12">
        <f t="shared" ca="1" si="86"/>
        <v>5.3466349849267836</v>
      </c>
      <c r="AY77" s="12">
        <f t="shared" ca="1" si="86"/>
        <v>2.2273952230737684</v>
      </c>
      <c r="AZ77" s="88">
        <f ca="1">SUM(AP77:AY77)</f>
        <v>105</v>
      </c>
      <c r="BA77" s="38"/>
      <c r="BB77" s="39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</row>
    <row r="78" spans="1:137" s="9" customFormat="1" x14ac:dyDescent="0.25">
      <c r="A78" s="1"/>
      <c r="B78" s="37"/>
      <c r="C78" s="46">
        <f t="shared" si="20"/>
        <v>14.75</v>
      </c>
      <c r="D78" s="46">
        <f t="shared" ca="1" si="55"/>
        <v>0.15557571851151841</v>
      </c>
      <c r="E78" s="46">
        <f t="shared" ca="1" si="55"/>
        <v>0.806758754906165</v>
      </c>
      <c r="F78" s="46">
        <f t="shared" ref="F78:G78" ca="1" si="87">AVERAGE(D74:D82)</f>
        <v>0.31846556518351754</v>
      </c>
      <c r="G78" s="46">
        <f t="shared" ca="1" si="87"/>
        <v>0.69767233069098666</v>
      </c>
      <c r="H78" s="46">
        <f t="shared" ca="1" si="4"/>
        <v>0.12922235156020229</v>
      </c>
      <c r="I78" s="46">
        <f t="shared" ca="1" si="5"/>
        <v>1</v>
      </c>
      <c r="J78" s="46">
        <f t="shared" ca="1" si="6"/>
        <v>-0.38904229504414772</v>
      </c>
      <c r="K78" s="46">
        <f t="shared" ca="1" si="7"/>
        <v>0.43715867793043128</v>
      </c>
      <c r="L78" s="12">
        <f t="shared" ca="1" si="8"/>
        <v>1.6832873114867557</v>
      </c>
      <c r="M78" s="12">
        <f t="shared" ca="1" si="9"/>
        <v>13.530055372756509</v>
      </c>
      <c r="N78" s="46">
        <f t="shared" ca="1" si="10"/>
        <v>1.6832873114867557</v>
      </c>
      <c r="O78" s="12">
        <f t="shared" ca="1" si="11"/>
        <v>13.530055372756509</v>
      </c>
      <c r="P78" s="67">
        <f t="shared" ca="1" si="57"/>
        <v>-0.10026548792006174</v>
      </c>
      <c r="Q78" s="46">
        <f t="shared" ca="1" si="13"/>
        <v>11.746502573349691</v>
      </c>
      <c r="R78" s="46">
        <f t="shared" ca="1" si="14"/>
        <v>-1.1777688118711676</v>
      </c>
      <c r="S78" s="46">
        <f t="shared" ca="1" si="15"/>
        <v>1.0053168067848046E-2</v>
      </c>
      <c r="T78" s="46">
        <f t="shared" ca="1" si="16"/>
        <v>1.6086966165307214E-3</v>
      </c>
      <c r="U78" s="46">
        <f t="shared" ca="1" si="17"/>
        <v>1.336631866951659</v>
      </c>
      <c r="V78" s="46">
        <f t="shared" ca="1" si="54"/>
        <v>13.489946812366853</v>
      </c>
      <c r="W78" s="68">
        <f t="shared" ca="1" si="18"/>
        <v>-4.0108560389656489E-2</v>
      </c>
      <c r="X78" s="46"/>
      <c r="Y78" s="46"/>
      <c r="Z78" s="12"/>
      <c r="AA78" s="12"/>
      <c r="AB78" s="12"/>
      <c r="AC78" s="12"/>
      <c r="AD78" s="12"/>
      <c r="AE78" s="38" t="s">
        <v>89</v>
      </c>
      <c r="AF78" s="38"/>
      <c r="AG78" s="38"/>
      <c r="AH78" s="38"/>
      <c r="AI78" s="38"/>
      <c r="AJ78" s="38"/>
      <c r="AK78" s="38"/>
      <c r="AL78" s="38"/>
      <c r="AM78" s="38"/>
      <c r="AN78" s="38"/>
      <c r="AO78" s="38" t="s">
        <v>64</v>
      </c>
      <c r="AP78" s="38">
        <f t="shared" ref="AP78:AY78" ca="1" si="88">(AP74-AP77)^2/AP77</f>
        <v>0.4757667476592195</v>
      </c>
      <c r="AQ78" s="38">
        <f t="shared" ca="1" si="88"/>
        <v>2.6668321575738286E-3</v>
      </c>
      <c r="AR78" s="38">
        <f t="shared" ca="1" si="88"/>
        <v>0.72123522312755006</v>
      </c>
      <c r="AS78" s="38">
        <f t="shared" ca="1" si="88"/>
        <v>0.68109474407279935</v>
      </c>
      <c r="AT78" s="38">
        <f t="shared" ca="1" si="88"/>
        <v>2.9183076464816847E-2</v>
      </c>
      <c r="AU78" s="38">
        <f t="shared" ca="1" si="88"/>
        <v>0.62825373779976779</v>
      </c>
      <c r="AV78" s="38">
        <f t="shared" ca="1" si="88"/>
        <v>0.30073393919402092</v>
      </c>
      <c r="AW78" s="38">
        <f t="shared" ca="1" si="88"/>
        <v>1.7799403342027698</v>
      </c>
      <c r="AX78" s="38">
        <f t="shared" ca="1" si="88"/>
        <v>7.9841964922815853E-2</v>
      </c>
      <c r="AY78" s="38">
        <f t="shared" ca="1" si="88"/>
        <v>1.4106736256916323</v>
      </c>
      <c r="AZ78" s="38"/>
      <c r="BA78" s="38"/>
      <c r="BB78" s="39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</row>
    <row r="79" spans="1:137" s="9" customFormat="1" ht="15.75" thickBot="1" x14ac:dyDescent="0.3">
      <c r="A79" s="1"/>
      <c r="B79" s="37"/>
      <c r="C79" s="46">
        <f t="shared" si="20"/>
        <v>15</v>
      </c>
      <c r="D79" s="46">
        <f t="shared" ca="1" si="55"/>
        <v>0.25637452988240206</v>
      </c>
      <c r="E79" s="46">
        <f t="shared" ca="1" si="55"/>
        <v>0.98679115509021575</v>
      </c>
      <c r="F79" s="46">
        <f t="shared" ref="F79:G79" ca="1" si="89">AVERAGE(D75:D83)</f>
        <v>0.3610683272738634</v>
      </c>
      <c r="G79" s="46">
        <f t="shared" ca="1" si="89"/>
        <v>0.67708767055128671</v>
      </c>
      <c r="H79" s="46">
        <f t="shared" ca="1" si="4"/>
        <v>0.22359312172709161</v>
      </c>
      <c r="I79" s="46">
        <f t="shared" ca="1" si="5"/>
        <v>0.95627573870272187</v>
      </c>
      <c r="J79" s="46">
        <f t="shared" ca="1" si="6"/>
        <v>0.44579934127002385</v>
      </c>
      <c r="K79" s="46">
        <f t="shared" ca="1" si="7"/>
        <v>0.65160553292091161</v>
      </c>
      <c r="L79" s="12">
        <f t="shared" ca="1" si="8"/>
        <v>1.9337398023810073</v>
      </c>
      <c r="M79" s="12">
        <f t="shared" ca="1" si="9"/>
        <v>14.28061936522319</v>
      </c>
      <c r="N79" s="46">
        <f t="shared" ca="1" si="10"/>
        <v>1.9337398023810073</v>
      </c>
      <c r="O79" s="12">
        <f t="shared" ca="1" si="11"/>
        <v>14.28061936522319</v>
      </c>
      <c r="P79" s="67">
        <f t="shared" ca="1" si="57"/>
        <v>0.15018700297418985</v>
      </c>
      <c r="Q79" s="46">
        <f t="shared" ca="1" si="13"/>
        <v>12.497066565816372</v>
      </c>
      <c r="R79" s="46">
        <f t="shared" ca="1" si="14"/>
        <v>1.876896973488912</v>
      </c>
      <c r="S79" s="46">
        <f t="shared" ca="1" si="15"/>
        <v>2.2556135862369313E-2</v>
      </c>
      <c r="T79" s="46">
        <f t="shared" ca="1" si="16"/>
        <v>12.804731469448354</v>
      </c>
      <c r="U79" s="46">
        <f t="shared" ca="1" si="17"/>
        <v>3.6354742132411233</v>
      </c>
      <c r="V79" s="46">
        <f t="shared" ca="1" si="54"/>
        <v>10.702249419361198</v>
      </c>
      <c r="W79" s="68">
        <f t="shared" ca="1" si="18"/>
        <v>-3.5783699458619918</v>
      </c>
      <c r="X79" s="46"/>
      <c r="Y79" s="46"/>
      <c r="Z79" s="12"/>
      <c r="AA79" s="12"/>
      <c r="AB79" s="12"/>
      <c r="AC79" s="12"/>
      <c r="AD79" s="12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9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</row>
    <row r="80" spans="1:137" s="9" customFormat="1" ht="15.75" thickBot="1" x14ac:dyDescent="0.3">
      <c r="A80" s="1"/>
      <c r="B80" s="37"/>
      <c r="C80" s="46">
        <f t="shared" si="20"/>
        <v>15.25</v>
      </c>
      <c r="D80" s="46">
        <f t="shared" ca="1" si="55"/>
        <v>0.2190645109305609</v>
      </c>
      <c r="E80" s="46">
        <f t="shared" ca="1" si="55"/>
        <v>0.67460240848457453</v>
      </c>
      <c r="F80" s="46">
        <f t="shared" ref="F80:G80" ca="1" si="90">AVERAGE(D76:D84)</f>
        <v>0.29480998897752186</v>
      </c>
      <c r="G80" s="46">
        <f t="shared" ca="1" si="90"/>
        <v>0.64558162577844058</v>
      </c>
      <c r="H80" s="46">
        <f t="shared" ca="1" si="4"/>
        <v>7.6822111862897918E-2</v>
      </c>
      <c r="I80" s="46">
        <f t="shared" ca="1" si="5"/>
        <v>0.88935316020287847</v>
      </c>
      <c r="J80" s="46">
        <f t="shared" ca="1" si="6"/>
        <v>-0.57131107887767718</v>
      </c>
      <c r="K80" s="46">
        <f t="shared" ca="1" si="7"/>
        <v>0.43782785715863654</v>
      </c>
      <c r="L80" s="12">
        <f t="shared" ca="1" si="8"/>
        <v>1.6286066763366969</v>
      </c>
      <c r="M80" s="12">
        <f t="shared" ca="1" si="9"/>
        <v>13.532397500055229</v>
      </c>
      <c r="N80" s="46">
        <f t="shared" ca="1" si="10"/>
        <v>1.6286066763366969</v>
      </c>
      <c r="O80" s="12">
        <f t="shared" ca="1" si="11"/>
        <v>13.532397500055229</v>
      </c>
      <c r="P80" s="67">
        <f t="shared" ca="1" si="57"/>
        <v>-0.15494612307012057</v>
      </c>
      <c r="Q80" s="46">
        <f t="shared" ca="1" si="13"/>
        <v>11.748844700648412</v>
      </c>
      <c r="R80" s="46">
        <f t="shared" ca="1" si="14"/>
        <v>-1.8204379369184027</v>
      </c>
      <c r="S80" s="46">
        <f t="shared" ca="1" si="15"/>
        <v>2.4008301054460949E-2</v>
      </c>
      <c r="T80" s="46">
        <f t="shared" ca="1" si="16"/>
        <v>0.32055975753874927</v>
      </c>
      <c r="U80" s="46">
        <f t="shared" ca="1" si="17"/>
        <v>1.3420529502380987</v>
      </c>
      <c r="V80" s="46">
        <f t="shared" ca="1" si="54"/>
        <v>14.098577469268861</v>
      </c>
      <c r="W80" s="68">
        <f t="shared" ca="1" si="18"/>
        <v>0.56617996921363201</v>
      </c>
      <c r="X80" s="46"/>
      <c r="Y80" s="46"/>
      <c r="Z80" s="12"/>
      <c r="AA80" s="12"/>
      <c r="AB80" s="12"/>
      <c r="AC80" s="12"/>
      <c r="AD80" s="1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 t="s">
        <v>63</v>
      </c>
      <c r="AP80" s="38">
        <f ca="1">SUM(AP78:AY78)</f>
        <v>6.1093902252929659</v>
      </c>
      <c r="AQ80" s="93" t="s">
        <v>68</v>
      </c>
      <c r="AR80" s="38"/>
      <c r="AS80" s="47">
        <f>_xlfn.CHISQ.DIST.RT(0.05,10-3)</f>
        <v>0.99999979169224729</v>
      </c>
      <c r="AT80" s="38"/>
      <c r="AU80" s="94"/>
      <c r="AV80" s="95" t="str">
        <f ca="1">IF(AP80&gt;AS80,"Reject H0, Not Gaussian","Fail to Reject")</f>
        <v>Reject H0, Not Gaussian</v>
      </c>
      <c r="AW80" s="96"/>
      <c r="AX80" s="96"/>
      <c r="AY80" s="97"/>
      <c r="AZ80" s="38"/>
      <c r="BA80" s="38"/>
      <c r="BB80" s="39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</row>
    <row r="81" spans="1:137" s="9" customFormat="1" x14ac:dyDescent="0.25">
      <c r="A81" s="1"/>
      <c r="B81" s="37"/>
      <c r="C81" s="46">
        <f t="shared" si="20"/>
        <v>15.5</v>
      </c>
      <c r="D81" s="46">
        <f t="shared" ca="1" si="55"/>
        <v>0.27475390456535298</v>
      </c>
      <c r="E81" s="46">
        <f t="shared" ca="1" si="55"/>
        <v>0.74530499218564072</v>
      </c>
      <c r="F81" s="46">
        <f t="shared" ref="F81:G81" ca="1" si="91">AVERAGE(D77:D85)</f>
        <v>0.31269531152187091</v>
      </c>
      <c r="G81" s="46">
        <f t="shared" ca="1" si="91"/>
        <v>0.61098728335029895</v>
      </c>
      <c r="H81" s="46">
        <f t="shared" ca="1" si="4"/>
        <v>0.11644047415626504</v>
      </c>
      <c r="I81" s="46">
        <f t="shared" ca="1" si="5"/>
        <v>0.8158706709380531</v>
      </c>
      <c r="J81" s="46">
        <f t="shared" ca="1" si="6"/>
        <v>1.23692129861561</v>
      </c>
      <c r="K81" s="46">
        <f t="shared" ca="1" si="7"/>
        <v>-1.4598140102121089</v>
      </c>
      <c r="L81" s="12">
        <f t="shared" ca="1" si="8"/>
        <v>2.171076389584683</v>
      </c>
      <c r="M81" s="12">
        <f t="shared" ca="1" si="9"/>
        <v>6.8906509642576186</v>
      </c>
      <c r="N81" s="46">
        <f t="shared" ca="1" si="10"/>
        <v>2.171076389584683</v>
      </c>
      <c r="O81" s="12">
        <f t="shared" ca="1" si="11"/>
        <v>6.8906509642576186</v>
      </c>
      <c r="P81" s="67">
        <f t="shared" ca="1" si="57"/>
        <v>0.38752359017786553</v>
      </c>
      <c r="Q81" s="46">
        <f t="shared" ca="1" si="13"/>
        <v>5.1070981648508011</v>
      </c>
      <c r="R81" s="46">
        <f t="shared" ca="1" si="14"/>
        <v>1.9791210162337709</v>
      </c>
      <c r="S81" s="46">
        <f t="shared" ca="1" si="15"/>
        <v>0.15017453294434227</v>
      </c>
      <c r="T81" s="46">
        <f t="shared" ca="1" si="16"/>
        <v>1.3686414666008575</v>
      </c>
      <c r="U81" s="46">
        <f t="shared" ca="1" si="17"/>
        <v>30.066320577188453</v>
      </c>
      <c r="V81" s="46">
        <f t="shared" ca="1" si="54"/>
        <v>8.0605404746819396</v>
      </c>
      <c r="W81" s="68">
        <f t="shared" ca="1" si="18"/>
        <v>1.169889510424321</v>
      </c>
      <c r="X81" s="46"/>
      <c r="Y81" s="46"/>
      <c r="Z81" s="12"/>
      <c r="AA81" s="12"/>
      <c r="AB81" s="12"/>
      <c r="AC81" s="12"/>
      <c r="AD81" s="1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9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</row>
    <row r="82" spans="1:137" s="9" customFormat="1" x14ac:dyDescent="0.25">
      <c r="A82" s="1"/>
      <c r="B82" s="37"/>
      <c r="C82" s="46">
        <f t="shared" si="20"/>
        <v>15.75</v>
      </c>
      <c r="D82" s="46">
        <f t="shared" ca="1" si="55"/>
        <v>5.3222539634379284E-2</v>
      </c>
      <c r="E82" s="46">
        <f t="shared" ca="1" si="55"/>
        <v>0.86289372270417697</v>
      </c>
      <c r="F82" s="46">
        <f t="shared" ref="F82:G82" ca="1" si="92">AVERAGE(D78:D86)</f>
        <v>0.29209907536014068</v>
      </c>
      <c r="G82" s="46">
        <f t="shared" ca="1" si="92"/>
        <v>0.63053792823966892</v>
      </c>
      <c r="H82" s="46">
        <f t="shared" ca="1" si="4"/>
        <v>7.0817078541686493E-2</v>
      </c>
      <c r="I82" s="46">
        <f t="shared" ca="1" si="5"/>
        <v>0.85739856111800572</v>
      </c>
      <c r="J82" s="46">
        <f t="shared" ca="1" si="6"/>
        <v>-0.28044295882286419</v>
      </c>
      <c r="K82" s="46">
        <f t="shared" ca="1" si="7"/>
        <v>0.82449476147610523</v>
      </c>
      <c r="L82" s="12">
        <f t="shared" ca="1" si="8"/>
        <v>1.7158671123531408</v>
      </c>
      <c r="M82" s="12">
        <f t="shared" ca="1" si="9"/>
        <v>14.885731665166368</v>
      </c>
      <c r="N82" s="46">
        <f t="shared" ca="1" si="10"/>
        <v>1.7158671123531408</v>
      </c>
      <c r="O82" s="12">
        <f t="shared" ca="1" si="11"/>
        <v>14.885731665166368</v>
      </c>
      <c r="P82" s="67">
        <f t="shared" ca="1" si="57"/>
        <v>-6.7685687053676613E-2</v>
      </c>
      <c r="Q82" s="46">
        <f t="shared" ca="1" si="13"/>
        <v>13.102178865759551</v>
      </c>
      <c r="R82" s="46">
        <f t="shared" ca="1" si="14"/>
        <v>-0.88682997842909661</v>
      </c>
      <c r="S82" s="46">
        <f t="shared" ca="1" si="15"/>
        <v>4.581352231928246E-3</v>
      </c>
      <c r="T82" s="46">
        <f t="shared" ca="1" si="16"/>
        <v>3.0920373864442325</v>
      </c>
      <c r="U82" s="46">
        <f t="shared" ca="1" si="17"/>
        <v>6.3091606177582422</v>
      </c>
      <c r="V82" s="46">
        <f t="shared" ca="1" si="54"/>
        <v>13.127312663209146</v>
      </c>
      <c r="W82" s="68">
        <f t="shared" ca="1" si="18"/>
        <v>-1.7584190019572219</v>
      </c>
      <c r="X82" s="46"/>
      <c r="Y82" s="46"/>
      <c r="Z82" s="12"/>
      <c r="AA82" s="12"/>
      <c r="AB82" s="12"/>
      <c r="AC82" s="12"/>
      <c r="AD82" s="1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9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</row>
    <row r="83" spans="1:137" s="9" customFormat="1" x14ac:dyDescent="0.25">
      <c r="A83" s="1"/>
      <c r="B83" s="37"/>
      <c r="C83" s="46">
        <f t="shared" si="20"/>
        <v>16</v>
      </c>
      <c r="D83" s="46">
        <f t="shared" ca="1" si="55"/>
        <v>0.65665700240562219</v>
      </c>
      <c r="E83" s="46">
        <f t="shared" ca="1" si="55"/>
        <v>0.79299159020965193</v>
      </c>
      <c r="F83" s="46">
        <f t="shared" ref="F83:G83" ca="1" si="93">AVERAGE(D79:D87)</f>
        <v>0.34171150381220333</v>
      </c>
      <c r="G83" s="46">
        <f t="shared" ca="1" si="93"/>
        <v>0.57475085910886559</v>
      </c>
      <c r="H83" s="46">
        <f t="shared" ca="1" si="4"/>
        <v>0.1807151896768755</v>
      </c>
      <c r="I83" s="46">
        <f t="shared" ca="1" si="5"/>
        <v>0.73890020500571874</v>
      </c>
      <c r="J83" s="46">
        <f t="shared" ca="1" si="6"/>
        <v>1.8601586065082882</v>
      </c>
      <c r="K83" s="46">
        <f t="shared" ca="1" si="7"/>
        <v>-1.8651279066622377</v>
      </c>
      <c r="L83" s="12">
        <f t="shared" ca="1" si="8"/>
        <v>2.3580475819524866</v>
      </c>
      <c r="M83" s="12">
        <f t="shared" ca="1" si="9"/>
        <v>5.4720523266821681</v>
      </c>
      <c r="N83" s="46">
        <f t="shared" ca="1" si="10"/>
        <v>2.3580475819524866</v>
      </c>
      <c r="O83" s="12">
        <f t="shared" ca="1" si="11"/>
        <v>5.4720523266821681</v>
      </c>
      <c r="P83" s="67">
        <f t="shared" ca="1" si="57"/>
        <v>0.57449478254566921</v>
      </c>
      <c r="Q83" s="46">
        <f t="shared" ca="1" si="13"/>
        <v>3.6884995272753507</v>
      </c>
      <c r="R83" s="46">
        <f t="shared" ca="1" si="14"/>
        <v>2.1190237338418565</v>
      </c>
      <c r="S83" s="46">
        <f t="shared" ca="1" si="15"/>
        <v>0.33004425517219577</v>
      </c>
      <c r="T83" s="46">
        <f t="shared" ca="1" si="16"/>
        <v>0.25743290026528981</v>
      </c>
      <c r="U83" s="46">
        <f t="shared" ca="1" si="17"/>
        <v>47.635879661639322</v>
      </c>
      <c r="V83" s="46">
        <f t="shared" ca="1" si="54"/>
        <v>5.9794307852959427</v>
      </c>
      <c r="W83" s="68">
        <f t="shared" ca="1" si="18"/>
        <v>0.50737845861377462</v>
      </c>
      <c r="X83" s="46"/>
      <c r="Y83" s="46"/>
      <c r="Z83" s="12"/>
      <c r="AA83" s="12"/>
      <c r="AB83" s="12"/>
      <c r="AC83" s="12"/>
      <c r="AD83" s="1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9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</row>
    <row r="84" spans="1:137" s="9" customFormat="1" x14ac:dyDescent="0.25">
      <c r="A84" s="1"/>
      <c r="B84" s="37"/>
      <c r="C84" s="46">
        <f t="shared" si="20"/>
        <v>16.25</v>
      </c>
      <c r="D84" s="46">
        <f t="shared" ca="1" si="55"/>
        <v>6.8981047359396586E-2</v>
      </c>
      <c r="E84" s="46">
        <f t="shared" ca="1" si="55"/>
        <v>0.48150645585099516</v>
      </c>
      <c r="F84" s="46">
        <f t="shared" ref="F84:G84" ca="1" si="94">AVERAGE(D80:D88)</f>
        <v>0.37658771696734422</v>
      </c>
      <c r="G84" s="46">
        <f t="shared" ca="1" si="94"/>
        <v>0.47635121742434472</v>
      </c>
      <c r="H84" s="46">
        <f t="shared" ca="1" si="4"/>
        <v>0.25797062886590116</v>
      </c>
      <c r="I84" s="46">
        <f t="shared" ca="1" si="5"/>
        <v>0.52988768717090906</v>
      </c>
      <c r="J84" s="46">
        <f t="shared" ca="1" si="6"/>
        <v>-1.3812859448500032</v>
      </c>
      <c r="K84" s="46">
        <f t="shared" ca="1" si="7"/>
        <v>2.0705452229533092</v>
      </c>
      <c r="L84" s="12">
        <f t="shared" ca="1" si="8"/>
        <v>1.3856142165449992</v>
      </c>
      <c r="M84" s="12">
        <f t="shared" ca="1" si="9"/>
        <v>19.246908280336584</v>
      </c>
      <c r="N84" s="46">
        <f t="shared" ca="1" si="10"/>
        <v>1.3856142165449992</v>
      </c>
      <c r="O84" s="12">
        <f t="shared" ca="1" si="11"/>
        <v>19.246908280336584</v>
      </c>
      <c r="P84" s="67">
        <f t="shared" ca="1" si="57"/>
        <v>-0.39793858286181827</v>
      </c>
      <c r="Q84" s="46">
        <f t="shared" ca="1" si="13"/>
        <v>17.463355480929767</v>
      </c>
      <c r="R84" s="46">
        <f t="shared" ca="1" si="14"/>
        <v>-6.9493429320933586</v>
      </c>
      <c r="S84" s="46">
        <f t="shared" ca="1" si="15"/>
        <v>0.15835511573007222</v>
      </c>
      <c r="T84" s="46">
        <f t="shared" ca="1" si="16"/>
        <v>5.9715150774081467</v>
      </c>
      <c r="U84" s="46">
        <f t="shared" ca="1" si="17"/>
        <v>47.237866048079731</v>
      </c>
      <c r="V84" s="46">
        <f t="shared" ref="V84:V115" ca="1" si="95">$AC$95+$AA$95*N84</f>
        <v>16.803239915478507</v>
      </c>
      <c r="W84" s="68">
        <f t="shared" ca="1" si="18"/>
        <v>-2.4436683648580768</v>
      </c>
      <c r="X84" s="46"/>
      <c r="Y84" s="46"/>
      <c r="Z84" s="12"/>
      <c r="AA84" s="12"/>
      <c r="AB84" s="12"/>
      <c r="AC84" s="12"/>
      <c r="AD84" s="12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9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</row>
    <row r="85" spans="1:137" s="9" customFormat="1" x14ac:dyDescent="0.25">
      <c r="A85" s="1"/>
      <c r="B85" s="37"/>
      <c r="C85" s="46">
        <f t="shared" si="20"/>
        <v>16.5</v>
      </c>
      <c r="D85" s="46">
        <f t="shared" ref="D85:E124" ca="1" si="96">RAND()</f>
        <v>0.91559657143061024</v>
      </c>
      <c r="E85" s="46">
        <f t="shared" ca="1" si="96"/>
        <v>7.6281561443533041E-2</v>
      </c>
      <c r="F85" s="46">
        <f t="shared" ref="F85:G85" ca="1" si="97">AVERAGE(D81:D89)</f>
        <v>0.4582474352439877</v>
      </c>
      <c r="G85" s="46">
        <f t="shared" ca="1" si="97"/>
        <v>0.40903146078818742</v>
      </c>
      <c r="H85" s="46">
        <f t="shared" ref="H85:H124" ca="1" si="98">(F85-$G$11)/($G$12-$G$11)</f>
        <v>0.4388577386977861</v>
      </c>
      <c r="I85" s="46">
        <f t="shared" ref="I85:I124" ca="1" si="99">(G85-$G$14)/($G$15-$G$14)</f>
        <v>0.38689253400092222</v>
      </c>
      <c r="J85" s="46">
        <f t="shared" ref="J85:J124" ca="1" si="100">_xlfn.NORM.INV(RAND(),$K$11,$K$12)</f>
        <v>-1.4109109923106338E-2</v>
      </c>
      <c r="K85" s="46">
        <f t="shared" ref="K85:K124" ca="1" si="101">_xlfn.NORM.INV(RAND(),$K$14+$K$16*($K$15/$K$12)*(J85-$K$11),SQRT((1-$K$16^2)*$K$12))</f>
        <v>-0.21177155622117469</v>
      </c>
      <c r="L85" s="12">
        <f t="shared" ref="L85:L124" ca="1" si="102">J85*$M$12+$M$11</f>
        <v>1.7957672670230682</v>
      </c>
      <c r="M85" s="12">
        <f t="shared" ref="M85:M124" ca="1" si="103">K85*$M$15+$M$14</f>
        <v>11.258799553225888</v>
      </c>
      <c r="N85" s="46">
        <f t="shared" ref="N85:N124" ca="1" si="104">IF(L85&lt;0,0,L85)</f>
        <v>1.7957672670230682</v>
      </c>
      <c r="O85" s="12">
        <f t="shared" ref="O85:O124" ca="1" si="105">IF(M85&lt;0,0,M85)</f>
        <v>11.258799553225888</v>
      </c>
      <c r="P85" s="67">
        <f t="shared" ref="P85:P116" ca="1" si="106">N85-$O$11</f>
        <v>1.2214467616250779E-2</v>
      </c>
      <c r="Q85" s="46">
        <f t="shared" ref="Q85:Q124" ca="1" si="107">O85-$O$11</f>
        <v>9.4752467538190714</v>
      </c>
      <c r="R85" s="46">
        <f t="shared" ref="R85:R124" ca="1" si="108">P85*Q85</f>
        <v>0.11573509463050836</v>
      </c>
      <c r="S85" s="46">
        <f t="shared" ref="S85:S124" ca="1" si="109">P85^2</f>
        <v>1.49193219148439E-4</v>
      </c>
      <c r="T85" s="46">
        <f t="shared" ref="T85:T124" ca="1" si="110">(O85-V85)^2</f>
        <v>0.95877970859519224</v>
      </c>
      <c r="U85" s="46">
        <f t="shared" ref="U85:U124" ca="1" si="111">(O85-$O$14)^2</f>
        <v>1.2435101362937435</v>
      </c>
      <c r="V85" s="46">
        <f t="shared" ca="1" si="95"/>
        <v>12.237972524970509</v>
      </c>
      <c r="W85" s="68">
        <f t="shared" ref="W85:W124" ca="1" si="112">V85-O85</f>
        <v>0.97917297174462092</v>
      </c>
      <c r="X85" s="46"/>
      <c r="Y85" s="46"/>
      <c r="Z85" s="12"/>
      <c r="AA85" s="12"/>
      <c r="AB85" s="12"/>
      <c r="AC85" s="12"/>
      <c r="AD85" s="12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9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</row>
    <row r="86" spans="1:137" s="9" customFormat="1" x14ac:dyDescent="0.25">
      <c r="A86" s="1"/>
      <c r="B86" s="37"/>
      <c r="C86" s="46">
        <f t="shared" ref="C86:C124" si="113">C85+0.25</f>
        <v>16.75</v>
      </c>
      <c r="D86" s="46">
        <f t="shared" ca="1" si="96"/>
        <v>2.866585352142359E-2</v>
      </c>
      <c r="E86" s="46">
        <f t="shared" ca="1" si="96"/>
        <v>0.24771071328206684</v>
      </c>
      <c r="F86" s="46">
        <f t="shared" ref="F86:G86" ca="1" si="114">AVERAGE(D82:D90)</f>
        <v>0.53368773742045916</v>
      </c>
      <c r="G86" s="46">
        <f t="shared" ca="1" si="114"/>
        <v>0.41063210113026888</v>
      </c>
      <c r="H86" s="46">
        <f t="shared" ca="1" si="98"/>
        <v>0.60596801673372069</v>
      </c>
      <c r="I86" s="46">
        <f t="shared" ca="1" si="99"/>
        <v>0.39029248406495837</v>
      </c>
      <c r="J86" s="46">
        <f t="shared" ca="1" si="100"/>
        <v>0.9122512429078371</v>
      </c>
      <c r="K86" s="46">
        <f t="shared" ca="1" si="101"/>
        <v>-0.38203282990449172</v>
      </c>
      <c r="L86" s="12">
        <f t="shared" ca="1" si="102"/>
        <v>2.0736753728723514</v>
      </c>
      <c r="M86" s="12">
        <f t="shared" ca="1" si="103"/>
        <v>10.662885095334278</v>
      </c>
      <c r="N86" s="46">
        <f t="shared" ca="1" si="104"/>
        <v>2.0736753728723514</v>
      </c>
      <c r="O86" s="12">
        <f t="shared" ca="1" si="105"/>
        <v>10.662885095334278</v>
      </c>
      <c r="P86" s="67">
        <f t="shared" ca="1" si="106"/>
        <v>0.29012257346553394</v>
      </c>
      <c r="Q86" s="46">
        <f t="shared" ca="1" si="107"/>
        <v>8.8793322959274619</v>
      </c>
      <c r="R86" s="46">
        <f t="shared" ca="1" si="108"/>
        <v>2.576094736350103</v>
      </c>
      <c r="S86" s="46">
        <f t="shared" ca="1" si="109"/>
        <v>8.4171107634264136E-2</v>
      </c>
      <c r="T86" s="46">
        <f t="shared" ca="1" si="110"/>
        <v>2.304957431621065</v>
      </c>
      <c r="U86" s="46">
        <f t="shared" ca="1" si="111"/>
        <v>2.9276658015641148</v>
      </c>
      <c r="V86" s="46">
        <f t="shared" ca="1" si="95"/>
        <v>9.1446764694791014</v>
      </c>
      <c r="W86" s="68">
        <f t="shared" ca="1" si="112"/>
        <v>-1.518208625855177</v>
      </c>
      <c r="X86" s="46"/>
      <c r="Y86" s="46"/>
      <c r="Z86" s="12"/>
      <c r="AA86" s="12"/>
      <c r="AB86" s="12"/>
      <c r="AC86" s="12"/>
      <c r="AD86" s="12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9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</row>
    <row r="87" spans="1:137" s="9" customFormat="1" x14ac:dyDescent="0.25">
      <c r="A87" s="1"/>
      <c r="B87" s="37"/>
      <c r="C87" s="46">
        <f t="shared" si="113"/>
        <v>17</v>
      </c>
      <c r="D87" s="46">
        <f t="shared" ca="1" si="96"/>
        <v>0.60208757458008222</v>
      </c>
      <c r="E87" s="46">
        <f t="shared" ca="1" si="96"/>
        <v>0.30467513272893509</v>
      </c>
      <c r="F87" s="46">
        <f t="shared" ref="F87:G87" ca="1" si="115">AVERAGE(D83:D91)</f>
        <v>0.56262102118748514</v>
      </c>
      <c r="G87" s="46">
        <f t="shared" ca="1" si="115"/>
        <v>0.31867555718548224</v>
      </c>
      <c r="H87" s="46">
        <f t="shared" ca="1" si="98"/>
        <v>0.67005907887567839</v>
      </c>
      <c r="I87" s="46">
        <f t="shared" ca="1" si="99"/>
        <v>0.19496587055036194</v>
      </c>
      <c r="J87" s="46">
        <f t="shared" ca="1" si="100"/>
        <v>-0.47878113140766471</v>
      </c>
      <c r="K87" s="46">
        <f t="shared" ca="1" si="101"/>
        <v>-0.62536083982418278</v>
      </c>
      <c r="L87" s="12">
        <f t="shared" ca="1" si="102"/>
        <v>1.6563656605777006</v>
      </c>
      <c r="M87" s="12">
        <f t="shared" ca="1" si="103"/>
        <v>9.8112370606153601</v>
      </c>
      <c r="N87" s="46">
        <f t="shared" ca="1" si="104"/>
        <v>1.6563656605777006</v>
      </c>
      <c r="O87" s="12">
        <f t="shared" ca="1" si="105"/>
        <v>9.8112370606153601</v>
      </c>
      <c r="P87" s="67">
        <f t="shared" ca="1" si="106"/>
        <v>-0.12718713882911681</v>
      </c>
      <c r="Q87" s="46">
        <f t="shared" ca="1" si="107"/>
        <v>8.0276842612085417</v>
      </c>
      <c r="R87" s="46">
        <f t="shared" ca="1" si="108"/>
        <v>-1.0210181926066468</v>
      </c>
      <c r="S87" s="46">
        <f t="shared" ca="1" si="109"/>
        <v>1.6176568283537033E-2</v>
      </c>
      <c r="T87" s="46">
        <f t="shared" ca="1" si="110"/>
        <v>15.827388477370343</v>
      </c>
      <c r="U87" s="46">
        <f t="shared" ca="1" si="111"/>
        <v>6.5673818253126868</v>
      </c>
      <c r="V87" s="46">
        <f t="shared" ca="1" si="95"/>
        <v>13.789602111408254</v>
      </c>
      <c r="W87" s="68">
        <f t="shared" ca="1" si="112"/>
        <v>3.9783650507928936</v>
      </c>
      <c r="X87" s="46"/>
      <c r="Y87" s="46"/>
      <c r="Z87" s="12"/>
      <c r="AA87" s="12"/>
      <c r="AB87" s="12"/>
      <c r="AC87" s="12"/>
      <c r="AD87" s="1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9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</row>
    <row r="88" spans="1:137" s="9" customFormat="1" x14ac:dyDescent="0.25">
      <c r="A88" s="1"/>
      <c r="B88" s="37"/>
      <c r="C88" s="46">
        <f t="shared" si="113"/>
        <v>17.25</v>
      </c>
      <c r="D88" s="46">
        <f t="shared" ca="1" si="96"/>
        <v>0.57026044827867062</v>
      </c>
      <c r="E88" s="46">
        <f t="shared" ca="1" si="96"/>
        <v>0.10119437992952873</v>
      </c>
      <c r="F88" s="46">
        <f t="shared" ref="F88:G88" ca="1" si="116">AVERAGE(D84:D92)</f>
        <v>0.59582313219592675</v>
      </c>
      <c r="G88" s="46">
        <f t="shared" ca="1" si="116"/>
        <v>0.23789407031401869</v>
      </c>
      <c r="H88" s="46">
        <f t="shared" ca="1" si="98"/>
        <v>0.74360615970552035</v>
      </c>
      <c r="I88" s="46">
        <f t="shared" ca="1" si="99"/>
        <v>2.3376404609244825E-2</v>
      </c>
      <c r="J88" s="46">
        <f t="shared" ca="1" si="100"/>
        <v>0.30500640310744237</v>
      </c>
      <c r="K88" s="46">
        <f t="shared" ca="1" si="101"/>
        <v>-1.0476086524370669</v>
      </c>
      <c r="L88" s="12">
        <f t="shared" ca="1" si="102"/>
        <v>1.8915019209322328</v>
      </c>
      <c r="M88" s="12">
        <f t="shared" ca="1" si="103"/>
        <v>8.3333697164702656</v>
      </c>
      <c r="N88" s="46">
        <f t="shared" ca="1" si="104"/>
        <v>1.8915019209322328</v>
      </c>
      <c r="O88" s="12">
        <f t="shared" ca="1" si="105"/>
        <v>8.3333697164702656</v>
      </c>
      <c r="P88" s="67">
        <f t="shared" ca="1" si="106"/>
        <v>0.10794912152541536</v>
      </c>
      <c r="Q88" s="46">
        <f t="shared" ca="1" si="107"/>
        <v>6.5498169170634482</v>
      </c>
      <c r="R88" s="46">
        <f t="shared" ca="1" si="108"/>
        <v>0.70704698234930352</v>
      </c>
      <c r="S88" s="46">
        <f t="shared" ca="1" si="109"/>
        <v>1.1653012838108894E-2</v>
      </c>
      <c r="T88" s="46">
        <f t="shared" ca="1" si="110"/>
        <v>8.0600033540808695</v>
      </c>
      <c r="U88" s="46">
        <f t="shared" ca="1" si="111"/>
        <v>16.326106472351313</v>
      </c>
      <c r="V88" s="46">
        <f t="shared" ca="1" si="95"/>
        <v>11.172384220498181</v>
      </c>
      <c r="W88" s="68">
        <f t="shared" ca="1" si="112"/>
        <v>2.8390145040279151</v>
      </c>
      <c r="X88" s="46"/>
      <c r="Y88" s="46"/>
      <c r="Z88" s="12"/>
      <c r="AA88" s="12"/>
      <c r="AB88" s="12"/>
      <c r="AC88" s="12"/>
      <c r="AD88" s="1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9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</row>
    <row r="89" spans="1:137" s="9" customFormat="1" ht="15.75" thickBot="1" x14ac:dyDescent="0.3">
      <c r="A89" s="1"/>
      <c r="B89" s="37"/>
      <c r="C89" s="46">
        <f t="shared" si="113"/>
        <v>17.5</v>
      </c>
      <c r="D89" s="46">
        <f t="shared" ca="1" si="96"/>
        <v>0.9540019754203517</v>
      </c>
      <c r="E89" s="46">
        <f t="shared" ca="1" si="96"/>
        <v>6.8724598759158373E-2</v>
      </c>
      <c r="F89" s="46">
        <f t="shared" ref="F89:G89" ca="1" si="117">AVERAGE(D85:D93)</f>
        <v>0.58859472077943276</v>
      </c>
      <c r="G89" s="46">
        <f t="shared" ca="1" si="117"/>
        <v>0.22688884507081086</v>
      </c>
      <c r="H89" s="46">
        <f t="shared" ca="1" si="98"/>
        <v>0.72759426941983729</v>
      </c>
      <c r="I89" s="46">
        <f t="shared" ca="1" si="99"/>
        <v>0</v>
      </c>
      <c r="J89" s="46">
        <f t="shared" ca="1" si="100"/>
        <v>3.8262072608976017E-2</v>
      </c>
      <c r="K89" s="46">
        <f t="shared" ca="1" si="101"/>
        <v>0.74050013236707546</v>
      </c>
      <c r="L89" s="12">
        <f t="shared" ca="1" si="102"/>
        <v>1.8114786217826928</v>
      </c>
      <c r="M89" s="12">
        <f t="shared" ca="1" si="103"/>
        <v>14.591750463284765</v>
      </c>
      <c r="N89" s="46">
        <f t="shared" ca="1" si="104"/>
        <v>1.8114786217826928</v>
      </c>
      <c r="O89" s="12">
        <f t="shared" ca="1" si="105"/>
        <v>14.591750463284765</v>
      </c>
      <c r="P89" s="67">
        <f t="shared" ca="1" si="106"/>
        <v>2.7925822375875375E-2</v>
      </c>
      <c r="Q89" s="46">
        <f t="shared" ca="1" si="107"/>
        <v>12.808197663877948</v>
      </c>
      <c r="R89" s="46">
        <f t="shared" ca="1" si="108"/>
        <v>0.35767945291655751</v>
      </c>
      <c r="S89" s="46">
        <f t="shared" ca="1" si="109"/>
        <v>7.7985155536894183E-4</v>
      </c>
      <c r="T89" s="46">
        <f t="shared" ca="1" si="110"/>
        <v>6.394098269734708</v>
      </c>
      <c r="U89" s="46">
        <f t="shared" ca="1" si="111"/>
        <v>4.9187390969937601</v>
      </c>
      <c r="V89" s="46">
        <f t="shared" ca="1" si="95"/>
        <v>12.06309503603994</v>
      </c>
      <c r="W89" s="68">
        <f t="shared" ca="1" si="112"/>
        <v>-2.5286554272448249</v>
      </c>
      <c r="X89" s="46"/>
      <c r="Y89" s="46"/>
      <c r="Z89" s="12"/>
      <c r="AA89" s="12"/>
      <c r="AB89" s="12"/>
      <c r="AC89" s="12"/>
      <c r="AD89" s="1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9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</row>
    <row r="90" spans="1:137" s="9" customFormat="1" ht="19.5" thickBot="1" x14ac:dyDescent="0.35">
      <c r="A90" s="1"/>
      <c r="B90" s="37"/>
      <c r="C90" s="46">
        <f t="shared" si="113"/>
        <v>17.75</v>
      </c>
      <c r="D90" s="46">
        <f t="shared" ca="1" si="96"/>
        <v>0.95371662415359604</v>
      </c>
      <c r="E90" s="46">
        <f t="shared" ca="1" si="96"/>
        <v>0.75971075526437348</v>
      </c>
      <c r="F90" s="46">
        <f t="shared" ref="F90:G90" ca="1" si="118">AVERAGE(D86:D94)</f>
        <v>0.50386564904538855</v>
      </c>
      <c r="G90" s="46">
        <f t="shared" ca="1" si="118"/>
        <v>0.23216067386680125</v>
      </c>
      <c r="H90" s="46">
        <f t="shared" ca="1" si="98"/>
        <v>0.53990813446664576</v>
      </c>
      <c r="I90" s="46">
        <f t="shared" ca="1" si="99"/>
        <v>1.1197990067654281E-2</v>
      </c>
      <c r="J90" s="46">
        <f t="shared" ca="1" si="100"/>
        <v>-0.26675132841286753</v>
      </c>
      <c r="K90" s="46">
        <f t="shared" ca="1" si="101"/>
        <v>1.0841701778504091</v>
      </c>
      <c r="L90" s="12">
        <f t="shared" ca="1" si="102"/>
        <v>1.7199746014761397</v>
      </c>
      <c r="M90" s="12">
        <f t="shared" ca="1" si="103"/>
        <v>15.794595622476432</v>
      </c>
      <c r="N90" s="46">
        <f t="shared" ca="1" si="104"/>
        <v>1.7199746014761397</v>
      </c>
      <c r="O90" s="12">
        <f t="shared" ca="1" si="105"/>
        <v>15.794595622476432</v>
      </c>
      <c r="P90" s="67">
        <f t="shared" ca="1" si="106"/>
        <v>-6.357819793067776E-2</v>
      </c>
      <c r="Q90" s="46">
        <f t="shared" ca="1" si="107"/>
        <v>14.011042823069616</v>
      </c>
      <c r="R90" s="46">
        <f t="shared" ca="1" si="108"/>
        <v>-0.89079685382032214</v>
      </c>
      <c r="S90" s="46">
        <f t="shared" ca="1" si="109"/>
        <v>4.0421872521124377E-3</v>
      </c>
      <c r="T90" s="46">
        <f t="shared" ca="1" si="110"/>
        <v>7.3603796155798724</v>
      </c>
      <c r="U90" s="46">
        <f t="shared" ca="1" si="111"/>
        <v>11.700971021870904</v>
      </c>
      <c r="V90" s="46">
        <f t="shared" ca="1" si="95"/>
        <v>13.081593666048853</v>
      </c>
      <c r="W90" s="68">
        <f t="shared" ca="1" si="112"/>
        <v>-2.7130019564275791</v>
      </c>
      <c r="X90" s="46"/>
      <c r="Y90" s="46"/>
      <c r="Z90" s="138" t="s">
        <v>36</v>
      </c>
      <c r="AA90" s="139"/>
      <c r="AB90" s="139"/>
      <c r="AC90" s="139"/>
      <c r="AD90" s="139"/>
      <c r="AE90" s="134"/>
      <c r="AF90" s="134"/>
      <c r="AG90" s="135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9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</row>
    <row r="91" spans="1:137" s="9" customFormat="1" x14ac:dyDescent="0.25">
      <c r="A91" s="1"/>
      <c r="B91" s="37"/>
      <c r="C91" s="46">
        <f t="shared" si="113"/>
        <v>18</v>
      </c>
      <c r="D91" s="46">
        <f t="shared" ca="1" si="96"/>
        <v>0.31362209353761294</v>
      </c>
      <c r="E91" s="46">
        <f t="shared" ca="1" si="96"/>
        <v>3.5284827201097491E-2</v>
      </c>
      <c r="F91" s="46">
        <f t="shared" ref="F91:G91" ca="1" si="119">AVERAGE(D87:D95)</f>
        <v>0.53851822238146096</v>
      </c>
      <c r="G91" s="46">
        <f t="shared" ca="1" si="119"/>
        <v>0.29599851470490351</v>
      </c>
      <c r="H91" s="46">
        <f t="shared" ca="1" si="98"/>
        <v>0.61666818178599125</v>
      </c>
      <c r="I91" s="46">
        <f t="shared" ca="1" si="99"/>
        <v>0.14679714081952688</v>
      </c>
      <c r="J91" s="46">
        <f t="shared" ca="1" si="100"/>
        <v>0.22328560930730418</v>
      </c>
      <c r="K91" s="46">
        <f t="shared" ca="1" si="101"/>
        <v>-0.32236607202163692</v>
      </c>
      <c r="L91" s="12">
        <f t="shared" ca="1" si="102"/>
        <v>1.8669856827921913</v>
      </c>
      <c r="M91" s="12">
        <f t="shared" ca="1" si="103"/>
        <v>10.871718747924271</v>
      </c>
      <c r="N91" s="46">
        <f t="shared" ca="1" si="104"/>
        <v>1.8669856827921913</v>
      </c>
      <c r="O91" s="12">
        <f t="shared" ca="1" si="105"/>
        <v>10.871718747924271</v>
      </c>
      <c r="P91" s="67">
        <f t="shared" ca="1" si="106"/>
        <v>8.3432883385373913E-2</v>
      </c>
      <c r="Q91" s="46">
        <f t="shared" ca="1" si="107"/>
        <v>9.0881659485174531</v>
      </c>
      <c r="R91" s="46">
        <f t="shared" ca="1" si="108"/>
        <v>0.7582518897695828</v>
      </c>
      <c r="S91" s="46">
        <f t="shared" ca="1" si="109"/>
        <v>6.9610460299974024E-3</v>
      </c>
      <c r="T91" s="46">
        <f t="shared" ca="1" si="110"/>
        <v>0.32895613778830329</v>
      </c>
      <c r="U91" s="46">
        <f t="shared" ca="1" si="111"/>
        <v>2.256630863526413</v>
      </c>
      <c r="V91" s="46">
        <f t="shared" ca="1" si="95"/>
        <v>11.445265727506854</v>
      </c>
      <c r="W91" s="68">
        <f t="shared" ca="1" si="112"/>
        <v>0.57354697958258249</v>
      </c>
      <c r="X91" s="46"/>
      <c r="Y91" s="46"/>
      <c r="Z91" s="12"/>
      <c r="AA91" s="12"/>
      <c r="AB91" s="12"/>
      <c r="AC91" s="12"/>
      <c r="AD91" s="1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9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</row>
    <row r="92" spans="1:137" s="9" customFormat="1" ht="18" x14ac:dyDescent="0.35">
      <c r="A92" s="1"/>
      <c r="B92" s="37"/>
      <c r="C92" s="46">
        <f t="shared" si="113"/>
        <v>18.25</v>
      </c>
      <c r="D92" s="46">
        <f t="shared" ca="1" si="96"/>
        <v>0.9554760014815965</v>
      </c>
      <c r="E92" s="46">
        <f t="shared" ca="1" si="96"/>
        <v>6.5958208366480142E-2</v>
      </c>
      <c r="F92" s="46">
        <f t="shared" ref="F92:G92" ca="1" si="120">AVERAGE(D88:D96)</f>
        <v>0.57688134612018493</v>
      </c>
      <c r="G92" s="46">
        <f t="shared" ca="1" si="120"/>
        <v>0.34161506418087195</v>
      </c>
      <c r="H92" s="46">
        <f t="shared" ca="1" si="98"/>
        <v>0.70164759052839909</v>
      </c>
      <c r="I92" s="46">
        <f t="shared" ca="1" si="99"/>
        <v>0.24369210606215114</v>
      </c>
      <c r="J92" s="46">
        <f t="shared" ca="1" si="100"/>
        <v>-0.39747773923676871</v>
      </c>
      <c r="K92" s="46">
        <f t="shared" ca="1" si="101"/>
        <v>0.45587860848792194</v>
      </c>
      <c r="L92" s="12">
        <f t="shared" ca="1" si="102"/>
        <v>1.6807566782289693</v>
      </c>
      <c r="M92" s="12">
        <f t="shared" ca="1" si="103"/>
        <v>13.595575129707727</v>
      </c>
      <c r="N92" s="46">
        <f t="shared" ca="1" si="104"/>
        <v>1.6807566782289693</v>
      </c>
      <c r="O92" s="12">
        <f t="shared" ca="1" si="105"/>
        <v>13.595575129707727</v>
      </c>
      <c r="P92" s="67">
        <f t="shared" ca="1" si="106"/>
        <v>-0.10279612117784809</v>
      </c>
      <c r="Q92" s="46">
        <f t="shared" ca="1" si="107"/>
        <v>11.812022330300909</v>
      </c>
      <c r="R92" s="46">
        <f t="shared" ca="1" si="108"/>
        <v>-1.2142300788210598</v>
      </c>
      <c r="S92" s="46">
        <f t="shared" ca="1" si="109"/>
        <v>1.0567042529210828E-2</v>
      </c>
      <c r="T92" s="46">
        <f t="shared" ca="1" si="110"/>
        <v>6.0001663477990278E-3</v>
      </c>
      <c r="U92" s="46">
        <f t="shared" ca="1" si="111"/>
        <v>1.4924231517900046</v>
      </c>
      <c r="V92" s="46">
        <f t="shared" ca="1" si="95"/>
        <v>13.518114389020596</v>
      </c>
      <c r="W92" s="68">
        <f t="shared" ca="1" si="112"/>
        <v>-7.7460740687131491E-2</v>
      </c>
      <c r="X92" s="46"/>
      <c r="Y92" s="46"/>
      <c r="Z92" s="57" t="s">
        <v>81</v>
      </c>
      <c r="AA92" s="12"/>
      <c r="AB92" s="12"/>
      <c r="AC92" s="12"/>
      <c r="AD92" s="12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9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</row>
    <row r="93" spans="1:137" s="9" customFormat="1" x14ac:dyDescent="0.25">
      <c r="A93" s="1"/>
      <c r="B93" s="37"/>
      <c r="C93" s="46">
        <f t="shared" si="113"/>
        <v>18.5</v>
      </c>
      <c r="D93" s="46">
        <f t="shared" ca="1" si="96"/>
        <v>3.9253446109517309E-3</v>
      </c>
      <c r="E93" s="46">
        <f t="shared" ca="1" si="96"/>
        <v>0.38245942866212468</v>
      </c>
      <c r="F93" s="46">
        <f t="shared" ref="F93:G93" ca="1" si="121">AVERAGE(D89:D97)</f>
        <v>0.58245022081759146</v>
      </c>
      <c r="G93" s="46">
        <f t="shared" ca="1" si="121"/>
        <v>0.33574784127093715</v>
      </c>
      <c r="H93" s="46">
        <f t="shared" ca="1" si="98"/>
        <v>0.71398338680946338</v>
      </c>
      <c r="I93" s="46">
        <f t="shared" ca="1" si="99"/>
        <v>0.23122942823009901</v>
      </c>
      <c r="J93" s="46">
        <f t="shared" ca="1" si="100"/>
        <v>0.11993070744126495</v>
      </c>
      <c r="K93" s="46">
        <f t="shared" ca="1" si="101"/>
        <v>0.45126144979167077</v>
      </c>
      <c r="L93" s="12">
        <f t="shared" ca="1" si="102"/>
        <v>1.8359792122323795</v>
      </c>
      <c r="M93" s="12">
        <f t="shared" ca="1" si="103"/>
        <v>13.579415074270848</v>
      </c>
      <c r="N93" s="46">
        <f t="shared" ca="1" si="104"/>
        <v>1.8359792122323795</v>
      </c>
      <c r="O93" s="12">
        <f t="shared" ca="1" si="105"/>
        <v>13.579415074270848</v>
      </c>
      <c r="P93" s="67">
        <f t="shared" ca="1" si="106"/>
        <v>5.2426412825562041E-2</v>
      </c>
      <c r="Q93" s="46">
        <f t="shared" ca="1" si="107"/>
        <v>11.795862274864032</v>
      </c>
      <c r="R93" s="46">
        <f t="shared" ca="1" si="108"/>
        <v>0.61841474525549511</v>
      </c>
      <c r="S93" s="46">
        <f t="shared" ca="1" si="109"/>
        <v>2.7485287617562562E-3</v>
      </c>
      <c r="T93" s="46">
        <f t="shared" ca="1" si="110"/>
        <v>3.2006189534243878</v>
      </c>
      <c r="U93" s="46">
        <f t="shared" ca="1" si="111"/>
        <v>1.4532005094225369</v>
      </c>
      <c r="V93" s="46">
        <f t="shared" ca="1" si="95"/>
        <v>11.790387697894403</v>
      </c>
      <c r="W93" s="68">
        <f t="shared" ca="1" si="112"/>
        <v>-1.7890273763764455</v>
      </c>
      <c r="X93" s="46"/>
      <c r="Y93" s="46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9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</row>
    <row r="94" spans="1:137" s="9" customFormat="1" ht="15.75" thickBot="1" x14ac:dyDescent="0.3">
      <c r="A94" s="1"/>
      <c r="B94" s="37"/>
      <c r="C94" s="46">
        <f t="shared" si="113"/>
        <v>18.75</v>
      </c>
      <c r="D94" s="46">
        <f t="shared" ca="1" si="96"/>
        <v>0.15303492582421074</v>
      </c>
      <c r="E94" s="46">
        <f t="shared" ca="1" si="96"/>
        <v>0.12372802060744637</v>
      </c>
      <c r="F94" s="46">
        <f t="shared" ref="F94:G94" ca="1" si="122">AVERAGE(D90:D98)</f>
        <v>0.56710563498336353</v>
      </c>
      <c r="G94" s="46">
        <f t="shared" ca="1" si="122"/>
        <v>0.33096658409770119</v>
      </c>
      <c r="H94" s="46">
        <f t="shared" ca="1" si="98"/>
        <v>0.67999309341024317</v>
      </c>
      <c r="I94" s="46">
        <f t="shared" ca="1" si="99"/>
        <v>0.2210734705143404</v>
      </c>
      <c r="J94" s="46">
        <f t="shared" ca="1" si="100"/>
        <v>-0.97652929126151145</v>
      </c>
      <c r="K94" s="46">
        <f t="shared" ca="1" si="101"/>
        <v>1.0249598807099876</v>
      </c>
      <c r="L94" s="12">
        <f t="shared" ca="1" si="102"/>
        <v>1.5070412126215467</v>
      </c>
      <c r="M94" s="12">
        <f t="shared" ca="1" si="103"/>
        <v>15.587359582484957</v>
      </c>
      <c r="N94" s="46">
        <f t="shared" ca="1" si="104"/>
        <v>1.5070412126215467</v>
      </c>
      <c r="O94" s="12">
        <f t="shared" ca="1" si="105"/>
        <v>15.587359582484957</v>
      </c>
      <c r="P94" s="67">
        <f t="shared" ca="1" si="106"/>
        <v>-0.27651158678527077</v>
      </c>
      <c r="Q94" s="46">
        <f t="shared" ca="1" si="107"/>
        <v>13.803806783078141</v>
      </c>
      <c r="R94" s="46">
        <f t="shared" ca="1" si="108"/>
        <v>-3.8169125172662208</v>
      </c>
      <c r="S94" s="46">
        <f t="shared" ca="1" si="109"/>
        <v>7.6458657626508331E-2</v>
      </c>
      <c r="T94" s="46">
        <f t="shared" ca="1" si="110"/>
        <v>1.8409136521952859E-2</v>
      </c>
      <c r="U94" s="46">
        <f t="shared" ca="1" si="111"/>
        <v>10.326146329062952</v>
      </c>
      <c r="V94" s="46">
        <f t="shared" ca="1" si="95"/>
        <v>15.451679309335347</v>
      </c>
      <c r="W94" s="68">
        <f t="shared" ca="1" si="112"/>
        <v>-0.13568027314961029</v>
      </c>
      <c r="X94" s="46"/>
      <c r="Y94" s="46"/>
      <c r="Z94" s="12"/>
      <c r="AA94" s="12"/>
      <c r="AB94" s="12"/>
      <c r="AC94" s="12"/>
      <c r="AD94" s="12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9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</row>
    <row r="95" spans="1:137" s="9" customFormat="1" ht="15.75" thickBot="1" x14ac:dyDescent="0.3">
      <c r="A95" s="1"/>
      <c r="B95" s="37"/>
      <c r="C95" s="46">
        <f t="shared" si="113"/>
        <v>19</v>
      </c>
      <c r="D95" s="46">
        <f t="shared" ca="1" si="96"/>
        <v>0.3405390135460763</v>
      </c>
      <c r="E95" s="46">
        <f t="shared" ca="1" si="96"/>
        <v>0.82225128082498722</v>
      </c>
      <c r="F95" s="46">
        <f t="shared" ref="F95:G95" ca="1" si="123">AVERAGE(D91:D99)</f>
        <v>0.50712972929866962</v>
      </c>
      <c r="G95" s="46">
        <f t="shared" ca="1" si="123"/>
        <v>0.3219279948671705</v>
      </c>
      <c r="H95" s="46">
        <f t="shared" ca="1" si="98"/>
        <v>0.54713850527536079</v>
      </c>
      <c r="I95" s="46">
        <f t="shared" ca="1" si="99"/>
        <v>0.20187443421292062</v>
      </c>
      <c r="J95" s="46">
        <f t="shared" ca="1" si="100"/>
        <v>-1.765278962936363</v>
      </c>
      <c r="K95" s="46">
        <f t="shared" ca="1" si="101"/>
        <v>1.5241029051612822</v>
      </c>
      <c r="L95" s="12">
        <f t="shared" ca="1" si="102"/>
        <v>1.2704163111190911</v>
      </c>
      <c r="M95" s="12">
        <f t="shared" ca="1" si="103"/>
        <v>17.334360168064489</v>
      </c>
      <c r="N95" s="46">
        <f t="shared" ca="1" si="104"/>
        <v>1.2704163111190911</v>
      </c>
      <c r="O95" s="12">
        <f t="shared" ca="1" si="105"/>
        <v>17.334360168064489</v>
      </c>
      <c r="P95" s="67">
        <f t="shared" ca="1" si="106"/>
        <v>-0.51313648828772629</v>
      </c>
      <c r="Q95" s="46">
        <f t="shared" ca="1" si="107"/>
        <v>15.550807368657672</v>
      </c>
      <c r="R95" s="46">
        <f t="shared" ca="1" si="108"/>
        <v>-7.9796866831918951</v>
      </c>
      <c r="S95" s="46">
        <f t="shared" ca="1" si="109"/>
        <v>0.26330905561225987</v>
      </c>
      <c r="T95" s="46">
        <f t="shared" ca="1" si="110"/>
        <v>0.5641610736637277</v>
      </c>
      <c r="U95" s="46">
        <f t="shared" ca="1" si="111"/>
        <v>24.605893150214627</v>
      </c>
      <c r="V95" s="46">
        <f t="shared" ca="1" si="95"/>
        <v>18.08546673418126</v>
      </c>
      <c r="W95" s="68">
        <f t="shared" ca="1" si="112"/>
        <v>0.75110656611677129</v>
      </c>
      <c r="X95" s="46"/>
      <c r="Y95" s="46"/>
      <c r="Z95" s="59" t="s">
        <v>39</v>
      </c>
      <c r="AA95" s="106">
        <f ca="1">SUM(R20:R124)/SUM(S20:S124)</f>
        <v>-11.130643512676025</v>
      </c>
      <c r="AB95" s="59" t="s">
        <v>40</v>
      </c>
      <c r="AC95" s="106">
        <f ca="1">O14-AA95*O11</f>
        <v>32.226017805936777</v>
      </c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9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</row>
    <row r="96" spans="1:137" s="9" customFormat="1" x14ac:dyDescent="0.25">
      <c r="A96" s="1"/>
      <c r="B96" s="37"/>
      <c r="C96" s="46">
        <f t="shared" si="113"/>
        <v>19.25</v>
      </c>
      <c r="D96" s="46">
        <f t="shared" ca="1" si="96"/>
        <v>0.94735568822859828</v>
      </c>
      <c r="E96" s="46">
        <f t="shared" ca="1" si="96"/>
        <v>0.71522407801265053</v>
      </c>
      <c r="F96" s="46">
        <f t="shared" ref="F96:G96" ca="1" si="124">AVERAGE(D92:D100)</f>
        <v>0.56408506715036288</v>
      </c>
      <c r="G96" s="46">
        <f t="shared" ca="1" si="124"/>
        <v>0.34317428139117812</v>
      </c>
      <c r="H96" s="46">
        <f t="shared" ca="1" si="98"/>
        <v>0.67330213491940405</v>
      </c>
      <c r="I96" s="46">
        <f t="shared" ca="1" si="99"/>
        <v>0.24700406847785092</v>
      </c>
      <c r="J96" s="46">
        <f t="shared" ca="1" si="100"/>
        <v>-4.1059042470475753E-2</v>
      </c>
      <c r="K96" s="46">
        <f t="shared" ca="1" si="101"/>
        <v>0.26713471989229609</v>
      </c>
      <c r="L96" s="12">
        <f t="shared" ca="1" si="102"/>
        <v>1.7876822872588574</v>
      </c>
      <c r="M96" s="12">
        <f t="shared" ca="1" si="103"/>
        <v>12.934971519623037</v>
      </c>
      <c r="N96" s="46">
        <f t="shared" ca="1" si="104"/>
        <v>1.7876822872588574</v>
      </c>
      <c r="O96" s="12">
        <f t="shared" ca="1" si="105"/>
        <v>12.934971519623037</v>
      </c>
      <c r="P96" s="67">
        <f t="shared" ca="1" si="106"/>
        <v>4.1294878520399259E-3</v>
      </c>
      <c r="Q96" s="46">
        <f t="shared" ca="1" si="107"/>
        <v>11.15141872021622</v>
      </c>
      <c r="R96" s="46">
        <f t="shared" ca="1" si="108"/>
        <v>4.6049648138143502E-2</v>
      </c>
      <c r="S96" s="46">
        <f t="shared" ca="1" si="109"/>
        <v>1.705266992014532E-5</v>
      </c>
      <c r="T96" s="46">
        <f t="shared" ca="1" si="110"/>
        <v>0.36845867211061206</v>
      </c>
      <c r="U96" s="46">
        <f t="shared" ca="1" si="111"/>
        <v>0.3147704932747063</v>
      </c>
      <c r="V96" s="46">
        <f t="shared" ca="1" si="95"/>
        <v>12.327963552533138</v>
      </c>
      <c r="W96" s="68">
        <f t="shared" ca="1" si="112"/>
        <v>-0.60700796708989913</v>
      </c>
      <c r="X96" s="46"/>
      <c r="Y96" s="46"/>
      <c r="Z96" s="12"/>
      <c r="AA96" s="12"/>
      <c r="AB96" s="12"/>
      <c r="AC96" s="12"/>
      <c r="AD96" s="12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9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</row>
    <row r="97" spans="1:137" s="9" customFormat="1" x14ac:dyDescent="0.25">
      <c r="A97" s="1"/>
      <c r="B97" s="37"/>
      <c r="C97" s="46">
        <f t="shared" si="113"/>
        <v>19.5</v>
      </c>
      <c r="D97" s="46">
        <f t="shared" ca="1" si="96"/>
        <v>0.62038032055532844</v>
      </c>
      <c r="E97" s="46">
        <f t="shared" ca="1" si="96"/>
        <v>4.8389373740115427E-2</v>
      </c>
      <c r="F97" s="46">
        <f t="shared" ref="F97:G97" ca="1" si="125">AVERAGE(D93:D101)</f>
        <v>0.56504543784111771</v>
      </c>
      <c r="G97" s="46">
        <f t="shared" ca="1" si="125"/>
        <v>0.36730482499068123</v>
      </c>
      <c r="H97" s="46">
        <f t="shared" ca="1" si="98"/>
        <v>0.67542948341244402</v>
      </c>
      <c r="I97" s="46">
        <f t="shared" ca="1" si="99"/>
        <v>0.29826020709901624</v>
      </c>
      <c r="J97" s="46">
        <f t="shared" ca="1" si="100"/>
        <v>-1.0498936117812596</v>
      </c>
      <c r="K97" s="46">
        <f t="shared" ca="1" si="101"/>
        <v>0.59834008831659546</v>
      </c>
      <c r="L97" s="12">
        <f t="shared" ca="1" si="102"/>
        <v>1.4850319164656223</v>
      </c>
      <c r="M97" s="12">
        <f t="shared" ca="1" si="103"/>
        <v>14.094190309108084</v>
      </c>
      <c r="N97" s="46">
        <f t="shared" ca="1" si="104"/>
        <v>1.4850319164656223</v>
      </c>
      <c r="O97" s="12">
        <f t="shared" ca="1" si="105"/>
        <v>14.094190309108084</v>
      </c>
      <c r="P97" s="67">
        <f t="shared" ca="1" si="106"/>
        <v>-0.29852088294119516</v>
      </c>
      <c r="Q97" s="46">
        <f t="shared" ca="1" si="107"/>
        <v>12.310637509701266</v>
      </c>
      <c r="R97" s="46">
        <f t="shared" ca="1" si="108"/>
        <v>-3.674982378965018</v>
      </c>
      <c r="S97" s="46">
        <f t="shared" ca="1" si="109"/>
        <v>8.9114717551990741E-2</v>
      </c>
      <c r="T97" s="46">
        <f t="shared" ca="1" si="110"/>
        <v>2.5678992993141532</v>
      </c>
      <c r="U97" s="46">
        <f t="shared" ca="1" si="111"/>
        <v>2.9593044430657227</v>
      </c>
      <c r="V97" s="46">
        <f t="shared" ca="1" si="95"/>
        <v>15.696656938811852</v>
      </c>
      <c r="W97" s="68">
        <f t="shared" ca="1" si="112"/>
        <v>1.602466629703768</v>
      </c>
      <c r="X97" s="46"/>
      <c r="Y97" s="46"/>
      <c r="Z97" s="59" t="s">
        <v>43</v>
      </c>
      <c r="AA97" s="12" t="s">
        <v>0</v>
      </c>
      <c r="AB97" s="12" t="s">
        <v>42</v>
      </c>
      <c r="AC97" s="12"/>
      <c r="AD97" s="12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9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</row>
    <row r="98" spans="1:137" s="9" customFormat="1" x14ac:dyDescent="0.25">
      <c r="A98" s="1"/>
      <c r="B98" s="37"/>
      <c r="C98" s="46">
        <f t="shared" si="113"/>
        <v>19.75</v>
      </c>
      <c r="D98" s="46">
        <f t="shared" ca="1" si="96"/>
        <v>0.81590070291230088</v>
      </c>
      <c r="E98" s="46">
        <f t="shared" ca="1" si="96"/>
        <v>2.5693284200035138E-2</v>
      </c>
      <c r="F98" s="46">
        <f t="shared" ref="F98:G98" ca="1" si="126">AVERAGE(D94:D102)</f>
        <v>0.6449476704599858</v>
      </c>
      <c r="G98" s="46">
        <f t="shared" ca="1" si="126"/>
        <v>0.34295071486841699</v>
      </c>
      <c r="H98" s="46">
        <f t="shared" ca="1" si="98"/>
        <v>0.85242352934556564</v>
      </c>
      <c r="I98" s="46">
        <f t="shared" ca="1" si="99"/>
        <v>0.24652918664875148</v>
      </c>
      <c r="J98" s="46">
        <f t="shared" ca="1" si="100"/>
        <v>0.42099835036717087</v>
      </c>
      <c r="K98" s="46">
        <f t="shared" ca="1" si="101"/>
        <v>-3.5669083430601989E-2</v>
      </c>
      <c r="L98" s="12">
        <f t="shared" ca="1" si="102"/>
        <v>1.9262995051101512</v>
      </c>
      <c r="M98" s="12">
        <f t="shared" ca="1" si="103"/>
        <v>11.875158207992893</v>
      </c>
      <c r="N98" s="46">
        <f t="shared" ca="1" si="104"/>
        <v>1.9262995051101512</v>
      </c>
      <c r="O98" s="12">
        <f t="shared" ca="1" si="105"/>
        <v>11.875158207992893</v>
      </c>
      <c r="P98" s="67">
        <f t="shared" ca="1" si="106"/>
        <v>0.14274670570333381</v>
      </c>
      <c r="Q98" s="46">
        <f t="shared" ca="1" si="107"/>
        <v>10.091605408586076</v>
      </c>
      <c r="R98" s="46">
        <f t="shared" ca="1" si="108"/>
        <v>1.4405434273336084</v>
      </c>
      <c r="S98" s="46">
        <f t="shared" ca="1" si="109"/>
        <v>2.0376621989154194E-2</v>
      </c>
      <c r="T98" s="46">
        <f t="shared" ca="1" si="110"/>
        <v>1.1883038214783472</v>
      </c>
      <c r="U98" s="46">
        <f t="shared" ca="1" si="111"/>
        <v>0.24877071657565783</v>
      </c>
      <c r="V98" s="46">
        <f t="shared" ca="1" si="95"/>
        <v>10.785064715911435</v>
      </c>
      <c r="W98" s="68">
        <f t="shared" ca="1" si="112"/>
        <v>-1.0900934920814578</v>
      </c>
      <c r="X98" s="46"/>
      <c r="Y98" s="46"/>
      <c r="Z98" s="98" t="s">
        <v>82</v>
      </c>
      <c r="AA98" s="12">
        <v>0</v>
      </c>
      <c r="AB98" s="12">
        <f ca="1">AC95</f>
        <v>32.226017805936777</v>
      </c>
      <c r="AC98" s="12"/>
      <c r="AD98" s="1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9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</row>
    <row r="99" spans="1:137" s="9" customFormat="1" x14ac:dyDescent="0.25">
      <c r="A99" s="1"/>
      <c r="B99" s="37"/>
      <c r="C99" s="46">
        <f t="shared" si="113"/>
        <v>20</v>
      </c>
      <c r="D99" s="46">
        <f t="shared" ca="1" si="96"/>
        <v>0.41393347299135053</v>
      </c>
      <c r="E99" s="46">
        <f t="shared" ca="1" si="96"/>
        <v>0.67836345218959737</v>
      </c>
      <c r="F99" s="46">
        <f t="shared" ref="F99:G99" ca="1" si="127">AVERAGE(D95:D103)</f>
        <v>0.67330798906124611</v>
      </c>
      <c r="G99" s="46">
        <f t="shared" ca="1" si="127"/>
        <v>0.41318927974708597</v>
      </c>
      <c r="H99" s="46">
        <f t="shared" ca="1" si="98"/>
        <v>0.91524539762968304</v>
      </c>
      <c r="I99" s="46">
        <f t="shared" ca="1" si="99"/>
        <v>0.39572423495453862</v>
      </c>
      <c r="J99" s="46">
        <f t="shared" ca="1" si="100"/>
        <v>0.26962483756787314</v>
      </c>
      <c r="K99" s="46">
        <f t="shared" ca="1" si="101"/>
        <v>-0.50507147554575715</v>
      </c>
      <c r="L99" s="12">
        <f t="shared" ca="1" si="102"/>
        <v>1.8808874512703619</v>
      </c>
      <c r="M99" s="12">
        <f t="shared" ca="1" si="103"/>
        <v>10.232249835589849</v>
      </c>
      <c r="N99" s="46">
        <f t="shared" ca="1" si="104"/>
        <v>1.8808874512703619</v>
      </c>
      <c r="O99" s="12">
        <f t="shared" ca="1" si="105"/>
        <v>10.232249835589849</v>
      </c>
      <c r="P99" s="67">
        <f t="shared" ca="1" si="106"/>
        <v>9.7334651863544508E-2</v>
      </c>
      <c r="Q99" s="46">
        <f t="shared" ca="1" si="107"/>
        <v>8.4486970361830309</v>
      </c>
      <c r="R99" s="46">
        <f t="shared" ca="1" si="108"/>
        <v>0.82235098471743562</v>
      </c>
      <c r="S99" s="46">
        <f t="shared" ca="1" si="109"/>
        <v>9.4740344533974091E-3</v>
      </c>
      <c r="T99" s="46">
        <f t="shared" ca="1" si="110"/>
        <v>1.1199571146124154</v>
      </c>
      <c r="U99" s="46">
        <f t="shared" ca="1" si="111"/>
        <v>4.5867828314640011</v>
      </c>
      <c r="V99" s="46">
        <f t="shared" ca="1" si="95"/>
        <v>11.290530098380579</v>
      </c>
      <c r="W99" s="68">
        <f t="shared" ca="1" si="112"/>
        <v>1.0582802627907295</v>
      </c>
      <c r="X99" s="46"/>
      <c r="Y99" s="46"/>
      <c r="Z99" s="12"/>
      <c r="AA99" s="12">
        <v>30</v>
      </c>
      <c r="AB99" s="12">
        <f ca="1">AC95+AA95*AA99</f>
        <v>-301.69328757434403</v>
      </c>
      <c r="AC99" s="12"/>
      <c r="AD99" s="12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9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</row>
    <row r="100" spans="1:137" s="9" customFormat="1" x14ac:dyDescent="0.25">
      <c r="A100" s="1"/>
      <c r="B100" s="37"/>
      <c r="C100" s="46">
        <f t="shared" si="113"/>
        <v>20.25</v>
      </c>
      <c r="D100" s="46">
        <f t="shared" ca="1" si="96"/>
        <v>0.8262201342028529</v>
      </c>
      <c r="E100" s="46">
        <f t="shared" ca="1" si="96"/>
        <v>0.2265014059171665</v>
      </c>
      <c r="F100" s="46">
        <f t="shared" ref="F100:G100" ca="1" si="128">AVERAGE(D96:D104)</f>
        <v>0.64149047474778154</v>
      </c>
      <c r="G100" s="46">
        <f t="shared" ca="1" si="128"/>
        <v>0.37691621118859203</v>
      </c>
      <c r="H100" s="46">
        <f t="shared" ca="1" si="98"/>
        <v>0.84476538217457942</v>
      </c>
      <c r="I100" s="46">
        <f t="shared" ca="1" si="99"/>
        <v>0.31867593214351192</v>
      </c>
      <c r="J100" s="46">
        <f t="shared" ca="1" si="100"/>
        <v>-0.70454420706112242</v>
      </c>
      <c r="K100" s="46">
        <f t="shared" ca="1" si="101"/>
        <v>0.42642353721380299</v>
      </c>
      <c r="L100" s="12">
        <f t="shared" ca="1" si="102"/>
        <v>1.5886367378816633</v>
      </c>
      <c r="M100" s="12">
        <f t="shared" ca="1" si="103"/>
        <v>13.49248238024831</v>
      </c>
      <c r="N100" s="46">
        <f t="shared" ca="1" si="104"/>
        <v>1.5886367378816633</v>
      </c>
      <c r="O100" s="12">
        <f t="shared" ca="1" si="105"/>
        <v>13.49248238024831</v>
      </c>
      <c r="P100" s="67">
        <f t="shared" ca="1" si="106"/>
        <v>-0.19491606152515417</v>
      </c>
      <c r="Q100" s="46">
        <f t="shared" ca="1" si="107"/>
        <v>11.708929580841492</v>
      </c>
      <c r="R100" s="46">
        <f t="shared" ca="1" si="108"/>
        <v>-2.282258438572998</v>
      </c>
      <c r="S100" s="46">
        <f t="shared" ca="1" si="109"/>
        <v>3.7992271040477685E-2</v>
      </c>
      <c r="T100" s="46">
        <f t="shared" ca="1" si="110"/>
        <v>1.1045720455330914</v>
      </c>
      <c r="U100" s="46">
        <f t="shared" ca="1" si="111"/>
        <v>1.2511652221291067</v>
      </c>
      <c r="V100" s="46">
        <f t="shared" ca="1" si="95"/>
        <v>14.543468605435439</v>
      </c>
      <c r="W100" s="68">
        <f t="shared" ca="1" si="112"/>
        <v>1.0509862251871294</v>
      </c>
      <c r="X100" s="46"/>
      <c r="Y100" s="46"/>
      <c r="Z100" s="12"/>
      <c r="AA100" s="12"/>
      <c r="AB100" s="12"/>
      <c r="AC100" s="12"/>
      <c r="AD100" s="12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45" t="s">
        <v>92</v>
      </c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9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</row>
    <row r="101" spans="1:137" s="9" customFormat="1" ht="15.75" thickBot="1" x14ac:dyDescent="0.3">
      <c r="A101" s="1"/>
      <c r="B101" s="37"/>
      <c r="C101" s="46">
        <f t="shared" si="113"/>
        <v>20.5</v>
      </c>
      <c r="D101" s="46">
        <f t="shared" ca="1" si="96"/>
        <v>0.9641193376983892</v>
      </c>
      <c r="E101" s="46">
        <f t="shared" ca="1" si="96"/>
        <v>0.28313310076200815</v>
      </c>
      <c r="F101" s="46">
        <f t="shared" ref="F101:G101" ca="1" si="129">AVERAGE(D97:D105)</f>
        <v>0.57529672109347918</v>
      </c>
      <c r="G101" s="46">
        <f t="shared" ca="1" si="129"/>
        <v>0.34233827389118793</v>
      </c>
      <c r="H101" s="46">
        <f t="shared" ca="1" si="98"/>
        <v>0.69813743586098986</v>
      </c>
      <c r="I101" s="46">
        <f t="shared" ca="1" si="99"/>
        <v>0.24522828932347193</v>
      </c>
      <c r="J101" s="46">
        <f t="shared" ca="1" si="100"/>
        <v>-1.323346753020469</v>
      </c>
      <c r="K101" s="46">
        <f t="shared" ca="1" si="101"/>
        <v>1.5322460342789244</v>
      </c>
      <c r="L101" s="12">
        <f t="shared" ca="1" si="102"/>
        <v>1.4029959740938593</v>
      </c>
      <c r="M101" s="12">
        <f t="shared" ca="1" si="103"/>
        <v>17.362861119976237</v>
      </c>
      <c r="N101" s="46">
        <f t="shared" ca="1" si="104"/>
        <v>1.4029959740938593</v>
      </c>
      <c r="O101" s="12">
        <f t="shared" ca="1" si="105"/>
        <v>17.362861119976237</v>
      </c>
      <c r="P101" s="67">
        <f t="shared" ca="1" si="106"/>
        <v>-0.38055682531295809</v>
      </c>
      <c r="Q101" s="46">
        <f t="shared" ca="1" si="107"/>
        <v>15.579308320569421</v>
      </c>
      <c r="R101" s="46">
        <f t="shared" ca="1" si="108"/>
        <v>-5.928812115047652</v>
      </c>
      <c r="S101" s="46">
        <f t="shared" ca="1" si="109"/>
        <v>0.14482349729227731</v>
      </c>
      <c r="T101" s="46">
        <f t="shared" ca="1" si="110"/>
        <v>0.56714658355024916</v>
      </c>
      <c r="U101" s="46">
        <f t="shared" ca="1" si="111"/>
        <v>24.889459565489485</v>
      </c>
      <c r="V101" s="46">
        <f t="shared" ca="1" si="95"/>
        <v>16.609769768578381</v>
      </c>
      <c r="W101" s="68">
        <f t="shared" ca="1" si="112"/>
        <v>-0.7530913513978561</v>
      </c>
      <c r="X101" s="46"/>
      <c r="Y101" s="46"/>
      <c r="Z101" s="12"/>
      <c r="AA101" s="12"/>
      <c r="AB101" s="12"/>
      <c r="AC101" s="12"/>
      <c r="AD101" s="12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9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</row>
    <row r="102" spans="1:137" s="9" customFormat="1" x14ac:dyDescent="0.25">
      <c r="A102" s="1"/>
      <c r="B102" s="37"/>
      <c r="C102" s="46">
        <f t="shared" si="113"/>
        <v>20.75</v>
      </c>
      <c r="D102" s="46">
        <f t="shared" ca="1" si="96"/>
        <v>0.72304543818076494</v>
      </c>
      <c r="E102" s="46">
        <f t="shared" ca="1" si="96"/>
        <v>0.16327243756174581</v>
      </c>
      <c r="F102" s="46">
        <f t="shared" ref="F102:G102" ca="1" si="130">AVERAGE(D98:D106)</f>
        <v>0.61166973848569628</v>
      </c>
      <c r="G102" s="46">
        <f t="shared" ca="1" si="130"/>
        <v>0.34814230681910596</v>
      </c>
      <c r="H102" s="46">
        <f t="shared" ca="1" si="98"/>
        <v>0.77870849501715278</v>
      </c>
      <c r="I102" s="46">
        <f t="shared" ca="1" si="99"/>
        <v>0.25755674413380208</v>
      </c>
      <c r="J102" s="46">
        <f t="shared" ca="1" si="100"/>
        <v>-0.14338332015349223</v>
      </c>
      <c r="K102" s="46">
        <f t="shared" ca="1" si="101"/>
        <v>0.34774407839840515</v>
      </c>
      <c r="L102" s="12">
        <f t="shared" ca="1" si="102"/>
        <v>1.7569850039539523</v>
      </c>
      <c r="M102" s="12">
        <f t="shared" ca="1" si="103"/>
        <v>13.217104274394417</v>
      </c>
      <c r="N102" s="46">
        <f t="shared" ca="1" si="104"/>
        <v>1.7569850039539523</v>
      </c>
      <c r="O102" s="12">
        <f t="shared" ca="1" si="105"/>
        <v>13.217104274394417</v>
      </c>
      <c r="P102" s="67">
        <f t="shared" ca="1" si="106"/>
        <v>-2.6567795452865139E-2</v>
      </c>
      <c r="Q102" s="46">
        <f t="shared" ca="1" si="107"/>
        <v>11.433551474987599</v>
      </c>
      <c r="R102" s="46">
        <f t="shared" ca="1" si="108"/>
        <v>-0.30376425688727504</v>
      </c>
      <c r="S102" s="46">
        <f t="shared" ca="1" si="109"/>
        <v>7.0584775522528162E-4</v>
      </c>
      <c r="T102" s="46">
        <f t="shared" ca="1" si="110"/>
        <v>0.29971267560617815</v>
      </c>
      <c r="U102" s="46">
        <f t="shared" ca="1" si="111"/>
        <v>0.7109472251489547</v>
      </c>
      <c r="V102" s="46">
        <f t="shared" ca="1" si="95"/>
        <v>12.669644069807656</v>
      </c>
      <c r="W102" s="68">
        <f t="shared" ca="1" si="112"/>
        <v>-0.54746020458676092</v>
      </c>
      <c r="X102" s="46"/>
      <c r="Y102" s="46"/>
      <c r="Z102" s="12"/>
      <c r="AA102" s="12"/>
      <c r="AB102" s="12"/>
      <c r="AC102" s="12"/>
      <c r="AD102" s="12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 t="s">
        <v>93</v>
      </c>
      <c r="AR102" s="38"/>
      <c r="AS102" s="110">
        <f ca="1">AVERAGE(W20:W124)</f>
        <v>-1.3872501031506718E-15</v>
      </c>
      <c r="AT102" s="38"/>
      <c r="AU102" s="38" t="s">
        <v>97</v>
      </c>
      <c r="AV102" s="38"/>
      <c r="AW102" s="99">
        <f ca="1">MIN(W20:W124)</f>
        <v>-4.8268072759843221</v>
      </c>
      <c r="AX102" s="38"/>
      <c r="AY102" s="38"/>
      <c r="AZ102" s="38"/>
      <c r="BA102" s="38"/>
      <c r="BB102" s="39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</row>
    <row r="103" spans="1:137" s="9" customFormat="1" ht="15.75" thickBot="1" x14ac:dyDescent="0.3">
      <c r="A103" s="1"/>
      <c r="B103" s="37"/>
      <c r="C103" s="46">
        <f t="shared" si="113"/>
        <v>21</v>
      </c>
      <c r="D103" s="46">
        <f t="shared" ca="1" si="96"/>
        <v>0.40827779323555313</v>
      </c>
      <c r="E103" s="46">
        <f t="shared" ca="1" si="96"/>
        <v>0.75587510451546813</v>
      </c>
      <c r="F103" s="46">
        <f t="shared" ref="F103:G103" ca="1" si="131">AVERAGE(D99:D107)</f>
        <v>0.62856153498996536</v>
      </c>
      <c r="G103" s="46">
        <f t="shared" ca="1" si="131"/>
        <v>0.38758235687670056</v>
      </c>
      <c r="H103" s="46">
        <f t="shared" ca="1" si="98"/>
        <v>0.81612606531998244</v>
      </c>
      <c r="I103" s="46">
        <f t="shared" ca="1" si="99"/>
        <v>0.34133209153291305</v>
      </c>
      <c r="J103" s="46">
        <f t="shared" ca="1" si="100"/>
        <v>-0.36516947835111158</v>
      </c>
      <c r="K103" s="46">
        <f t="shared" ca="1" si="101"/>
        <v>0.9424296739549971</v>
      </c>
      <c r="L103" s="12">
        <f t="shared" ca="1" si="102"/>
        <v>1.6904491564946666</v>
      </c>
      <c r="M103" s="12">
        <f t="shared" ca="1" si="103"/>
        <v>15.298503858842491</v>
      </c>
      <c r="N103" s="46">
        <f t="shared" ca="1" si="104"/>
        <v>1.6904491564946666</v>
      </c>
      <c r="O103" s="12">
        <f t="shared" ca="1" si="105"/>
        <v>15.298503858842491</v>
      </c>
      <c r="P103" s="67">
        <f t="shared" ca="1" si="106"/>
        <v>-9.3103642912150786E-2</v>
      </c>
      <c r="Q103" s="46">
        <f t="shared" ca="1" si="107"/>
        <v>13.514951059435674</v>
      </c>
      <c r="R103" s="46">
        <f t="shared" ca="1" si="108"/>
        <v>-1.2582911774128929</v>
      </c>
      <c r="S103" s="46">
        <f t="shared" ca="1" si="109"/>
        <v>8.6682883235132853E-3</v>
      </c>
      <c r="T103" s="46">
        <f t="shared" ca="1" si="110"/>
        <v>3.5655748853365692</v>
      </c>
      <c r="U103" s="46">
        <f t="shared" ca="1" si="111"/>
        <v>8.5531474068547819</v>
      </c>
      <c r="V103" s="46">
        <f t="shared" ca="1" si="95"/>
        <v>13.410230868690757</v>
      </c>
      <c r="W103" s="68">
        <f t="shared" ca="1" si="112"/>
        <v>-1.8882729901517337</v>
      </c>
      <c r="X103" s="46"/>
      <c r="Y103" s="46"/>
      <c r="Z103" s="12"/>
      <c r="AA103" s="12"/>
      <c r="AB103" s="12"/>
      <c r="AC103" s="12"/>
      <c r="AD103" s="1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 t="s">
        <v>94</v>
      </c>
      <c r="AR103" s="38"/>
      <c r="AS103" s="111">
        <f ca="1">_xlfn.VAR.S(W20:W124)</f>
        <v>4.0240947446996707</v>
      </c>
      <c r="AT103" s="38"/>
      <c r="AU103" s="38" t="s">
        <v>96</v>
      </c>
      <c r="AV103" s="38"/>
      <c r="AW103" s="109">
        <f ca="1">MAX(W20:W124)</f>
        <v>4.7161763524618827</v>
      </c>
      <c r="AX103" s="38"/>
      <c r="AY103" s="38"/>
      <c r="AZ103" s="38"/>
      <c r="BA103" s="38"/>
      <c r="BB103" s="39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</row>
    <row r="104" spans="1:137" s="9" customFormat="1" ht="15.75" thickBot="1" x14ac:dyDescent="0.3">
      <c r="A104" s="1"/>
      <c r="B104" s="37"/>
      <c r="C104" s="46">
        <f t="shared" si="113"/>
        <v>21.25</v>
      </c>
      <c r="D104" s="46">
        <f t="shared" ca="1" si="96"/>
        <v>5.4181384724895532E-2</v>
      </c>
      <c r="E104" s="46">
        <f t="shared" ca="1" si="96"/>
        <v>0.49579366379854151</v>
      </c>
      <c r="F104" s="46">
        <f t="shared" ref="F104:G104" ca="1" si="132">AVERAGE(D100:D108)</f>
        <v>0.65153961172429875</v>
      </c>
      <c r="G104" s="46">
        <f t="shared" ca="1" si="132"/>
        <v>0.32655551565981639</v>
      </c>
      <c r="H104" s="46">
        <f t="shared" ca="1" si="98"/>
        <v>0.86702555380324942</v>
      </c>
      <c r="I104" s="46">
        <f t="shared" ca="1" si="99"/>
        <v>0.21170383760957953</v>
      </c>
      <c r="J104" s="46">
        <f t="shared" ca="1" si="100"/>
        <v>-0.39095065367750359</v>
      </c>
      <c r="K104" s="46">
        <f t="shared" ca="1" si="101"/>
        <v>0.61710292432310787</v>
      </c>
      <c r="L104" s="12">
        <f t="shared" ca="1" si="102"/>
        <v>1.682714803896749</v>
      </c>
      <c r="M104" s="12">
        <f t="shared" ca="1" si="103"/>
        <v>14.159860235130878</v>
      </c>
      <c r="N104" s="46">
        <f t="shared" ca="1" si="104"/>
        <v>1.682714803896749</v>
      </c>
      <c r="O104" s="12">
        <f t="shared" ca="1" si="105"/>
        <v>14.159860235130878</v>
      </c>
      <c r="P104" s="67">
        <f t="shared" ca="1" si="106"/>
        <v>-0.10083799551006845</v>
      </c>
      <c r="Q104" s="46">
        <f t="shared" ca="1" si="107"/>
        <v>12.376307435724062</v>
      </c>
      <c r="R104" s="46">
        <f t="shared" ca="1" si="108"/>
        <v>-1.2480020336347697</v>
      </c>
      <c r="S104" s="46">
        <f t="shared" ca="1" si="109"/>
        <v>1.0168301338488584E-2</v>
      </c>
      <c r="T104" s="46">
        <f t="shared" ca="1" si="110"/>
        <v>0.44028671822897431</v>
      </c>
      <c r="U104" s="46">
        <f t="shared" ca="1" si="111"/>
        <v>3.1895560569367931</v>
      </c>
      <c r="V104" s="46">
        <f t="shared" ca="1" si="95"/>
        <v>13.49631919025952</v>
      </c>
      <c r="W104" s="68">
        <f t="shared" ca="1" si="112"/>
        <v>-0.66354104487135857</v>
      </c>
      <c r="X104" s="46"/>
      <c r="Y104" s="46"/>
      <c r="Z104" s="12"/>
      <c r="AA104" s="12"/>
      <c r="AB104" s="12"/>
      <c r="AC104" s="12"/>
      <c r="AD104" s="12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 t="s">
        <v>95</v>
      </c>
      <c r="AR104" s="38"/>
      <c r="AS104" s="112">
        <f ca="1">_xlfn.STDEV.S(W20:W124)</f>
        <v>2.0060146421947351</v>
      </c>
      <c r="AT104" s="38"/>
      <c r="AU104" s="38"/>
      <c r="AV104" s="38"/>
      <c r="AW104" s="38"/>
      <c r="AX104" s="38"/>
      <c r="AY104" s="38"/>
      <c r="AZ104" s="38"/>
      <c r="BA104" s="38"/>
      <c r="BB104" s="39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</row>
    <row r="105" spans="1:137" s="9" customFormat="1" x14ac:dyDescent="0.25">
      <c r="A105" s="1"/>
      <c r="B105" s="37"/>
      <c r="C105" s="46">
        <f t="shared" si="113"/>
        <v>21.5</v>
      </c>
      <c r="D105" s="46">
        <f t="shared" ca="1" si="96"/>
        <v>0.35161190533987752</v>
      </c>
      <c r="E105" s="46">
        <f t="shared" ca="1" si="96"/>
        <v>0.40402264233601315</v>
      </c>
      <c r="F105" s="46">
        <f t="shared" ref="F105:G105" ca="1" si="133">AVERAGE(D101:D109)</f>
        <v>0.64708198676627537</v>
      </c>
      <c r="G105" s="46">
        <f t="shared" ca="1" si="133"/>
        <v>0.32096466734514922</v>
      </c>
      <c r="H105" s="46">
        <f t="shared" ca="1" si="98"/>
        <v>0.85715132312516062</v>
      </c>
      <c r="I105" s="46">
        <f t="shared" ca="1" si="99"/>
        <v>0.19982821222033678</v>
      </c>
      <c r="J105" s="46">
        <f t="shared" ca="1" si="100"/>
        <v>-2.8461029857909685</v>
      </c>
      <c r="K105" s="46">
        <f t="shared" ca="1" si="101"/>
        <v>1.7437740394923205</v>
      </c>
      <c r="L105" s="12">
        <f t="shared" ca="1" si="102"/>
        <v>0.9461691042627095</v>
      </c>
      <c r="M105" s="12">
        <f t="shared" ca="1" si="103"/>
        <v>18.103209138223121</v>
      </c>
      <c r="N105" s="46">
        <f t="shared" ca="1" si="104"/>
        <v>0.9461691042627095</v>
      </c>
      <c r="O105" s="12">
        <f t="shared" ca="1" si="105"/>
        <v>18.103209138223121</v>
      </c>
      <c r="P105" s="67">
        <f t="shared" ca="1" si="106"/>
        <v>-0.83738369514410793</v>
      </c>
      <c r="Q105" s="46">
        <f t="shared" ca="1" si="107"/>
        <v>16.319656338816305</v>
      </c>
      <c r="R105" s="46">
        <f t="shared" ca="1" si="108"/>
        <v>-13.665814128479962</v>
      </c>
      <c r="S105" s="46">
        <f t="shared" ca="1" si="109"/>
        <v>0.7012114528932003</v>
      </c>
      <c r="T105" s="46">
        <f t="shared" ca="1" si="110"/>
        <v>12.89770622733333</v>
      </c>
      <c r="U105" s="46">
        <f t="shared" ca="1" si="111"/>
        <v>32.824669124741639</v>
      </c>
      <c r="V105" s="46">
        <f t="shared" ca="1" si="95"/>
        <v>21.694546803680566</v>
      </c>
      <c r="W105" s="68">
        <f t="shared" ca="1" si="112"/>
        <v>3.5913376654574449</v>
      </c>
      <c r="X105" s="46"/>
      <c r="Y105" s="46"/>
      <c r="Z105" s="12"/>
      <c r="AA105" s="12"/>
      <c r="AB105" s="12"/>
      <c r="AC105" s="12"/>
      <c r="AD105" s="12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9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</row>
    <row r="106" spans="1:137" s="9" customFormat="1" x14ac:dyDescent="0.25">
      <c r="A106" s="1"/>
      <c r="B106" s="37"/>
      <c r="C106" s="46">
        <f t="shared" si="113"/>
        <v>21.75</v>
      </c>
      <c r="D106" s="46">
        <f t="shared" ca="1" si="96"/>
        <v>0.94773747708528167</v>
      </c>
      <c r="E106" s="46">
        <f t="shared" ca="1" si="96"/>
        <v>0.10062567009137791</v>
      </c>
      <c r="F106" s="46">
        <f t="shared" ref="F106:G106" ca="1" si="134">AVERAGE(D102:D110)</f>
        <v>0.61217172013765231</v>
      </c>
      <c r="G106" s="46">
        <f t="shared" ca="1" si="134"/>
        <v>0.36608039330462427</v>
      </c>
      <c r="H106" s="46">
        <f t="shared" ca="1" si="98"/>
        <v>0.77982045097447494</v>
      </c>
      <c r="I106" s="46">
        <f t="shared" ca="1" si="99"/>
        <v>0.29565936887198291</v>
      </c>
      <c r="J106" s="46">
        <f t="shared" ca="1" si="100"/>
        <v>-1.2377245461654798</v>
      </c>
      <c r="K106" s="46">
        <f t="shared" ca="1" si="101"/>
        <v>1.286366636862937</v>
      </c>
      <c r="L106" s="12">
        <f t="shared" ca="1" si="102"/>
        <v>1.4286826361503562</v>
      </c>
      <c r="M106" s="12">
        <f t="shared" ca="1" si="103"/>
        <v>16.502283229020279</v>
      </c>
      <c r="N106" s="46">
        <f t="shared" ca="1" si="104"/>
        <v>1.4286826361503562</v>
      </c>
      <c r="O106" s="12">
        <f t="shared" ca="1" si="105"/>
        <v>16.502283229020279</v>
      </c>
      <c r="P106" s="67">
        <f t="shared" ca="1" si="106"/>
        <v>-0.35487016325646126</v>
      </c>
      <c r="Q106" s="46">
        <f t="shared" ca="1" si="107"/>
        <v>14.718730429613462</v>
      </c>
      <c r="R106" s="46">
        <f t="shared" ca="1" si="108"/>
        <v>-5.2232382704847735</v>
      </c>
      <c r="S106" s="46">
        <f t="shared" ca="1" si="109"/>
        <v>0.12593283276966746</v>
      </c>
      <c r="T106" s="46">
        <f t="shared" ca="1" si="110"/>
        <v>3.1834602360167864E-2</v>
      </c>
      <c r="U106" s="46">
        <f t="shared" ca="1" si="111"/>
        <v>17.043321770881565</v>
      </c>
      <c r="V106" s="46">
        <f t="shared" ca="1" si="95"/>
        <v>16.323860690196934</v>
      </c>
      <c r="W106" s="68">
        <f t="shared" ca="1" si="112"/>
        <v>-0.17842253882334447</v>
      </c>
      <c r="X106" s="46"/>
      <c r="Y106" s="46"/>
      <c r="Z106" s="12"/>
      <c r="AA106" s="12"/>
      <c r="AB106" s="12"/>
      <c r="AC106" s="12"/>
      <c r="AD106" s="12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9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</row>
    <row r="107" spans="1:137" s="9" customFormat="1" x14ac:dyDescent="0.25">
      <c r="A107" s="1"/>
      <c r="B107" s="37"/>
      <c r="C107" s="46">
        <f t="shared" si="113"/>
        <v>22</v>
      </c>
      <c r="D107" s="46">
        <f t="shared" ca="1" si="96"/>
        <v>0.96792687145072287</v>
      </c>
      <c r="E107" s="46">
        <f t="shared" ca="1" si="96"/>
        <v>0.38065373471838682</v>
      </c>
      <c r="F107" s="46">
        <f t="shared" ref="F107:G107" ca="1" si="135">AVERAGE(D103:D111)</f>
        <v>0.64094280210572485</v>
      </c>
      <c r="G107" s="46">
        <f t="shared" ca="1" si="135"/>
        <v>0.45506549340018382</v>
      </c>
      <c r="H107" s="46">
        <f t="shared" ca="1" si="98"/>
        <v>0.84355221461233032</v>
      </c>
      <c r="I107" s="46">
        <f t="shared" ca="1" si="99"/>
        <v>0.48467428297487897</v>
      </c>
      <c r="J107" s="46">
        <f t="shared" ca="1" si="100"/>
        <v>0.59691572957140626</v>
      </c>
      <c r="K107" s="46">
        <f t="shared" ca="1" si="101"/>
        <v>-0.82052749249934975</v>
      </c>
      <c r="L107" s="12">
        <f t="shared" ca="1" si="102"/>
        <v>1.9790747188714219</v>
      </c>
      <c r="M107" s="12">
        <f t="shared" ca="1" si="103"/>
        <v>9.128153776252276</v>
      </c>
      <c r="N107" s="46">
        <f t="shared" ca="1" si="104"/>
        <v>1.9790747188714219</v>
      </c>
      <c r="O107" s="12">
        <f t="shared" ca="1" si="105"/>
        <v>9.128153776252276</v>
      </c>
      <c r="P107" s="67">
        <f t="shared" ca="1" si="106"/>
        <v>0.19552191946460451</v>
      </c>
      <c r="Q107" s="46">
        <f t="shared" ca="1" si="107"/>
        <v>7.3446009768454585</v>
      </c>
      <c r="R107" s="46">
        <f t="shared" ca="1" si="108"/>
        <v>1.4360304806944333</v>
      </c>
      <c r="S107" s="46">
        <f t="shared" ca="1" si="109"/>
        <v>3.8228820991123291E-2</v>
      </c>
      <c r="T107" s="46">
        <f t="shared" ca="1" si="110"/>
        <v>1.1438063980865332</v>
      </c>
      <c r="U107" s="46">
        <f t="shared" ca="1" si="111"/>
        <v>10.535046479611207</v>
      </c>
      <c r="V107" s="46">
        <f t="shared" ca="1" si="95"/>
        <v>10.197642625229456</v>
      </c>
      <c r="W107" s="68">
        <f t="shared" ca="1" si="112"/>
        <v>1.0694888489771799</v>
      </c>
      <c r="X107" s="46"/>
      <c r="Y107" s="46"/>
      <c r="Z107" s="12"/>
      <c r="AA107" s="12"/>
      <c r="AB107" s="12"/>
      <c r="AC107" s="12"/>
      <c r="AD107" s="12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9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</row>
    <row r="108" spans="1:137" s="9" customFormat="1" x14ac:dyDescent="0.25">
      <c r="A108" s="1"/>
      <c r="B108" s="37"/>
      <c r="C108" s="46">
        <f t="shared" si="113"/>
        <v>22.25</v>
      </c>
      <c r="D108" s="46">
        <f t="shared" ca="1" si="96"/>
        <v>0.62073616360035122</v>
      </c>
      <c r="E108" s="46">
        <f t="shared" ca="1" si="96"/>
        <v>0.12912188123764001</v>
      </c>
      <c r="F108" s="46">
        <f t="shared" ref="F108:G108" ca="1" si="136">AVERAGE(D104:D112)</f>
        <v>0.64679452196955478</v>
      </c>
      <c r="G108" s="46">
        <f t="shared" ca="1" si="136"/>
        <v>0.45575098219587468</v>
      </c>
      <c r="H108" s="46">
        <f t="shared" ca="1" si="98"/>
        <v>0.85651455046227876</v>
      </c>
      <c r="I108" s="46">
        <f t="shared" ca="1" si="99"/>
        <v>0.48613034253650073</v>
      </c>
      <c r="J108" s="46">
        <f t="shared" ca="1" si="100"/>
        <v>-0.70381307333393039</v>
      </c>
      <c r="K108" s="46">
        <f t="shared" ca="1" si="101"/>
        <v>0.63789496397655332</v>
      </c>
      <c r="L108" s="12">
        <f t="shared" ca="1" si="102"/>
        <v>1.5888560779998209</v>
      </c>
      <c r="M108" s="12">
        <f t="shared" ca="1" si="103"/>
        <v>14.232632373917937</v>
      </c>
      <c r="N108" s="46">
        <f t="shared" ca="1" si="104"/>
        <v>1.5888560779998209</v>
      </c>
      <c r="O108" s="12">
        <f t="shared" ca="1" si="105"/>
        <v>14.232632373917937</v>
      </c>
      <c r="P108" s="67">
        <f t="shared" ca="1" si="106"/>
        <v>-0.19469672140699656</v>
      </c>
      <c r="Q108" s="46">
        <f t="shared" ca="1" si="107"/>
        <v>12.449079574511121</v>
      </c>
      <c r="R108" s="46">
        <f t="shared" ca="1" si="108"/>
        <v>-2.4237949776921228</v>
      </c>
      <c r="S108" s="46">
        <f t="shared" ca="1" si="109"/>
        <v>3.7906813326633634E-2</v>
      </c>
      <c r="T108" s="46">
        <f t="shared" ca="1" si="110"/>
        <v>9.5107374164787539E-2</v>
      </c>
      <c r="U108" s="46">
        <f t="shared" ca="1" si="111"/>
        <v>3.4547841439930758</v>
      </c>
      <c r="V108" s="46">
        <f t="shared" ca="1" si="95"/>
        <v>14.541027208772199</v>
      </c>
      <c r="W108" s="68">
        <f t="shared" ca="1" si="112"/>
        <v>0.308394834854262</v>
      </c>
      <c r="X108" s="46"/>
      <c r="Y108" s="46"/>
      <c r="Z108" s="12"/>
      <c r="AA108" s="12"/>
      <c r="AB108" s="12"/>
      <c r="AC108" s="12"/>
      <c r="AD108" s="12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9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</row>
    <row r="109" spans="1:137" s="9" customFormat="1" x14ac:dyDescent="0.25">
      <c r="A109" s="1"/>
      <c r="B109" s="37"/>
      <c r="C109" s="46">
        <f t="shared" si="113"/>
        <v>22.5</v>
      </c>
      <c r="D109" s="46">
        <f t="shared" ca="1" si="96"/>
        <v>0.78610150958064295</v>
      </c>
      <c r="E109" s="46">
        <f t="shared" ca="1" si="96"/>
        <v>0.1761837710851617</v>
      </c>
      <c r="F109" s="46">
        <f t="shared" ref="F109:G109" ca="1" si="137">AVERAGE(D105:D113)</f>
        <v>0.66793782543348101</v>
      </c>
      <c r="G109" s="46">
        <f t="shared" ca="1" si="137"/>
        <v>0.40463098818265636</v>
      </c>
      <c r="H109" s="46">
        <f t="shared" ca="1" si="98"/>
        <v>0.90334977273100414</v>
      </c>
      <c r="I109" s="46">
        <f t="shared" ca="1" si="99"/>
        <v>0.37754540790168323</v>
      </c>
      <c r="J109" s="46">
        <f t="shared" ca="1" si="100"/>
        <v>1.2959708151105156</v>
      </c>
      <c r="K109" s="46">
        <f t="shared" ca="1" si="101"/>
        <v>-1.5345321615568852</v>
      </c>
      <c r="L109" s="12">
        <f t="shared" ca="1" si="102"/>
        <v>2.1887912445331548</v>
      </c>
      <c r="M109" s="12">
        <f t="shared" ca="1" si="103"/>
        <v>6.629137434550902</v>
      </c>
      <c r="N109" s="46">
        <f t="shared" ca="1" si="104"/>
        <v>2.1887912445331548</v>
      </c>
      <c r="O109" s="12">
        <f t="shared" ca="1" si="105"/>
        <v>6.629137434550902</v>
      </c>
      <c r="P109" s="67">
        <f t="shared" ca="1" si="106"/>
        <v>0.40523844512633733</v>
      </c>
      <c r="Q109" s="46">
        <f t="shared" ca="1" si="107"/>
        <v>4.8455846351440846</v>
      </c>
      <c r="R109" s="46">
        <f t="shared" ca="1" si="108"/>
        <v>1.9636171832738594</v>
      </c>
      <c r="S109" s="46">
        <f t="shared" ca="1" si="109"/>
        <v>0.16421819740841151</v>
      </c>
      <c r="T109" s="46">
        <f t="shared" ca="1" si="110"/>
        <v>1.5233121030600758</v>
      </c>
      <c r="U109" s="46">
        <f t="shared" ca="1" si="111"/>
        <v>33.002611858620945</v>
      </c>
      <c r="V109" s="46">
        <f t="shared" ca="1" si="95"/>
        <v>7.863362739371734</v>
      </c>
      <c r="W109" s="68">
        <f t="shared" ca="1" si="112"/>
        <v>1.234225304820832</v>
      </c>
      <c r="X109" s="46"/>
      <c r="Y109" s="46"/>
      <c r="Z109" s="12"/>
      <c r="AA109" s="12"/>
      <c r="AB109" s="12"/>
      <c r="AC109" s="12"/>
      <c r="AD109" s="12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9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</row>
    <row r="110" spans="1:137" s="9" customFormat="1" x14ac:dyDescent="0.25">
      <c r="A110" s="1"/>
      <c r="B110" s="37"/>
      <c r="C110" s="46">
        <f t="shared" si="113"/>
        <v>22.75</v>
      </c>
      <c r="D110" s="46">
        <f t="shared" ca="1" si="96"/>
        <v>0.64992693804078117</v>
      </c>
      <c r="E110" s="46">
        <f t="shared" ca="1" si="96"/>
        <v>0.68917463439728321</v>
      </c>
      <c r="F110" s="46">
        <f t="shared" ref="F110:G110" ca="1" si="138">AVERAGE(D106:D114)</f>
        <v>0.66247111635223932</v>
      </c>
      <c r="G110" s="46">
        <f t="shared" ca="1" si="138"/>
        <v>0.42023281151221226</v>
      </c>
      <c r="H110" s="46">
        <f t="shared" ca="1" si="98"/>
        <v>0.89124028684412515</v>
      </c>
      <c r="I110" s="46">
        <f t="shared" ca="1" si="99"/>
        <v>0.41068553240924366</v>
      </c>
      <c r="J110" s="46">
        <f t="shared" ca="1" si="100"/>
        <v>-0.84200521359246416</v>
      </c>
      <c r="K110" s="46">
        <f t="shared" ca="1" si="101"/>
        <v>0.86226726147747301</v>
      </c>
      <c r="L110" s="12">
        <f t="shared" ca="1" si="102"/>
        <v>1.5473984359222608</v>
      </c>
      <c r="M110" s="12">
        <f t="shared" ca="1" si="103"/>
        <v>15.017935415171156</v>
      </c>
      <c r="N110" s="46">
        <f t="shared" ca="1" si="104"/>
        <v>1.5473984359222608</v>
      </c>
      <c r="O110" s="12">
        <f t="shared" ca="1" si="105"/>
        <v>15.017935415171156</v>
      </c>
      <c r="P110" s="67">
        <f t="shared" ca="1" si="106"/>
        <v>-0.23615436348455665</v>
      </c>
      <c r="Q110" s="46">
        <f t="shared" ca="1" si="107"/>
        <v>13.234382615764339</v>
      </c>
      <c r="R110" s="46">
        <f t="shared" ca="1" si="108"/>
        <v>-3.1253572027369092</v>
      </c>
      <c r="S110" s="46">
        <f t="shared" ca="1" si="109"/>
        <v>5.5768883392796106E-2</v>
      </c>
      <c r="T110" s="46">
        <f t="shared" ca="1" si="110"/>
        <v>2.3894888467299572E-4</v>
      </c>
      <c r="U110" s="46">
        <f t="shared" ca="1" si="111"/>
        <v>6.9907783329737558</v>
      </c>
      <c r="V110" s="46">
        <f t="shared" ca="1" si="95"/>
        <v>15.002477443613639</v>
      </c>
      <c r="W110" s="68">
        <f t="shared" ca="1" si="112"/>
        <v>-1.5457971557516714E-2</v>
      </c>
      <c r="X110" s="46"/>
      <c r="Y110" s="46"/>
      <c r="Z110" s="12"/>
      <c r="AA110" s="12"/>
      <c r="AB110" s="12"/>
      <c r="AC110" s="12"/>
      <c r="AD110" s="12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9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</row>
    <row r="111" spans="1:137" s="9" customFormat="1" x14ac:dyDescent="0.25">
      <c r="A111" s="1"/>
      <c r="B111" s="37"/>
      <c r="C111" s="46">
        <f t="shared" si="113"/>
        <v>23</v>
      </c>
      <c r="D111" s="46">
        <f t="shared" ca="1" si="96"/>
        <v>0.98198517589341816</v>
      </c>
      <c r="E111" s="46">
        <f t="shared" ca="1" si="96"/>
        <v>0.96413833842178154</v>
      </c>
      <c r="F111" s="46">
        <f t="shared" ref="F111:G111" ca="1" si="139">AVERAGE(D107:D115)</f>
        <v>0.58787079456156999</v>
      </c>
      <c r="G111" s="46">
        <f t="shared" ca="1" si="139"/>
        <v>0.4429032888395687</v>
      </c>
      <c r="H111" s="46">
        <f t="shared" ca="1" si="98"/>
        <v>0.7259906768034986</v>
      </c>
      <c r="I111" s="46">
        <f t="shared" ca="1" si="99"/>
        <v>0.45884031697542699</v>
      </c>
      <c r="J111" s="46">
        <f t="shared" ca="1" si="100"/>
        <v>0.19693474596165872</v>
      </c>
      <c r="K111" s="46">
        <f t="shared" ca="1" si="101"/>
        <v>-1.067010791290627</v>
      </c>
      <c r="L111" s="12">
        <f t="shared" ca="1" si="102"/>
        <v>1.8590804237884977</v>
      </c>
      <c r="M111" s="12">
        <f t="shared" ca="1" si="103"/>
        <v>8.2654622304828056</v>
      </c>
      <c r="N111" s="46">
        <f t="shared" ca="1" si="104"/>
        <v>1.8590804237884977</v>
      </c>
      <c r="O111" s="12">
        <f t="shared" ca="1" si="105"/>
        <v>8.2654622304828056</v>
      </c>
      <c r="P111" s="67">
        <f t="shared" ca="1" si="106"/>
        <v>7.5527624381680258E-2</v>
      </c>
      <c r="Q111" s="46">
        <f t="shared" ca="1" si="107"/>
        <v>6.4819094310759882</v>
      </c>
      <c r="R111" s="46">
        <f t="shared" ca="1" si="108"/>
        <v>0.48956322078637804</v>
      </c>
      <c r="S111" s="46">
        <f t="shared" ca="1" si="109"/>
        <v>5.7044220447401818E-3</v>
      </c>
      <c r="T111" s="46">
        <f t="shared" ca="1" si="110"/>
        <v>10.678478390247131</v>
      </c>
      <c r="U111" s="46">
        <f t="shared" ca="1" si="111"/>
        <v>16.879486128874053</v>
      </c>
      <c r="V111" s="46">
        <f t="shared" ca="1" si="95"/>
        <v>11.533256347352339</v>
      </c>
      <c r="W111" s="68">
        <f t="shared" ca="1" si="112"/>
        <v>3.267794116869533</v>
      </c>
      <c r="X111" s="46"/>
      <c r="Y111" s="46"/>
      <c r="Z111" s="12"/>
      <c r="AA111" s="12"/>
      <c r="AB111" s="12"/>
      <c r="AC111" s="12"/>
      <c r="AD111" s="12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9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</row>
    <row r="112" spans="1:137" s="9" customFormat="1" x14ac:dyDescent="0.25">
      <c r="A112" s="1"/>
      <c r="B112" s="37"/>
      <c r="C112" s="46">
        <f t="shared" si="113"/>
        <v>23.25</v>
      </c>
      <c r="D112" s="46">
        <f t="shared" ca="1" si="96"/>
        <v>0.46094327201002194</v>
      </c>
      <c r="E112" s="46">
        <f t="shared" ca="1" si="96"/>
        <v>0.76204450367668652</v>
      </c>
      <c r="F112" s="46">
        <f t="shared" ref="F112:G112" ca="1" si="140">AVERAGE(D108:D116)</f>
        <v>0.56592991861955677</v>
      </c>
      <c r="G112" s="46">
        <f t="shared" ca="1" si="140"/>
        <v>0.49125029697823019</v>
      </c>
      <c r="H112" s="46">
        <f t="shared" ca="1" si="98"/>
        <v>0.67738872568133957</v>
      </c>
      <c r="I112" s="46">
        <f t="shared" ca="1" si="99"/>
        <v>0.56153510049140498</v>
      </c>
      <c r="J112" s="46">
        <f t="shared" ca="1" si="100"/>
        <v>-2.1013110323943773</v>
      </c>
      <c r="K112" s="46">
        <f t="shared" ca="1" si="101"/>
        <v>2.3976150846018576</v>
      </c>
      <c r="L112" s="12">
        <f t="shared" ca="1" si="102"/>
        <v>1.1696066902816868</v>
      </c>
      <c r="M112" s="12">
        <f t="shared" ca="1" si="103"/>
        <v>20.391652796106502</v>
      </c>
      <c r="N112" s="46">
        <f t="shared" ca="1" si="104"/>
        <v>1.1696066902816868</v>
      </c>
      <c r="O112" s="12">
        <f t="shared" ca="1" si="105"/>
        <v>20.391652796106502</v>
      </c>
      <c r="P112" s="67">
        <f t="shared" ca="1" si="106"/>
        <v>-0.61394610912513059</v>
      </c>
      <c r="Q112" s="46">
        <f t="shared" ca="1" si="107"/>
        <v>18.608099996699686</v>
      </c>
      <c r="R112" s="46">
        <f t="shared" ca="1" si="108"/>
        <v>-11.424370591185127</v>
      </c>
      <c r="S112" s="46">
        <f t="shared" ca="1" si="109"/>
        <v>0.37692982490988675</v>
      </c>
      <c r="T112" s="46">
        <f t="shared" ca="1" si="110"/>
        <v>1.4021167519791373</v>
      </c>
      <c r="U112" s="46">
        <f t="shared" ca="1" si="111"/>
        <v>64.283920371761184</v>
      </c>
      <c r="V112" s="46">
        <f t="shared" ca="1" si="95"/>
        <v>19.207542686370445</v>
      </c>
      <c r="W112" s="68">
        <f t="shared" ca="1" si="112"/>
        <v>-1.1841101097360571</v>
      </c>
      <c r="X112" s="46"/>
      <c r="Y112" s="46"/>
      <c r="Z112" s="12"/>
      <c r="AA112" s="12"/>
      <c r="AB112" s="12"/>
      <c r="AC112" s="12"/>
      <c r="AD112" s="12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9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</row>
    <row r="113" spans="1:137" s="9" customFormat="1" x14ac:dyDescent="0.25">
      <c r="A113" s="1"/>
      <c r="B113" s="37"/>
      <c r="C113" s="46">
        <f t="shared" si="113"/>
        <v>23.5</v>
      </c>
      <c r="D113" s="46">
        <f t="shared" ca="1" si="96"/>
        <v>0.24447111590023196</v>
      </c>
      <c r="E113" s="46">
        <f t="shared" ca="1" si="96"/>
        <v>3.5713717679576207E-2</v>
      </c>
      <c r="F113" s="46">
        <f t="shared" ref="F113:G113" ca="1" si="141">AVERAGE(D109:D117)</f>
        <v>0.57314833855491187</v>
      </c>
      <c r="G113" s="46">
        <f t="shared" ca="1" si="141"/>
        <v>0.56578882510195561</v>
      </c>
      <c r="H113" s="46">
        <f t="shared" ca="1" si="98"/>
        <v>0.69337848351072351</v>
      </c>
      <c r="I113" s="46">
        <f t="shared" ca="1" si="99"/>
        <v>0.71986378108548699</v>
      </c>
      <c r="J113" s="46">
        <f t="shared" ca="1" si="100"/>
        <v>0.71621402788290578</v>
      </c>
      <c r="K113" s="46">
        <f t="shared" ca="1" si="101"/>
        <v>-1.1496087064460068</v>
      </c>
      <c r="L113" s="12">
        <f t="shared" ca="1" si="102"/>
        <v>2.0148642083648718</v>
      </c>
      <c r="M113" s="12">
        <f t="shared" ca="1" si="103"/>
        <v>7.9763695274389761</v>
      </c>
      <c r="N113" s="46">
        <f t="shared" ca="1" si="104"/>
        <v>2.0148642083648718</v>
      </c>
      <c r="O113" s="12">
        <f t="shared" ca="1" si="105"/>
        <v>7.9763695274389761</v>
      </c>
      <c r="P113" s="67">
        <f t="shared" ca="1" si="106"/>
        <v>0.23131140895805435</v>
      </c>
      <c r="Q113" s="46">
        <f t="shared" ca="1" si="107"/>
        <v>6.1928167280321587</v>
      </c>
      <c r="R113" s="46">
        <f t="shared" ca="1" si="108"/>
        <v>1.4324691627801267</v>
      </c>
      <c r="S113" s="46">
        <f t="shared" ca="1" si="109"/>
        <v>5.3504967914160269E-2</v>
      </c>
      <c r="T113" s="46">
        <f t="shared" ca="1" si="110"/>
        <v>3.3230119832600926</v>
      </c>
      <c r="U113" s="46">
        <f t="shared" ca="1" si="111"/>
        <v>19.338515327872326</v>
      </c>
      <c r="V113" s="46">
        <f t="shared" ca="1" si="95"/>
        <v>9.7992825761772018</v>
      </c>
      <c r="W113" s="68">
        <f t="shared" ca="1" si="112"/>
        <v>1.8229130487382257</v>
      </c>
      <c r="X113" s="46"/>
      <c r="Y113" s="46"/>
      <c r="Z113" s="12"/>
      <c r="AA113" s="12"/>
      <c r="AB113" s="12"/>
      <c r="AC113" s="12"/>
      <c r="AD113" s="12"/>
      <c r="AE113" s="38"/>
      <c r="AF113" s="38"/>
      <c r="AG113" s="38"/>
      <c r="AH113" s="38"/>
      <c r="AI113" s="38"/>
      <c r="AJ113" s="38"/>
      <c r="AK113" s="38"/>
      <c r="AL113" s="38"/>
      <c r="AM113" s="38">
        <v>0</v>
      </c>
      <c r="AN113" s="38">
        <v>0</v>
      </c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9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</row>
    <row r="114" spans="1:137" s="9" customFormat="1" x14ac:dyDescent="0.25">
      <c r="A114" s="1"/>
      <c r="B114" s="37"/>
      <c r="C114" s="46">
        <f t="shared" si="113"/>
        <v>23.75</v>
      </c>
      <c r="D114" s="46">
        <f t="shared" ca="1" si="96"/>
        <v>0.30241152360870016</v>
      </c>
      <c r="E114" s="46">
        <f t="shared" ca="1" si="96"/>
        <v>0.54443905230201639</v>
      </c>
      <c r="F114" s="46">
        <f t="shared" ref="F114:G114" ca="1" si="142">AVERAGE(D110:D118)</f>
        <v>0.5639586578467064</v>
      </c>
      <c r="G114" s="46">
        <f t="shared" ca="1" si="142"/>
        <v>0.55650580019234175</v>
      </c>
      <c r="H114" s="46">
        <f t="shared" ca="1" si="98"/>
        <v>0.6730221215409985</v>
      </c>
      <c r="I114" s="46">
        <f t="shared" ca="1" si="99"/>
        <v>0.70014553439001281</v>
      </c>
      <c r="J114" s="46">
        <f t="shared" ca="1" si="100"/>
        <v>-0.33840162090908305</v>
      </c>
      <c r="K114" s="46">
        <f t="shared" ca="1" si="101"/>
        <v>-0.97009386497335226</v>
      </c>
      <c r="L114" s="12">
        <f t="shared" ca="1" si="102"/>
        <v>1.6984795137272752</v>
      </c>
      <c r="M114" s="12">
        <f t="shared" ca="1" si="103"/>
        <v>8.6046714725932674</v>
      </c>
      <c r="N114" s="46">
        <f t="shared" ca="1" si="104"/>
        <v>1.6984795137272752</v>
      </c>
      <c r="O114" s="12">
        <f t="shared" ca="1" si="105"/>
        <v>8.6046714725932674</v>
      </c>
      <c r="P114" s="67">
        <f t="shared" ca="1" si="106"/>
        <v>-8.5073285679542199E-2</v>
      </c>
      <c r="Q114" s="46">
        <f t="shared" ca="1" si="107"/>
        <v>6.8211186731864499</v>
      </c>
      <c r="R114" s="46">
        <f t="shared" ca="1" si="108"/>
        <v>-0.5802949775380507</v>
      </c>
      <c r="S114" s="46">
        <f t="shared" ca="1" si="109"/>
        <v>7.2374639363129998E-3</v>
      </c>
      <c r="T114" s="46">
        <f t="shared" ca="1" si="110"/>
        <v>22.24231938752067</v>
      </c>
      <c r="U114" s="46">
        <f t="shared" ca="1" si="111"/>
        <v>14.207290319445436</v>
      </c>
      <c r="V114" s="46">
        <f t="shared" ca="1" si="95"/>
        <v>13.32084782505515</v>
      </c>
      <c r="W114" s="68">
        <f t="shared" ca="1" si="112"/>
        <v>4.7161763524618827</v>
      </c>
      <c r="X114" s="46"/>
      <c r="Y114" s="46"/>
      <c r="Z114" s="12"/>
      <c r="AA114" s="12"/>
      <c r="AB114" s="12"/>
      <c r="AC114" s="12"/>
      <c r="AD114" s="12"/>
      <c r="AE114" s="38"/>
      <c r="AF114" s="38"/>
      <c r="AG114" s="38"/>
      <c r="AH114" s="38"/>
      <c r="AI114" s="38"/>
      <c r="AJ114" s="38"/>
      <c r="AK114" s="38"/>
      <c r="AL114" s="38"/>
      <c r="AM114" s="38">
        <v>0</v>
      </c>
      <c r="AN114" s="38">
        <v>30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9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</row>
    <row r="115" spans="1:137" s="9" customFormat="1" x14ac:dyDescent="0.25">
      <c r="A115" s="1"/>
      <c r="B115" s="37"/>
      <c r="C115" s="46">
        <f t="shared" si="113"/>
        <v>24</v>
      </c>
      <c r="D115" s="46">
        <f t="shared" ca="1" si="96"/>
        <v>0.27633458096926</v>
      </c>
      <c r="E115" s="46">
        <f t="shared" ca="1" si="96"/>
        <v>0.30465996603758549</v>
      </c>
      <c r="F115" s="46">
        <f t="shared" ref="F115:G115" ca="1" si="143">AVERAGE(D111:D119)</f>
        <v>0.52596046787007089</v>
      </c>
      <c r="G115" s="46">
        <f t="shared" ca="1" si="143"/>
        <v>0.56559448491966624</v>
      </c>
      <c r="H115" s="46">
        <f t="shared" ca="1" si="98"/>
        <v>0.58885108949762155</v>
      </c>
      <c r="I115" s="46">
        <f t="shared" ca="1" si="99"/>
        <v>0.71945097947237735</v>
      </c>
      <c r="J115" s="46">
        <f t="shared" ca="1" si="100"/>
        <v>-1.6415154679009905</v>
      </c>
      <c r="K115" s="46">
        <f t="shared" ca="1" si="101"/>
        <v>1.5097060029118823</v>
      </c>
      <c r="L115" s="12">
        <f t="shared" ca="1" si="102"/>
        <v>1.3075453596297029</v>
      </c>
      <c r="M115" s="12">
        <f t="shared" ca="1" si="103"/>
        <v>17.283971010191589</v>
      </c>
      <c r="N115" s="46">
        <f t="shared" ca="1" si="104"/>
        <v>1.3075453596297029</v>
      </c>
      <c r="O115" s="12">
        <f t="shared" ca="1" si="105"/>
        <v>17.283971010191589</v>
      </c>
      <c r="P115" s="67">
        <f t="shared" ca="1" si="106"/>
        <v>-0.47600743977711457</v>
      </c>
      <c r="Q115" s="46">
        <f t="shared" ca="1" si="107"/>
        <v>15.500418210784773</v>
      </c>
      <c r="R115" s="46">
        <f t="shared" ca="1" si="108"/>
        <v>-7.3783143879902227</v>
      </c>
      <c r="S115" s="46">
        <f t="shared" ca="1" si="109"/>
        <v>0.22658308272316335</v>
      </c>
      <c r="T115" s="46">
        <f t="shared" ca="1" si="110"/>
        <v>0.15071905519702652</v>
      </c>
      <c r="U115" s="46">
        <f t="shared" ca="1" si="111"/>
        <v>24.108528158687918</v>
      </c>
      <c r="V115" s="46">
        <f t="shared" ca="1" si="95"/>
        <v>17.672196531244786</v>
      </c>
      <c r="W115" s="68">
        <f t="shared" ca="1" si="112"/>
        <v>0.3882255210531973</v>
      </c>
      <c r="X115" s="46"/>
      <c r="Y115" s="46"/>
      <c r="Z115" s="12"/>
      <c r="AA115" s="12"/>
      <c r="AB115" s="12"/>
      <c r="AC115" s="12"/>
      <c r="AD115" s="12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9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</row>
    <row r="116" spans="1:137" s="9" customFormat="1" x14ac:dyDescent="0.25">
      <c r="A116" s="1"/>
      <c r="B116" s="37"/>
      <c r="C116" s="46">
        <f t="shared" si="113"/>
        <v>24.25</v>
      </c>
      <c r="D116" s="46">
        <f t="shared" ca="1" si="96"/>
        <v>0.77045898797260393</v>
      </c>
      <c r="E116" s="46">
        <f t="shared" ca="1" si="96"/>
        <v>0.815776807966341</v>
      </c>
      <c r="F116" s="46">
        <f t="shared" ref="F116:G116" ca="1" si="144">AVERAGE(D112:D120)</f>
        <v>0.50071584589308227</v>
      </c>
      <c r="G116" s="46">
        <f t="shared" ca="1" si="144"/>
        <v>0.51634549817743336</v>
      </c>
      <c r="H116" s="46">
        <f t="shared" ca="1" si="98"/>
        <v>0.53293090259780884</v>
      </c>
      <c r="I116" s="46">
        <f t="shared" ca="1" si="99"/>
        <v>0.61484028634800869</v>
      </c>
      <c r="J116" s="46">
        <f t="shared" ca="1" si="100"/>
        <v>4.2940026980755899E-2</v>
      </c>
      <c r="K116" s="46">
        <f t="shared" ca="1" si="101"/>
        <v>-4.793473275012728E-2</v>
      </c>
      <c r="L116" s="12">
        <f t="shared" ca="1" si="102"/>
        <v>1.8128820080942267</v>
      </c>
      <c r="M116" s="12">
        <f t="shared" ca="1" si="103"/>
        <v>11.832228435374555</v>
      </c>
      <c r="N116" s="46">
        <f t="shared" ca="1" si="104"/>
        <v>1.8128820080942267</v>
      </c>
      <c r="O116" s="12">
        <f t="shared" ca="1" si="105"/>
        <v>11.832228435374555</v>
      </c>
      <c r="P116" s="67">
        <f t="shared" ca="1" si="106"/>
        <v>2.9329208687409292E-2</v>
      </c>
      <c r="Q116" s="46">
        <f t="shared" ca="1" si="107"/>
        <v>10.048675635967736</v>
      </c>
      <c r="R116" s="46">
        <f t="shared" ca="1" si="108"/>
        <v>0.29471970475938303</v>
      </c>
      <c r="S116" s="46">
        <f t="shared" ca="1" si="109"/>
        <v>8.6020248222960468E-4</v>
      </c>
      <c r="T116" s="46">
        <f t="shared" ca="1" si="110"/>
        <v>4.6330843925984314E-2</v>
      </c>
      <c r="U116" s="46">
        <f t="shared" ca="1" si="111"/>
        <v>0.29343777878970639</v>
      </c>
      <c r="V116" s="46">
        <f t="shared" ref="V116:V124" ca="1" si="145">$AC$95+$AA$95*N116</f>
        <v>12.047474443295688</v>
      </c>
      <c r="W116" s="68">
        <f t="shared" ca="1" si="112"/>
        <v>0.21524600792113269</v>
      </c>
      <c r="X116" s="46"/>
      <c r="Y116" s="46"/>
      <c r="Z116" s="12"/>
      <c r="AA116" s="12"/>
      <c r="AB116" s="12"/>
      <c r="AC116" s="12"/>
      <c r="AD116" s="12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9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</row>
    <row r="117" spans="1:137" s="9" customFormat="1" ht="15.75" thickBot="1" x14ac:dyDescent="0.3">
      <c r="A117" s="1"/>
      <c r="B117" s="37"/>
      <c r="C117" s="46">
        <f t="shared" si="113"/>
        <v>24.5</v>
      </c>
      <c r="D117" s="46">
        <f t="shared" ca="1" si="96"/>
        <v>0.68570194301854603</v>
      </c>
      <c r="E117" s="46">
        <f t="shared" ca="1" si="96"/>
        <v>0.79996863435116916</v>
      </c>
      <c r="F117" s="46">
        <f t="shared" ref="F117:G117" ca="1" si="146">AVERAGE(D113:D121)</f>
        <v>0.53931823411514157</v>
      </c>
      <c r="G117" s="46">
        <f t="shared" ca="1" si="146"/>
        <v>0.50029160003766682</v>
      </c>
      <c r="H117" s="46">
        <f t="shared" ca="1" si="98"/>
        <v>0.61844031391418242</v>
      </c>
      <c r="I117" s="46">
        <f t="shared" ca="1" si="99"/>
        <v>0.58073990128752095</v>
      </c>
      <c r="J117" s="46">
        <f t="shared" ca="1" si="100"/>
        <v>1.2249154361508672</v>
      </c>
      <c r="K117" s="46">
        <f t="shared" ca="1" si="101"/>
        <v>-1.6639767648111006</v>
      </c>
      <c r="L117" s="12">
        <f t="shared" ca="1" si="102"/>
        <v>2.1674746308452604</v>
      </c>
      <c r="M117" s="12">
        <f t="shared" ca="1" si="103"/>
        <v>6.1760813231611476</v>
      </c>
      <c r="N117" s="46">
        <f t="shared" ca="1" si="104"/>
        <v>2.1674746308452604</v>
      </c>
      <c r="O117" s="12">
        <f t="shared" ca="1" si="105"/>
        <v>6.1760813231611476</v>
      </c>
      <c r="P117" s="67">
        <f t="shared" ref="P117:P124" ca="1" si="147">N117-$O$11</f>
        <v>0.38392183143844294</v>
      </c>
      <c r="Q117" s="46">
        <f t="shared" ca="1" si="107"/>
        <v>4.3925285237543301</v>
      </c>
      <c r="R117" s="46">
        <f t="shared" ca="1" si="108"/>
        <v>1.6863875954853624</v>
      </c>
      <c r="S117" s="46">
        <f t="shared" ca="1" si="109"/>
        <v>0.1473959726550482</v>
      </c>
      <c r="T117" s="46">
        <f t="shared" ca="1" si="110"/>
        <v>3.7038890230229424</v>
      </c>
      <c r="U117" s="46">
        <f t="shared" ca="1" si="111"/>
        <v>38.413296112476075</v>
      </c>
      <c r="V117" s="46">
        <f t="shared" ca="1" si="145"/>
        <v>8.1006303672291189</v>
      </c>
      <c r="W117" s="68">
        <f t="shared" ca="1" si="112"/>
        <v>1.9245490440679713</v>
      </c>
      <c r="X117" s="46"/>
      <c r="Y117" s="46"/>
      <c r="Z117" s="12"/>
      <c r="AA117" s="12"/>
      <c r="AB117" s="12"/>
      <c r="AC117" s="12"/>
      <c r="AD117" s="12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9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</row>
    <row r="118" spans="1:137" s="9" customFormat="1" ht="19.5" thickBot="1" x14ac:dyDescent="0.35">
      <c r="A118" s="1"/>
      <c r="B118" s="37"/>
      <c r="C118" s="46">
        <f t="shared" si="113"/>
        <v>24.75</v>
      </c>
      <c r="D118" s="46">
        <f t="shared" ca="1" si="96"/>
        <v>0.70339438320679482</v>
      </c>
      <c r="E118" s="46">
        <f t="shared" ca="1" si="96"/>
        <v>9.2636546898637651E-2</v>
      </c>
      <c r="F118" s="46">
        <f t="shared" ref="F118:G118" ca="1" si="148">AVERAGE(D114:D122)</f>
        <v>0.52891058987869277</v>
      </c>
      <c r="G118" s="46">
        <f t="shared" ca="1" si="148"/>
        <v>0.56732810167229308</v>
      </c>
      <c r="H118" s="46">
        <f t="shared" ca="1" si="98"/>
        <v>0.59538600114136742</v>
      </c>
      <c r="I118" s="46">
        <f t="shared" ca="1" si="99"/>
        <v>0.72313338721517051</v>
      </c>
      <c r="J118" s="46">
        <f t="shared" ca="1" si="100"/>
        <v>-1.3760019010965623</v>
      </c>
      <c r="K118" s="46">
        <f t="shared" ca="1" si="101"/>
        <v>1.8091649221279422</v>
      </c>
      <c r="L118" s="12">
        <f t="shared" ca="1" si="102"/>
        <v>1.3871994296710315</v>
      </c>
      <c r="M118" s="12">
        <f t="shared" ca="1" si="103"/>
        <v>18.332077227447797</v>
      </c>
      <c r="N118" s="46">
        <f t="shared" ca="1" si="104"/>
        <v>1.3871994296710315</v>
      </c>
      <c r="O118" s="12">
        <f t="shared" ca="1" si="105"/>
        <v>18.332077227447797</v>
      </c>
      <c r="P118" s="67">
        <f t="shared" ca="1" si="147"/>
        <v>-0.39635336973578594</v>
      </c>
      <c r="Q118" s="46">
        <f t="shared" ca="1" si="107"/>
        <v>16.548524428040981</v>
      </c>
      <c r="R118" s="46">
        <f t="shared" ca="1" si="108"/>
        <v>-6.5590634212090126</v>
      </c>
      <c r="S118" s="46">
        <f t="shared" ca="1" si="109"/>
        <v>0.15709599370091262</v>
      </c>
      <c r="T118" s="46">
        <f t="shared" ca="1" si="110"/>
        <v>2.3916058159707299</v>
      </c>
      <c r="U118" s="46">
        <f t="shared" ca="1" si="111"/>
        <v>35.499549250678982</v>
      </c>
      <c r="V118" s="46">
        <f t="shared" ca="1" si="145"/>
        <v>16.785595473281028</v>
      </c>
      <c r="W118" s="68">
        <f t="shared" ca="1" si="112"/>
        <v>-1.5464817541667699</v>
      </c>
      <c r="X118" s="46"/>
      <c r="Y118" s="46"/>
      <c r="Z118" s="143" t="s">
        <v>122</v>
      </c>
      <c r="AA118" s="140"/>
      <c r="AB118" s="140"/>
      <c r="AC118" s="140"/>
      <c r="AD118" s="140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2"/>
      <c r="BB118" s="39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</row>
    <row r="119" spans="1:137" s="9" customFormat="1" x14ac:dyDescent="0.25">
      <c r="A119" s="1"/>
      <c r="B119" s="37"/>
      <c r="C119" s="46">
        <f t="shared" si="113"/>
        <v>25</v>
      </c>
      <c r="D119" s="46">
        <f t="shared" ca="1" si="96"/>
        <v>0.30794322825106135</v>
      </c>
      <c r="E119" s="46">
        <f t="shared" ca="1" si="96"/>
        <v>0.77097279694320275</v>
      </c>
      <c r="F119" s="46">
        <f t="shared" ref="F119:G119" ca="1" si="149">AVERAGE(D115:D123)</f>
        <v>0.57552284620078464</v>
      </c>
      <c r="G119" s="46">
        <f t="shared" ca="1" si="149"/>
        <v>0.5230495417754436</v>
      </c>
      <c r="H119" s="46">
        <f t="shared" ca="1" si="98"/>
        <v>0.69863833297383982</v>
      </c>
      <c r="I119" s="46">
        <f t="shared" ca="1" si="99"/>
        <v>0.62908047064244887</v>
      </c>
      <c r="J119" s="46">
        <f t="shared" ca="1" si="100"/>
        <v>-0.62959911028059368</v>
      </c>
      <c r="K119" s="46">
        <f t="shared" ca="1" si="101"/>
        <v>1.943231069938776</v>
      </c>
      <c r="L119" s="12">
        <f t="shared" ca="1" si="102"/>
        <v>1.611120266915822</v>
      </c>
      <c r="M119" s="12">
        <f t="shared" ca="1" si="103"/>
        <v>18.801308744785715</v>
      </c>
      <c r="N119" s="46">
        <f t="shared" ca="1" si="104"/>
        <v>1.611120266915822</v>
      </c>
      <c r="O119" s="12">
        <f t="shared" ca="1" si="105"/>
        <v>18.801308744785715</v>
      </c>
      <c r="P119" s="67">
        <f t="shared" ca="1" si="147"/>
        <v>-0.17243253249099544</v>
      </c>
      <c r="Q119" s="46">
        <f t="shared" ca="1" si="107"/>
        <v>17.017755945378898</v>
      </c>
      <c r="R119" s="46">
        <f t="shared" ca="1" si="108"/>
        <v>-2.9344147549753776</v>
      </c>
      <c r="S119" s="46">
        <f t="shared" ca="1" si="109"/>
        <v>2.9732978261258196E-2</v>
      </c>
      <c r="T119" s="46">
        <f t="shared" ca="1" si="110"/>
        <v>20.322932123273532</v>
      </c>
      <c r="U119" s="46">
        <f t="shared" ca="1" si="111"/>
        <v>41.311230826555217</v>
      </c>
      <c r="V119" s="46">
        <f t="shared" ca="1" si="145"/>
        <v>14.293212458849318</v>
      </c>
      <c r="W119" s="68">
        <f t="shared" ca="1" si="112"/>
        <v>-4.5080962859363964</v>
      </c>
      <c r="X119" s="46"/>
      <c r="Y119" s="46"/>
      <c r="Z119" s="113"/>
      <c r="AA119" s="114"/>
      <c r="AB119" s="114"/>
      <c r="AC119" s="114"/>
      <c r="AD119" s="114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9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</row>
    <row r="120" spans="1:137" s="9" customFormat="1" x14ac:dyDescent="0.25">
      <c r="A120" s="1"/>
      <c r="B120" s="37"/>
      <c r="C120" s="46">
        <f t="shared" si="113"/>
        <v>25.25</v>
      </c>
      <c r="D120" s="46">
        <f t="shared" ca="1" si="96"/>
        <v>0.75478357810052044</v>
      </c>
      <c r="E120" s="46">
        <f t="shared" ca="1" si="96"/>
        <v>0.52089745774168517</v>
      </c>
      <c r="F120" s="46">
        <f t="shared" ref="F120:G120" ca="1" si="150">AVERAGE(D116:D124)</f>
        <v>0.5527000299183179</v>
      </c>
      <c r="G120" s="46">
        <f t="shared" ca="1" si="150"/>
        <v>0.55402174685931871</v>
      </c>
      <c r="H120" s="46">
        <f t="shared" ca="1" si="98"/>
        <v>0.64808276698996481</v>
      </c>
      <c r="I120" s="46">
        <f t="shared" ca="1" si="99"/>
        <v>0.69486911028233467</v>
      </c>
      <c r="J120" s="46">
        <f t="shared" ca="1" si="100"/>
        <v>0.7395082751731511</v>
      </c>
      <c r="K120" s="46">
        <f t="shared" ca="1" si="101"/>
        <v>-0.74292220008977439</v>
      </c>
      <c r="L120" s="12">
        <f t="shared" ca="1" si="102"/>
        <v>2.0218524825519455</v>
      </c>
      <c r="M120" s="12">
        <f t="shared" ca="1" si="103"/>
        <v>9.3997722996857895</v>
      </c>
      <c r="N120" s="46">
        <f t="shared" ca="1" si="104"/>
        <v>2.0218524825519455</v>
      </c>
      <c r="O120" s="12">
        <f t="shared" ca="1" si="105"/>
        <v>9.3997722996857895</v>
      </c>
      <c r="P120" s="67">
        <f t="shared" ca="1" si="147"/>
        <v>0.23829968314512806</v>
      </c>
      <c r="Q120" s="46">
        <f t="shared" ca="1" si="107"/>
        <v>7.6162195002789721</v>
      </c>
      <c r="R120" s="46">
        <f t="shared" ca="1" si="108"/>
        <v>1.8149426936802247</v>
      </c>
      <c r="S120" s="46">
        <f t="shared" ca="1" si="109"/>
        <v>5.678673898706843E-2</v>
      </c>
      <c r="T120" s="46">
        <f t="shared" ca="1" si="110"/>
        <v>0.10350780422698851</v>
      </c>
      <c r="U120" s="46">
        <f t="shared" ca="1" si="111"/>
        <v>8.8455986184481663</v>
      </c>
      <c r="V120" s="46">
        <f t="shared" ca="1" si="145"/>
        <v>9.7214985874320483</v>
      </c>
      <c r="W120" s="68">
        <f t="shared" ca="1" si="112"/>
        <v>0.32172628774625878</v>
      </c>
      <c r="X120" s="46"/>
      <c r="Y120" s="46"/>
      <c r="Z120" s="113" t="s">
        <v>101</v>
      </c>
      <c r="AA120" s="114"/>
      <c r="AB120" s="114"/>
      <c r="AC120" s="114"/>
      <c r="AD120" s="114"/>
      <c r="AE120" s="40"/>
      <c r="AF120" s="40"/>
      <c r="AG120" s="40"/>
      <c r="AH120" s="40"/>
      <c r="AI120" s="40"/>
      <c r="AJ120" s="40"/>
      <c r="AK120" s="40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9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</row>
    <row r="121" spans="1:137" s="9" customFormat="1" x14ac:dyDescent="0.25">
      <c r="A121" s="1"/>
      <c r="B121" s="37"/>
      <c r="C121" s="46">
        <f t="shared" si="113"/>
        <v>25.5</v>
      </c>
      <c r="D121" s="46">
        <f t="shared" ca="1" si="96"/>
        <v>0.80836476600855534</v>
      </c>
      <c r="E121" s="46">
        <f t="shared" ca="1" si="96"/>
        <v>0.61755942041878675</v>
      </c>
      <c r="F121" s="46">
        <f ca="1">AVERAGE(D117:D124)</f>
        <v>0.52548016016153209</v>
      </c>
      <c r="G121" s="46">
        <f ca="1">AVERAGE(E117:E124)</f>
        <v>0.52130236422094089</v>
      </c>
      <c r="H121" s="46">
        <f t="shared" ca="1" si="98"/>
        <v>0.58778714420046507</v>
      </c>
      <c r="I121" s="46">
        <f t="shared" ca="1" si="99"/>
        <v>0.62536925814696143</v>
      </c>
      <c r="J121" s="46">
        <f t="shared" ca="1" si="100"/>
        <v>0.46010317291124408</v>
      </c>
      <c r="K121" s="46">
        <f t="shared" ca="1" si="101"/>
        <v>-0.1291588178936745</v>
      </c>
      <c r="L121" s="12">
        <f t="shared" ca="1" si="102"/>
        <v>1.9380309518733734</v>
      </c>
      <c r="M121" s="12">
        <f t="shared" ca="1" si="103"/>
        <v>11.54794413737214</v>
      </c>
      <c r="N121" s="46">
        <f t="shared" ca="1" si="104"/>
        <v>1.9380309518733734</v>
      </c>
      <c r="O121" s="12">
        <f t="shared" ca="1" si="105"/>
        <v>11.54794413737214</v>
      </c>
      <c r="P121" s="67">
        <f t="shared" ca="1" si="147"/>
        <v>0.15447815246655594</v>
      </c>
      <c r="Q121" s="46">
        <f t="shared" ca="1" si="107"/>
        <v>9.7643913379653213</v>
      </c>
      <c r="R121" s="46">
        <f t="shared" ca="1" si="108"/>
        <v>1.508385133849325</v>
      </c>
      <c r="S121" s="46">
        <f t="shared" ca="1" si="109"/>
        <v>2.3863499589480502E-2</v>
      </c>
      <c r="T121" s="46">
        <f t="shared" ca="1" si="110"/>
        <v>0.79826714999985882</v>
      </c>
      <c r="U121" s="46">
        <f t="shared" ca="1" si="111"/>
        <v>0.68224836617225171</v>
      </c>
      <c r="V121" s="46">
        <f t="shared" ca="1" si="145"/>
        <v>10.654486164102071</v>
      </c>
      <c r="W121" s="68">
        <f t="shared" ca="1" si="112"/>
        <v>-0.89345797327006871</v>
      </c>
      <c r="X121" s="46"/>
      <c r="Y121" s="46"/>
      <c r="Z121" s="113" t="s">
        <v>100</v>
      </c>
      <c r="AA121" s="114"/>
      <c r="AB121" s="114"/>
      <c r="AC121" s="114"/>
      <c r="AD121" s="114"/>
      <c r="AE121" s="40"/>
      <c r="AF121" s="40"/>
      <c r="AG121" s="40"/>
      <c r="AH121" s="40"/>
      <c r="AI121" s="40"/>
      <c r="AJ121" s="40"/>
      <c r="AK121" s="40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9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</row>
    <row r="122" spans="1:137" s="9" customFormat="1" ht="15.75" thickBot="1" x14ac:dyDescent="0.3">
      <c r="A122" s="1"/>
      <c r="B122" s="37"/>
      <c r="C122" s="46">
        <f t="shared" si="113"/>
        <v>25.75</v>
      </c>
      <c r="D122" s="46">
        <f t="shared" ca="1" si="96"/>
        <v>0.15080231777219277</v>
      </c>
      <c r="E122" s="46">
        <f t="shared" ca="1" si="96"/>
        <v>0.63904223239121261</v>
      </c>
      <c r="F122" s="46">
        <f ca="1">AVERAGE(D118:D124)</f>
        <v>0.5025913340391015</v>
      </c>
      <c r="G122" s="46">
        <f ca="1">AVERAGE(E118:E124)</f>
        <v>0.48149289705947967</v>
      </c>
      <c r="H122" s="46">
        <f t="shared" ca="1" si="98"/>
        <v>0.53708535766350074</v>
      </c>
      <c r="I122" s="46">
        <f t="shared" ca="1" si="99"/>
        <v>0.54080922497370953</v>
      </c>
      <c r="J122" s="46">
        <f t="shared" ca="1" si="100"/>
        <v>0.23401643681748335</v>
      </c>
      <c r="K122" s="46">
        <f t="shared" ca="1" si="101"/>
        <v>1.2103544853736083</v>
      </c>
      <c r="L122" s="12">
        <f t="shared" ca="1" si="102"/>
        <v>1.8702049310452451</v>
      </c>
      <c r="M122" s="12">
        <f t="shared" ca="1" si="103"/>
        <v>16.236240698807627</v>
      </c>
      <c r="N122" s="46">
        <f t="shared" ca="1" si="104"/>
        <v>1.8702049310452451</v>
      </c>
      <c r="O122" s="12">
        <f t="shared" ca="1" si="105"/>
        <v>16.236240698807627</v>
      </c>
      <c r="P122" s="67">
        <f t="shared" ca="1" si="147"/>
        <v>8.6652131638427665E-2</v>
      </c>
      <c r="Q122" s="46">
        <f t="shared" ca="1" si="107"/>
        <v>14.452687899400811</v>
      </c>
      <c r="R122" s="46">
        <f t="shared" ca="1" si="108"/>
        <v>1.2523562143879896</v>
      </c>
      <c r="S122" s="46">
        <f t="shared" ca="1" si="109"/>
        <v>7.5085919174833968E-3</v>
      </c>
      <c r="T122" s="46">
        <f t="shared" ca="1" si="110"/>
        <v>23.298068479495193</v>
      </c>
      <c r="U122" s="46">
        <f t="shared" ca="1" si="111"/>
        <v>14.917463943185528</v>
      </c>
      <c r="V122" s="46">
        <f t="shared" ca="1" si="145"/>
        <v>11.409433422823305</v>
      </c>
      <c r="W122" s="68">
        <f t="shared" ca="1" si="112"/>
        <v>-4.8268072759843221</v>
      </c>
      <c r="X122" s="46"/>
      <c r="Y122" s="46"/>
      <c r="Z122" s="12"/>
      <c r="AA122" s="12"/>
      <c r="AB122" s="12"/>
      <c r="AC122" s="12"/>
      <c r="AD122" s="12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9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</row>
    <row r="123" spans="1:137" s="9" customFormat="1" x14ac:dyDescent="0.25">
      <c r="A123" s="1"/>
      <c r="B123" s="37"/>
      <c r="C123" s="46">
        <f t="shared" si="113"/>
        <v>26</v>
      </c>
      <c r="D123" s="46">
        <f t="shared" ca="1" si="96"/>
        <v>0.7219218305075269</v>
      </c>
      <c r="E123" s="46">
        <f t="shared" ca="1" si="96"/>
        <v>0.1459320132303713</v>
      </c>
      <c r="F123" s="46">
        <f ca="1">AVERAGE(D119:D124)</f>
        <v>0.4691241591778193</v>
      </c>
      <c r="G123" s="46">
        <f ca="1">AVERAGE(E119:E124)</f>
        <v>0.54630228875295339</v>
      </c>
      <c r="H123" s="46">
        <f t="shared" ca="1" si="98"/>
        <v>0.46295112523341936</v>
      </c>
      <c r="I123" s="46">
        <f t="shared" ca="1" si="99"/>
        <v>0.67847206505421609</v>
      </c>
      <c r="J123" s="46">
        <f t="shared" ca="1" si="100"/>
        <v>0.10441232732563634</v>
      </c>
      <c r="K123" s="46">
        <f t="shared" ca="1" si="101"/>
        <v>0.23909285806050856</v>
      </c>
      <c r="L123" s="12">
        <f t="shared" ca="1" si="102"/>
        <v>1.831323698197691</v>
      </c>
      <c r="M123" s="12">
        <f t="shared" ca="1" si="103"/>
        <v>12.83682500321178</v>
      </c>
      <c r="N123" s="46">
        <f t="shared" ca="1" si="104"/>
        <v>1.831323698197691</v>
      </c>
      <c r="O123" s="12">
        <f t="shared" ca="1" si="105"/>
        <v>12.83682500321178</v>
      </c>
      <c r="P123" s="67">
        <f t="shared" ca="1" si="147"/>
        <v>4.7770898790873595E-2</v>
      </c>
      <c r="Q123" s="46">
        <f t="shared" ca="1" si="107"/>
        <v>11.053272203804962</v>
      </c>
      <c r="R123" s="46">
        <f t="shared" ca="1" si="108"/>
        <v>0.52802474775594321</v>
      </c>
      <c r="S123" s="46">
        <f t="shared" ca="1" si="109"/>
        <v>2.2820587712878882E-3</v>
      </c>
      <c r="T123" s="46">
        <f t="shared" ca="1" si="110"/>
        <v>0.9892658376650928</v>
      </c>
      <c r="U123" s="46">
        <f t="shared" ca="1" si="111"/>
        <v>0.21427418207518018</v>
      </c>
      <c r="V123" s="46">
        <f t="shared" ca="1" si="145"/>
        <v>11.842206564982781</v>
      </c>
      <c r="W123" s="68">
        <f t="shared" ca="1" si="112"/>
        <v>-0.99461843822899887</v>
      </c>
      <c r="X123" s="46"/>
      <c r="Y123" s="46"/>
      <c r="Z123" s="73">
        <f t="array" aca="1" ref="Z123:AA127" ca="1">LINEST(O20:O124,N20:N124,TRUE,TRUE)</f>
        <v>-11.13064351267605</v>
      </c>
      <c r="AA123" s="74">
        <f ca="1"/>
        <v>32.22601780593682</v>
      </c>
      <c r="AB123" s="12"/>
      <c r="AC123" s="38"/>
      <c r="AD123" s="38"/>
      <c r="AE123" s="120" t="s">
        <v>102</v>
      </c>
      <c r="AF123" s="157">
        <f ca="1">Z123</f>
        <v>-11.13064351267605</v>
      </c>
      <c r="AG123" s="119"/>
      <c r="AH123" s="38"/>
      <c r="AI123" s="38"/>
      <c r="AJ123" s="119" t="s">
        <v>109</v>
      </c>
      <c r="AK123" s="157">
        <f ca="1">AA123</f>
        <v>32.22601780593682</v>
      </c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9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</row>
    <row r="124" spans="1:137" s="9" customFormat="1" x14ac:dyDescent="0.25">
      <c r="A124" s="1"/>
      <c r="B124" s="37"/>
      <c r="C124" s="46">
        <f t="shared" si="113"/>
        <v>26.25</v>
      </c>
      <c r="D124" s="46">
        <f t="shared" ca="1" si="96"/>
        <v>7.0929234427059007E-2</v>
      </c>
      <c r="E124" s="46">
        <f t="shared" ca="1" si="96"/>
        <v>0.58340981179246154</v>
      </c>
      <c r="F124" s="46">
        <f ca="1">AVERAGE(D120:D124)</f>
        <v>0.50136034536317087</v>
      </c>
      <c r="G124" s="46">
        <f ca="1">AVERAGE(E120:E124)</f>
        <v>0.50136818711490361</v>
      </c>
      <c r="H124" s="46">
        <f t="shared" ca="1" si="98"/>
        <v>0.53435855443022828</v>
      </c>
      <c r="I124" s="46">
        <f t="shared" ca="1" si="99"/>
        <v>0.58302670001797896</v>
      </c>
      <c r="J124" s="46">
        <f t="shared" ca="1" si="100"/>
        <v>4.3317919054183848E-2</v>
      </c>
      <c r="K124" s="46">
        <f t="shared" ca="1" si="101"/>
        <v>-0.27106006412634942</v>
      </c>
      <c r="L124" s="12">
        <f t="shared" ca="1" si="102"/>
        <v>1.8129953757162551</v>
      </c>
      <c r="M124" s="12">
        <f t="shared" ca="1" si="103"/>
        <v>11.051289775557777</v>
      </c>
      <c r="N124" s="46">
        <f t="shared" ca="1" si="104"/>
        <v>1.8129953757162551</v>
      </c>
      <c r="O124" s="12">
        <f t="shared" ca="1" si="105"/>
        <v>11.051289775557777</v>
      </c>
      <c r="P124" s="67">
        <f t="shared" ca="1" si="147"/>
        <v>2.9442576309437696E-2</v>
      </c>
      <c r="Q124" s="46">
        <f t="shared" ca="1" si="107"/>
        <v>9.2677369761509603</v>
      </c>
      <c r="R124" s="46">
        <f t="shared" ca="1" si="108"/>
        <v>0.272866053136122</v>
      </c>
      <c r="S124" s="46">
        <f t="shared" ca="1" si="109"/>
        <v>8.6686529973706186E-4</v>
      </c>
      <c r="T124" s="46">
        <f t="shared" ca="1" si="110"/>
        <v>0.98987140412876573</v>
      </c>
      <c r="U124" s="46">
        <f t="shared" ca="1" si="111"/>
        <v>1.7493703112602443</v>
      </c>
      <c r="V124" s="46">
        <f t="shared" ca="1" si="145"/>
        <v>12.046212588709011</v>
      </c>
      <c r="W124" s="68">
        <f t="shared" ca="1" si="112"/>
        <v>0.99492281315123421</v>
      </c>
      <c r="X124" s="46"/>
      <c r="Y124" s="46"/>
      <c r="Z124" s="67">
        <f ca="1"/>
        <v>0.74581971381872636</v>
      </c>
      <c r="AA124" s="68">
        <f ca="1"/>
        <v>1.3446755557694225</v>
      </c>
      <c r="AB124" s="12"/>
      <c r="AC124" s="38"/>
      <c r="AD124" s="38"/>
      <c r="AE124" s="120" t="s">
        <v>103</v>
      </c>
      <c r="AF124" s="116">
        <f ca="1">Z124</f>
        <v>0.74581971381872636</v>
      </c>
      <c r="AG124" s="119"/>
      <c r="AH124" s="38"/>
      <c r="AI124" s="38"/>
      <c r="AJ124" s="119" t="s">
        <v>110</v>
      </c>
      <c r="AK124" s="116">
        <f ca="1">AA124</f>
        <v>1.3446755557694225</v>
      </c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9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</row>
    <row r="125" spans="1:137" s="9" customFormat="1" x14ac:dyDescent="0.25">
      <c r="A125" s="1"/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67">
        <f ca="1"/>
        <v>0.68378425465638437</v>
      </c>
      <c r="AA125" s="68">
        <f ca="1"/>
        <v>2.0157290556312799</v>
      </c>
      <c r="AB125" s="12"/>
      <c r="AC125" s="38"/>
      <c r="AD125" s="38"/>
      <c r="AE125" s="120" t="s">
        <v>104</v>
      </c>
      <c r="AF125" s="116">
        <f ca="1">Z125</f>
        <v>0.68378425465638437</v>
      </c>
      <c r="AG125" s="119"/>
      <c r="AH125" s="38"/>
      <c r="AI125" s="38"/>
      <c r="AJ125" s="119" t="s">
        <v>108</v>
      </c>
      <c r="AK125" s="115">
        <f ca="1">AA125</f>
        <v>2.0157290556312799</v>
      </c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9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</row>
    <row r="126" spans="1:137" x14ac:dyDescent="0.25">
      <c r="A126" s="51"/>
      <c r="B126" s="37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67">
        <f ca="1"/>
        <v>222.72698076142643</v>
      </c>
      <c r="AA126" s="75">
        <f ca="1"/>
        <v>103</v>
      </c>
      <c r="AB126" s="12"/>
      <c r="AC126" s="38"/>
      <c r="AD126" s="38"/>
      <c r="AE126" s="120" t="s">
        <v>105</v>
      </c>
      <c r="AF126" s="116">
        <f ca="1">Z126</f>
        <v>222.72698076142643</v>
      </c>
      <c r="AG126" s="119"/>
      <c r="AH126" s="38"/>
      <c r="AI126" s="38"/>
      <c r="AJ126" s="119" t="s">
        <v>107</v>
      </c>
      <c r="AK126" s="118">
        <f ca="1">AA126</f>
        <v>103</v>
      </c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9"/>
    </row>
    <row r="127" spans="1:137" ht="15.75" thickBot="1" x14ac:dyDescent="0.3">
      <c r="A127" s="51"/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69">
        <f ca="1"/>
        <v>904.97616669541344</v>
      </c>
      <c r="AA127" s="70">
        <f ca="1"/>
        <v>418.50585344876566</v>
      </c>
      <c r="AB127" s="12"/>
      <c r="AC127" s="38"/>
      <c r="AD127" s="43"/>
      <c r="AE127" s="120" t="s">
        <v>106</v>
      </c>
      <c r="AF127" s="117">
        <f ca="1">Z127</f>
        <v>904.97616669541344</v>
      </c>
      <c r="AG127" s="119"/>
      <c r="AH127" s="38"/>
      <c r="AI127" s="38"/>
      <c r="AJ127" s="119" t="s">
        <v>123</v>
      </c>
      <c r="AK127" s="117">
        <f ca="1">AA127</f>
        <v>418.50585344876566</v>
      </c>
      <c r="AL127" s="38"/>
      <c r="AM127" s="38"/>
      <c r="AN127" s="38"/>
      <c r="AO127" s="38"/>
      <c r="AP127" s="38"/>
      <c r="AQ127" s="38"/>
      <c r="AR127" s="38"/>
      <c r="AS127" s="43" t="s">
        <v>117</v>
      </c>
      <c r="AT127" s="38"/>
      <c r="AU127" s="38"/>
      <c r="AV127" s="38"/>
      <c r="AW127" s="38"/>
      <c r="AX127" s="38"/>
      <c r="AY127" s="38"/>
      <c r="AZ127" s="38"/>
      <c r="BA127" s="38"/>
      <c r="BB127" s="39"/>
    </row>
    <row r="128" spans="1:137" ht="15.75" thickBot="1" x14ac:dyDescent="0.3">
      <c r="A128" s="51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12"/>
      <c r="AA128" s="12"/>
      <c r="AB128" s="12"/>
      <c r="AC128" s="57"/>
      <c r="AD128" s="12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9"/>
    </row>
    <row r="129" spans="1:54" ht="15.75" thickBot="1" x14ac:dyDescent="0.3">
      <c r="A129" s="51"/>
      <c r="B129" s="37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AA129" s="46">
        <f ca="1">Z127/(AA127+Z127)</f>
        <v>0.68378425465638437</v>
      </c>
      <c r="AB129" s="46"/>
      <c r="AC129" s="12"/>
      <c r="AD129" s="38"/>
      <c r="AE129" s="38"/>
      <c r="AF129" s="38"/>
      <c r="AG129" s="38"/>
      <c r="AH129" s="38"/>
      <c r="AI129" s="38"/>
      <c r="AJ129" s="79" t="s">
        <v>111</v>
      </c>
      <c r="AK129" s="121">
        <f ca="1">AK127/AK126</f>
        <v>4.0631636257161716</v>
      </c>
      <c r="AL129" s="38"/>
      <c r="AM129" s="38" t="s">
        <v>116</v>
      </c>
      <c r="AN129" s="38"/>
      <c r="AO129" s="38"/>
      <c r="AP129" s="38"/>
      <c r="AQ129" s="38"/>
      <c r="AR129" s="38"/>
      <c r="AS129" s="45" t="s">
        <v>73</v>
      </c>
      <c r="AT129" s="38"/>
      <c r="AU129" s="38"/>
      <c r="AV129" s="38"/>
      <c r="AW129" s="38"/>
      <c r="AX129" s="38"/>
      <c r="AY129" s="38"/>
      <c r="AZ129" s="38"/>
      <c r="BA129" s="38"/>
      <c r="BB129" s="39"/>
    </row>
    <row r="130" spans="1:54" ht="15.75" thickBot="1" x14ac:dyDescent="0.3">
      <c r="A130" s="51"/>
      <c r="B130" s="37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9"/>
    </row>
    <row r="131" spans="1:54" ht="15.75" thickBot="1" x14ac:dyDescent="0.3">
      <c r="A131" s="51"/>
      <c r="B131" s="37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130" t="s">
        <v>114</v>
      </c>
      <c r="AA131" s="130"/>
      <c r="AB131" s="130"/>
      <c r="AC131" s="130"/>
      <c r="AD131" s="130"/>
      <c r="AE131" s="130"/>
      <c r="AF131" s="38"/>
      <c r="AG131" s="38"/>
      <c r="AH131" s="38"/>
      <c r="AI131" s="38"/>
      <c r="AJ131" s="38"/>
      <c r="AK131" s="38"/>
      <c r="AL131" s="38"/>
      <c r="AM131" s="98" t="s">
        <v>70</v>
      </c>
      <c r="AN131" s="38"/>
      <c r="AO131" s="38"/>
      <c r="AP131" s="38"/>
      <c r="AQ131" s="38"/>
      <c r="AR131" s="38"/>
      <c r="AS131" s="38"/>
      <c r="AT131" s="38" t="s">
        <v>49</v>
      </c>
      <c r="AU131" s="38"/>
      <c r="AV131" s="38"/>
      <c r="AW131" s="38"/>
      <c r="AX131" s="156">
        <f ca="1">AF123</f>
        <v>-11.13064351267605</v>
      </c>
      <c r="AY131" s="102" t="s">
        <v>50</v>
      </c>
      <c r="AZ131" s="155">
        <f ca="1">AF124*AG136</f>
        <v>1.6964718804768608</v>
      </c>
      <c r="BA131" s="38"/>
      <c r="BB131" s="39"/>
    </row>
    <row r="132" spans="1:54" ht="18" x14ac:dyDescent="0.35">
      <c r="A132" s="51"/>
      <c r="B132" s="37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 t="s">
        <v>115</v>
      </c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47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9"/>
    </row>
    <row r="133" spans="1:54" x14ac:dyDescent="0.25">
      <c r="A133" s="51"/>
      <c r="B133" s="37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130"/>
      <c r="AA133" s="130"/>
      <c r="AB133" s="130"/>
      <c r="AC133" s="130"/>
      <c r="AD133" s="130"/>
      <c r="AE133" s="130"/>
      <c r="AF133" s="38"/>
      <c r="AG133" s="38"/>
      <c r="AH133" s="38"/>
      <c r="AI133" s="47"/>
      <c r="AJ133" s="38"/>
      <c r="AK133" s="47"/>
      <c r="AL133" s="38"/>
      <c r="AM133" s="38"/>
      <c r="AN133" s="38"/>
      <c r="AO133" s="38"/>
      <c r="AP133" s="38"/>
      <c r="AQ133" s="38"/>
      <c r="AR133" s="38"/>
      <c r="AS133" s="38" t="s">
        <v>118</v>
      </c>
      <c r="AT133" s="43"/>
      <c r="AU133" s="43"/>
      <c r="AV133" s="43"/>
      <c r="AW133" s="43"/>
      <c r="AX133" s="43"/>
      <c r="AY133" s="43"/>
      <c r="AZ133" s="43"/>
      <c r="BA133" s="38"/>
      <c r="BB133" s="39"/>
    </row>
    <row r="134" spans="1:54" ht="15.75" thickBot="1" x14ac:dyDescent="0.3">
      <c r="A134" s="51"/>
      <c r="B134" s="37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98" t="s">
        <v>69</v>
      </c>
      <c r="AA134" s="12"/>
      <c r="AB134" s="38"/>
      <c r="AC134" s="38"/>
      <c r="AD134" s="38"/>
      <c r="AE134" s="38"/>
      <c r="AF134" s="38"/>
      <c r="AG134" s="38"/>
      <c r="AH134" s="38"/>
      <c r="AI134" s="38"/>
      <c r="AJ134" s="38"/>
      <c r="AK134" s="150" t="s">
        <v>132</v>
      </c>
      <c r="AL134" s="38"/>
      <c r="AM134" s="38"/>
      <c r="AN134" s="38"/>
      <c r="AO134" s="38"/>
      <c r="AP134" s="38"/>
      <c r="AQ134" s="38"/>
      <c r="AR134" s="38"/>
      <c r="AS134" s="38" t="s">
        <v>119</v>
      </c>
      <c r="AT134" s="38"/>
      <c r="AU134" s="38"/>
      <c r="AV134" s="38"/>
      <c r="AW134" s="38"/>
      <c r="AX134" s="38"/>
      <c r="AY134" s="38"/>
      <c r="AZ134" s="38"/>
      <c r="BA134" s="38"/>
      <c r="BB134" s="39"/>
    </row>
    <row r="135" spans="1:54" ht="15.75" thickBot="1" x14ac:dyDescent="0.3">
      <c r="A135" s="51"/>
      <c r="B135" s="37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12"/>
      <c r="AC135" s="57" t="s">
        <v>46</v>
      </c>
      <c r="AD135" s="12"/>
      <c r="AE135" s="12" t="s">
        <v>47</v>
      </c>
      <c r="AF135" s="38"/>
      <c r="AG135" s="38" t="s">
        <v>48</v>
      </c>
      <c r="AH135" s="38"/>
      <c r="AI135" s="38" t="s">
        <v>130</v>
      </c>
      <c r="AJ135" s="149">
        <f ca="1">Z127</f>
        <v>904.97616669541344</v>
      </c>
      <c r="AK135" s="148">
        <f ca="1">AJ135/AJ136</f>
        <v>222.72698076142643</v>
      </c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9"/>
    </row>
    <row r="136" spans="1:54" ht="15.75" thickBot="1" x14ac:dyDescent="0.3">
      <c r="A136" s="51"/>
      <c r="B136" s="37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77" t="s">
        <v>51</v>
      </c>
      <c r="AC136" s="99">
        <f ca="1">AF123/AF124</f>
        <v>-14.92404036316662</v>
      </c>
      <c r="AD136" s="78" t="s">
        <v>51</v>
      </c>
      <c r="AE136" s="99">
        <f ca="1">AK123/AK124</f>
        <v>23.965645592105012</v>
      </c>
      <c r="AF136" s="47"/>
      <c r="AG136" s="101">
        <f ca="1">_xlfn.T.INV.2T(0.025,AK126)</f>
        <v>2.2746407061173408</v>
      </c>
      <c r="AH136" s="38"/>
      <c r="AI136" s="38" t="s">
        <v>131</v>
      </c>
      <c r="AJ136" s="12">
        <f ca="1">AA127/(AA126)</f>
        <v>4.0631636257161716</v>
      </c>
      <c r="AK136" s="38"/>
      <c r="AL136" s="38"/>
      <c r="AM136" s="38"/>
      <c r="AN136" s="38"/>
      <c r="AO136" s="38"/>
      <c r="AP136" s="38"/>
      <c r="AQ136" s="38"/>
      <c r="AR136" s="38"/>
      <c r="AS136" s="45" t="s">
        <v>74</v>
      </c>
      <c r="AT136" s="38"/>
      <c r="AU136" s="38"/>
      <c r="AV136" s="38"/>
      <c r="AW136" s="38"/>
      <c r="AX136" s="38"/>
      <c r="AY136" s="38"/>
      <c r="AZ136" s="38"/>
      <c r="BA136" s="38"/>
      <c r="BB136" s="39"/>
    </row>
    <row r="137" spans="1:54" ht="15.75" thickBot="1" x14ac:dyDescent="0.3">
      <c r="A137" s="51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77" t="s">
        <v>52</v>
      </c>
      <c r="AC137" s="100">
        <f ca="1">_xlfn.T.DIST(AC136,AK126,TRUE)</f>
        <v>8.3798261867202914E-28</v>
      </c>
      <c r="AD137" s="77" t="s">
        <v>52</v>
      </c>
      <c r="AE137" s="100">
        <f ca="1">_xlfn.T.DIST.2T(AE136,AK126)</f>
        <v>6.3637896253346581E-44</v>
      </c>
      <c r="AF137" s="38"/>
      <c r="AG137" s="38"/>
      <c r="AH137" s="38"/>
      <c r="AI137" s="38"/>
      <c r="AJ137" s="38"/>
      <c r="AK137" s="38"/>
      <c r="AL137" s="38"/>
      <c r="AM137" s="79" t="s">
        <v>72</v>
      </c>
      <c r="AN137" s="152">
        <f ca="1">AF126</f>
        <v>222.72698076142643</v>
      </c>
      <c r="AO137" s="38"/>
      <c r="AP137" s="79" t="s">
        <v>71</v>
      </c>
      <c r="AQ137" s="151">
        <f ca="1">_xlfn.F.INV.RT(0.025,1,AA126)</f>
        <v>5.1739903419259923</v>
      </c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9"/>
    </row>
    <row r="138" spans="1:54" ht="15.75" thickBot="1" x14ac:dyDescent="0.3">
      <c r="A138" s="51"/>
      <c r="B138" s="37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 t="s">
        <v>56</v>
      </c>
      <c r="AY138" s="38" t="s">
        <v>57</v>
      </c>
      <c r="AZ138" s="38"/>
      <c r="BA138" s="38" t="s">
        <v>59</v>
      </c>
      <c r="BB138" s="39"/>
    </row>
    <row r="139" spans="1:54" ht="15.75" thickBot="1" x14ac:dyDescent="0.3">
      <c r="A139" s="51"/>
      <c r="B139" s="37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147"/>
      <c r="R139" s="38"/>
      <c r="S139" s="38"/>
      <c r="T139" s="38"/>
      <c r="U139" s="38"/>
      <c r="V139" s="38"/>
      <c r="W139" s="38"/>
      <c r="X139" s="38"/>
      <c r="Y139" s="38"/>
      <c r="Z139" s="38"/>
      <c r="AA139" s="43"/>
      <c r="AB139" s="79" t="s">
        <v>112</v>
      </c>
      <c r="AC139" s="122" t="str">
        <f ca="1">IF(OR(AC136&gt;AG136,AC136&lt;-1*AG136),"Reject H0: Slope = 0 ", "Fail to Reject")</f>
        <v xml:space="preserve">Reject H0: Slope = 0 </v>
      </c>
      <c r="AD139" s="123"/>
      <c r="AE139" s="124" t="str">
        <f ca="1">IF(AE136&gt;AG136,"Reject H0: Intercept = 0 ", "Fail to Reject")</f>
        <v xml:space="preserve">Reject H0: Intercept = 0 </v>
      </c>
      <c r="AF139" s="125"/>
      <c r="AG139" s="38"/>
      <c r="AH139" s="38"/>
      <c r="AI139" s="38"/>
      <c r="AJ139" s="38"/>
      <c r="AK139" s="38"/>
      <c r="AL139" s="79" t="s">
        <v>113</v>
      </c>
      <c r="AM139" s="126" t="str">
        <f ca="1">IF(AN137&gt;AQ137,"Reject H0: All Model Coefficients = 0 ", "Fail to Reject")</f>
        <v xml:space="preserve">Reject H0: All Model Coefficients = 0 </v>
      </c>
      <c r="AN139" s="127"/>
      <c r="AO139" s="127"/>
      <c r="AP139" s="128"/>
      <c r="AQ139" s="38"/>
      <c r="AR139" s="38"/>
      <c r="AS139" s="38"/>
      <c r="AT139" s="79" t="s">
        <v>58</v>
      </c>
      <c r="AU139" s="4">
        <v>10</v>
      </c>
      <c r="AV139" s="38" t="s">
        <v>55</v>
      </c>
      <c r="AW139" s="79"/>
      <c r="AX139" s="46">
        <f ca="1">_xlfn.T.INV.2T(0.05,AK126)</f>
        <v>1.9832641447734605</v>
      </c>
      <c r="AY139" s="58">
        <f ca="1">SQRT(AK129)</f>
        <v>2.0157290556312799</v>
      </c>
      <c r="AZ139" s="38">
        <f ca="1">SQRT(1+1/COUNT(W20:W124)+(AU139-O11)^2/SUM(S20:S124))</f>
        <v>3.2018186282346131</v>
      </c>
      <c r="BA139" s="80">
        <f ca="1">AX139*AY139*AZ139</f>
        <v>12.799984489372948</v>
      </c>
      <c r="BB139" s="39"/>
    </row>
    <row r="140" spans="1:54" ht="15.75" thickBot="1" x14ac:dyDescent="0.3">
      <c r="A140" s="51"/>
      <c r="B140" s="37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9"/>
    </row>
    <row r="141" spans="1:54" ht="15.75" thickBot="1" x14ac:dyDescent="0.3">
      <c r="A141" s="51"/>
      <c r="B141" s="37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153">
        <f ca="1">AU139*AF123+AK123</f>
        <v>-79.080417320823685</v>
      </c>
      <c r="AX141" s="81" t="s">
        <v>50</v>
      </c>
      <c r="AY141" s="154">
        <f ca="1">BA139</f>
        <v>12.799984489372948</v>
      </c>
      <c r="AZ141" s="38"/>
      <c r="BA141" s="38"/>
      <c r="BB141" s="39"/>
    </row>
    <row r="142" spans="1:54" ht="15.75" thickBot="1" x14ac:dyDescent="0.3">
      <c r="A142" s="51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50"/>
    </row>
    <row r="143" spans="1:5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</row>
    <row r="144" spans="1:54" s="1" customFormat="1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</row>
    <row r="145" spans="1:54" s="1" customFormat="1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</row>
    <row r="146" spans="1:54" s="1" customForma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</row>
    <row r="147" spans="1:54" s="1" customForma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</row>
    <row r="148" spans="1:54" s="1" customForma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</row>
    <row r="149" spans="1:54" s="1" customForma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</row>
    <row r="150" spans="1:54" s="1" customFormat="1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</row>
    <row r="151" spans="1:54" s="1" customFormat="1" x14ac:dyDescent="0.25"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</row>
    <row r="152" spans="1:54" s="1" customFormat="1" x14ac:dyDescent="0.25"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1:54" s="1" customFormat="1" x14ac:dyDescent="0.25"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1:54" s="1" customFormat="1" x14ac:dyDescent="0.25"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1:54" s="1" customFormat="1" x14ac:dyDescent="0.25"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1:54" s="1" customFormat="1" x14ac:dyDescent="0.25"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1:54" s="1" customFormat="1" x14ac:dyDescent="0.25"/>
    <row r="158" spans="1:54" s="1" customFormat="1" x14ac:dyDescent="0.25"/>
    <row r="159" spans="1:54" s="1" customFormat="1" x14ac:dyDescent="0.25"/>
    <row r="160" spans="1:54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</sheetData>
  <sortState xmlns:xlrd2="http://schemas.microsoft.com/office/spreadsheetml/2017/richdata2" ref="M17:M33">
    <sortCondition ref="M17"/>
  </sortState>
  <mergeCells count="20">
    <mergeCell ref="L9:M9"/>
    <mergeCell ref="N13:O13"/>
    <mergeCell ref="N10:O10"/>
    <mergeCell ref="J10:K10"/>
    <mergeCell ref="J13:K13"/>
    <mergeCell ref="L10:M10"/>
    <mergeCell ref="L13:M13"/>
    <mergeCell ref="F10:G10"/>
    <mergeCell ref="F13:G13"/>
    <mergeCell ref="H10:I10"/>
    <mergeCell ref="H13:I13"/>
    <mergeCell ref="J9:K9"/>
    <mergeCell ref="AO71:AO72"/>
    <mergeCell ref="AO41:AO42"/>
    <mergeCell ref="D18:E18"/>
    <mergeCell ref="F18:G18"/>
    <mergeCell ref="H18:I18"/>
    <mergeCell ref="J18:K18"/>
    <mergeCell ref="L18:M18"/>
    <mergeCell ref="AO19:AO20"/>
  </mergeCells>
  <pageMargins left="0.7" right="0.7" top="0.75" bottom="0.75" header="0.3" footer="0.3"/>
  <pageSetup orientation="portrait" r:id="rId1"/>
  <ignoredErrors>
    <ignoredError sqref="AP19:AY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6"/>
  <sheetViews>
    <sheetView workbookViewId="0">
      <selection activeCell="A68" sqref="A68"/>
    </sheetView>
  </sheetViews>
  <sheetFormatPr defaultRowHeight="15" x14ac:dyDescent="0.25"/>
  <sheetData>
    <row r="1" spans="1:2" x14ac:dyDescent="0.25">
      <c r="A1" t="s">
        <v>128</v>
      </c>
      <c r="B1" t="s">
        <v>0</v>
      </c>
    </row>
    <row r="2" spans="1:2" x14ac:dyDescent="0.25">
      <c r="A2">
        <v>1.281391400869615</v>
      </c>
      <c r="B2">
        <v>16.610982040342247</v>
      </c>
    </row>
    <row r="3" spans="1:2" x14ac:dyDescent="0.25">
      <c r="A3">
        <v>1.4049322559666226</v>
      </c>
      <c r="B3">
        <v>13.668073325028873</v>
      </c>
    </row>
    <row r="4" spans="1:2" x14ac:dyDescent="0.25">
      <c r="A4">
        <v>2.3469262447155295</v>
      </c>
      <c r="B4">
        <v>9.5900917617884254</v>
      </c>
    </row>
    <row r="5" spans="1:2" x14ac:dyDescent="0.25">
      <c r="A5">
        <v>1.3488469999185624</v>
      </c>
      <c r="B5">
        <v>15.877907158901088</v>
      </c>
    </row>
    <row r="6" spans="1:2" x14ac:dyDescent="0.25">
      <c r="A6">
        <v>2.3316525687106324</v>
      </c>
      <c r="B6">
        <v>4.9682403861812601</v>
      </c>
    </row>
    <row r="7" spans="1:2" x14ac:dyDescent="0.25">
      <c r="A7">
        <v>2.0444512251972866</v>
      </c>
      <c r="B7">
        <v>8.9360611460195862</v>
      </c>
    </row>
    <row r="8" spans="1:2" x14ac:dyDescent="0.25">
      <c r="A8">
        <v>2.0716239759185413</v>
      </c>
      <c r="B8">
        <v>9.4742408155452189</v>
      </c>
    </row>
    <row r="9" spans="1:2" x14ac:dyDescent="0.25">
      <c r="A9">
        <v>1.34839263358149</v>
      </c>
      <c r="B9">
        <v>19.087605380597815</v>
      </c>
    </row>
    <row r="10" spans="1:2" x14ac:dyDescent="0.25">
      <c r="A10">
        <v>2.022877261380247</v>
      </c>
      <c r="B10">
        <v>10.67288668778049</v>
      </c>
    </row>
    <row r="11" spans="1:2" x14ac:dyDescent="0.25">
      <c r="A11">
        <v>1.7343725181737939</v>
      </c>
      <c r="B11">
        <v>13.981934221839079</v>
      </c>
    </row>
    <row r="12" spans="1:2" x14ac:dyDescent="0.25">
      <c r="A12">
        <v>1.3464462633652117</v>
      </c>
      <c r="B12">
        <v>19.600716942258096</v>
      </c>
    </row>
    <row r="13" spans="1:2" x14ac:dyDescent="0.25">
      <c r="A13">
        <v>1.4431888029977955</v>
      </c>
      <c r="B13">
        <v>18.131643600145011</v>
      </c>
    </row>
    <row r="14" spans="1:2" x14ac:dyDescent="0.25">
      <c r="A14">
        <v>1.4119649820463527</v>
      </c>
      <c r="B14">
        <v>13.658044656991265</v>
      </c>
    </row>
    <row r="15" spans="1:2" x14ac:dyDescent="0.25">
      <c r="A15">
        <v>1.7425336255328083</v>
      </c>
      <c r="B15">
        <v>13.901151682712662</v>
      </c>
    </row>
    <row r="16" spans="1:2" x14ac:dyDescent="0.25">
      <c r="A16">
        <v>2.0700148788768193</v>
      </c>
      <c r="B16">
        <v>9.2246532497082292</v>
      </c>
    </row>
    <row r="17" spans="1:2" x14ac:dyDescent="0.25">
      <c r="A17">
        <v>1.5526894178534814</v>
      </c>
      <c r="B17">
        <v>14.157302835922414</v>
      </c>
    </row>
    <row r="18" spans="1:2" x14ac:dyDescent="0.25">
      <c r="A18">
        <v>2.0621193438537397</v>
      </c>
      <c r="B18">
        <v>8.1008797500668752</v>
      </c>
    </row>
    <row r="19" spans="1:2" x14ac:dyDescent="0.25">
      <c r="A19">
        <v>1.5747421228061373</v>
      </c>
      <c r="B19">
        <v>13.143407284191557</v>
      </c>
    </row>
    <row r="20" spans="1:2" x14ac:dyDescent="0.25">
      <c r="A20">
        <v>1.6816663997290362</v>
      </c>
      <c r="B20">
        <v>15.748317940983556</v>
      </c>
    </row>
    <row r="21" spans="1:2" x14ac:dyDescent="0.25">
      <c r="A21">
        <v>2.2423302273879506</v>
      </c>
      <c r="B21">
        <v>8.7782260799115193</v>
      </c>
    </row>
    <row r="22" spans="1:2" x14ac:dyDescent="0.25">
      <c r="A22">
        <v>1.4984947148011287</v>
      </c>
      <c r="B22">
        <v>16.000380619829134</v>
      </c>
    </row>
    <row r="23" spans="1:2" x14ac:dyDescent="0.25">
      <c r="A23">
        <v>1.4388998208222636</v>
      </c>
      <c r="B23">
        <v>16.529857036325094</v>
      </c>
    </row>
    <row r="24" spans="1:2" x14ac:dyDescent="0.25">
      <c r="A24">
        <v>1.8219628016479483</v>
      </c>
      <c r="B24">
        <v>8.1904049237666534</v>
      </c>
    </row>
    <row r="25" spans="1:2" x14ac:dyDescent="0.25">
      <c r="A25">
        <v>1.8645607782086819</v>
      </c>
      <c r="B25">
        <v>11.357547493764956</v>
      </c>
    </row>
    <row r="26" spans="1:2" x14ac:dyDescent="0.25">
      <c r="A26">
        <v>1.5306985233583725</v>
      </c>
      <c r="B26">
        <v>16.476750890354488</v>
      </c>
    </row>
    <row r="27" spans="1:2" x14ac:dyDescent="0.25">
      <c r="A27">
        <v>1.6153841618254212</v>
      </c>
      <c r="B27">
        <v>12.743846109456761</v>
      </c>
    </row>
    <row r="28" spans="1:2" x14ac:dyDescent="0.25">
      <c r="A28">
        <v>1.3440842541913836</v>
      </c>
      <c r="B28">
        <v>14.1059013631618</v>
      </c>
    </row>
    <row r="29" spans="1:2" x14ac:dyDescent="0.25">
      <c r="A29">
        <v>1.4836142301569835</v>
      </c>
      <c r="B29">
        <v>12.707488379712636</v>
      </c>
    </row>
    <row r="30" spans="1:2" x14ac:dyDescent="0.25">
      <c r="A30">
        <v>1.7837355713013101</v>
      </c>
      <c r="B30">
        <v>13.393517925748851</v>
      </c>
    </row>
    <row r="31" spans="1:2" x14ac:dyDescent="0.25">
      <c r="A31">
        <v>1.1700970062040161</v>
      </c>
      <c r="B31">
        <v>19.305958873988217</v>
      </c>
    </row>
    <row r="32" spans="1:2" x14ac:dyDescent="0.25">
      <c r="A32">
        <v>1.5922156876556908</v>
      </c>
      <c r="B32">
        <v>14.049592786681352</v>
      </c>
    </row>
    <row r="33" spans="1:2" x14ac:dyDescent="0.25">
      <c r="A33">
        <v>1.7623591933125506</v>
      </c>
      <c r="B33">
        <v>13.274823201144079</v>
      </c>
    </row>
    <row r="34" spans="1:2" x14ac:dyDescent="0.25">
      <c r="A34">
        <v>1.6874243003634475</v>
      </c>
      <c r="B34">
        <v>11.746299695171661</v>
      </c>
    </row>
    <row r="35" spans="1:2" x14ac:dyDescent="0.25">
      <c r="A35">
        <v>2.2160141829134097</v>
      </c>
      <c r="B35">
        <v>9.376752236095184</v>
      </c>
    </row>
    <row r="36" spans="1:2" x14ac:dyDescent="0.25">
      <c r="A36">
        <v>2.0110192541692533</v>
      </c>
      <c r="B36">
        <v>9.685327555297139</v>
      </c>
    </row>
    <row r="37" spans="1:2" x14ac:dyDescent="0.25">
      <c r="A37">
        <v>1.7951902189727305</v>
      </c>
      <c r="B37">
        <v>11.015021104151524</v>
      </c>
    </row>
    <row r="38" spans="1:2" x14ac:dyDescent="0.25">
      <c r="A38">
        <v>1.7213295279365151</v>
      </c>
      <c r="B38">
        <v>12.411607929440612</v>
      </c>
    </row>
    <row r="39" spans="1:2" x14ac:dyDescent="0.25">
      <c r="A39">
        <v>1.0679604961150742</v>
      </c>
      <c r="B39">
        <v>16.786858641551344</v>
      </c>
    </row>
    <row r="40" spans="1:2" x14ac:dyDescent="0.25">
      <c r="A40">
        <v>1.7487877519597157</v>
      </c>
      <c r="B40">
        <v>12.258592303838963</v>
      </c>
    </row>
    <row r="41" spans="1:2" x14ac:dyDescent="0.25">
      <c r="A41">
        <v>1.8301006409071789</v>
      </c>
      <c r="B41">
        <v>10.757106413598672</v>
      </c>
    </row>
    <row r="42" spans="1:2" x14ac:dyDescent="0.25">
      <c r="A42">
        <v>1.5527127410968506</v>
      </c>
      <c r="B42">
        <v>14.120719865414035</v>
      </c>
    </row>
    <row r="43" spans="1:2" x14ac:dyDescent="0.25">
      <c r="A43">
        <v>1.7851648345188409</v>
      </c>
      <c r="B43">
        <v>12.042695415783028</v>
      </c>
    </row>
    <row r="44" spans="1:2" x14ac:dyDescent="0.25">
      <c r="A44">
        <v>1.7036349123497754</v>
      </c>
      <c r="B44">
        <v>12.826020662727146</v>
      </c>
    </row>
    <row r="45" spans="1:2" x14ac:dyDescent="0.25">
      <c r="A45">
        <v>1.7083215295234151</v>
      </c>
      <c r="B45">
        <v>10.728461735118392</v>
      </c>
    </row>
    <row r="46" spans="1:2" x14ac:dyDescent="0.25">
      <c r="A46">
        <v>1.6009079822403811</v>
      </c>
      <c r="B46">
        <v>14.724673424359946</v>
      </c>
    </row>
    <row r="47" spans="1:2" x14ac:dyDescent="0.25">
      <c r="A47">
        <v>1.6844490242364629</v>
      </c>
      <c r="B47">
        <v>12.244806355753436</v>
      </c>
    </row>
    <row r="48" spans="1:2" x14ac:dyDescent="0.25">
      <c r="A48">
        <v>1.9769087906103668</v>
      </c>
      <c r="B48">
        <v>8.5132266623475878</v>
      </c>
    </row>
    <row r="49" spans="1:2" x14ac:dyDescent="0.25">
      <c r="A49">
        <v>1.3010565885823198</v>
      </c>
      <c r="B49">
        <v>15.280571282443875</v>
      </c>
    </row>
    <row r="50" spans="1:2" x14ac:dyDescent="0.25">
      <c r="A50">
        <v>1.8029915349419015</v>
      </c>
      <c r="B50">
        <v>10.12025821077709</v>
      </c>
    </row>
    <row r="51" spans="1:2" x14ac:dyDescent="0.25">
      <c r="A51">
        <v>1.9453798905953554</v>
      </c>
      <c r="B51">
        <v>12.071144330798823</v>
      </c>
    </row>
    <row r="52" spans="1:2" x14ac:dyDescent="0.25">
      <c r="A52">
        <v>1.8307682515150421</v>
      </c>
      <c r="B52">
        <v>12.078782617568931</v>
      </c>
    </row>
    <row r="53" spans="1:2" x14ac:dyDescent="0.25">
      <c r="A53">
        <v>1.9210659955598193</v>
      </c>
      <c r="B53">
        <v>13.188127397793167</v>
      </c>
    </row>
    <row r="54" spans="1:2" x14ac:dyDescent="0.25">
      <c r="A54">
        <v>2.0096642153068669</v>
      </c>
      <c r="B54">
        <v>8.4030076847639599</v>
      </c>
    </row>
    <row r="55" spans="1:2" x14ac:dyDescent="0.25">
      <c r="A55">
        <v>1.506766836950898</v>
      </c>
      <c r="B55">
        <v>13.021877566221997</v>
      </c>
    </row>
    <row r="56" spans="1:2" x14ac:dyDescent="0.25">
      <c r="A56">
        <v>2.0539125217827068</v>
      </c>
      <c r="B56">
        <v>8.3403986650995847</v>
      </c>
    </row>
    <row r="57" spans="1:2" x14ac:dyDescent="0.25">
      <c r="A57">
        <v>1.5474627002653643</v>
      </c>
      <c r="B57">
        <v>13.234917079866152</v>
      </c>
    </row>
    <row r="58" spans="1:2" x14ac:dyDescent="0.25">
      <c r="A58">
        <v>1.6648535693543249</v>
      </c>
      <c r="B58">
        <v>12.096566661885625</v>
      </c>
    </row>
    <row r="59" spans="1:2" x14ac:dyDescent="0.25">
      <c r="A59">
        <v>1.8850865778700705</v>
      </c>
      <c r="B59">
        <v>9.2426073801685682</v>
      </c>
    </row>
    <row r="60" spans="1:2" x14ac:dyDescent="0.25">
      <c r="A60">
        <v>1.4798781856941037</v>
      </c>
      <c r="B60">
        <v>14.443138321960497</v>
      </c>
    </row>
    <row r="61" spans="1:2" x14ac:dyDescent="0.25">
      <c r="A61">
        <v>1.9066335417295348</v>
      </c>
      <c r="B61">
        <v>12.845690858816722</v>
      </c>
    </row>
    <row r="62" spans="1:2" x14ac:dyDescent="0.25">
      <c r="A62">
        <v>1.8970865615010708</v>
      </c>
      <c r="B62">
        <v>11.245837589538473</v>
      </c>
    </row>
    <row r="63" spans="1:2" x14ac:dyDescent="0.25">
      <c r="A63">
        <v>2.053700774649474</v>
      </c>
      <c r="B63">
        <v>14.230929950179245</v>
      </c>
    </row>
    <row r="64" spans="1:2" x14ac:dyDescent="0.25">
      <c r="A64">
        <v>1.8772351011890172</v>
      </c>
      <c r="B64">
        <v>11.433356706633338</v>
      </c>
    </row>
    <row r="65" spans="1:2" x14ac:dyDescent="0.25">
      <c r="A65">
        <v>1.9404473725392788</v>
      </c>
      <c r="B65">
        <v>11.058078576691596</v>
      </c>
    </row>
    <row r="66" spans="1:2" x14ac:dyDescent="0.25">
      <c r="A66">
        <v>2.0642789258731176</v>
      </c>
      <c r="B66">
        <v>5.4960111059258612</v>
      </c>
    </row>
    <row r="67" spans="1:2" x14ac:dyDescent="0.25">
      <c r="A67">
        <v>2.4105596173171677</v>
      </c>
      <c r="B67">
        <v>7.5310673020255559</v>
      </c>
    </row>
    <row r="68" spans="1:2" x14ac:dyDescent="0.25">
      <c r="A68">
        <v>2.2756805834760367</v>
      </c>
      <c r="B68">
        <v>4.9664211555432125</v>
      </c>
    </row>
    <row r="69" spans="1:2" x14ac:dyDescent="0.25">
      <c r="A69">
        <v>1.778580467541991</v>
      </c>
      <c r="B69">
        <v>11.426342564254766</v>
      </c>
    </row>
    <row r="70" spans="1:2" x14ac:dyDescent="0.25">
      <c r="A70">
        <v>1.7110171421536344</v>
      </c>
      <c r="B70">
        <v>14.037032082783357</v>
      </c>
    </row>
    <row r="71" spans="1:2" x14ac:dyDescent="0.25">
      <c r="A71">
        <v>1.7897463282157027</v>
      </c>
      <c r="B71">
        <v>14.356082838387675</v>
      </c>
    </row>
    <row r="72" spans="1:2" x14ac:dyDescent="0.25">
      <c r="A72">
        <v>1.5555907427222402</v>
      </c>
      <c r="B72">
        <v>12.561063266090997</v>
      </c>
    </row>
    <row r="73" spans="1:2" x14ac:dyDescent="0.25">
      <c r="A73">
        <v>1.7668227825002456</v>
      </c>
      <c r="B73">
        <v>10.48505204804367</v>
      </c>
    </row>
    <row r="74" spans="1:2" x14ac:dyDescent="0.25">
      <c r="A74">
        <v>2.1196517614448918</v>
      </c>
      <c r="B74">
        <v>8.6145642722141602</v>
      </c>
    </row>
    <row r="75" spans="1:2" x14ac:dyDescent="0.25">
      <c r="A75">
        <v>2.2319856976553831</v>
      </c>
      <c r="B75">
        <v>8.9242062083603635</v>
      </c>
    </row>
    <row r="76" spans="1:2" x14ac:dyDescent="0.25">
      <c r="A76">
        <v>1.0816404834710407</v>
      </c>
      <c r="B76">
        <v>17.078472827173346</v>
      </c>
    </row>
    <row r="77" spans="1:2" x14ac:dyDescent="0.25">
      <c r="A77">
        <v>1.768993051820767</v>
      </c>
      <c r="B77">
        <v>11.531035244160019</v>
      </c>
    </row>
    <row r="78" spans="1:2" x14ac:dyDescent="0.25">
      <c r="A78">
        <v>2.0901047679917379</v>
      </c>
      <c r="B78">
        <v>10.743470680203355</v>
      </c>
    </row>
    <row r="79" spans="1:2" x14ac:dyDescent="0.25">
      <c r="A79">
        <v>1.6970050692746301</v>
      </c>
      <c r="B79">
        <v>10.495091731601599</v>
      </c>
    </row>
    <row r="80" spans="1:2" x14ac:dyDescent="0.25">
      <c r="A80">
        <v>1.9406658490647621</v>
      </c>
      <c r="B80">
        <v>9.1411324774961198</v>
      </c>
    </row>
    <row r="81" spans="1:2" x14ac:dyDescent="0.25">
      <c r="A81">
        <v>1.8300849152686753</v>
      </c>
      <c r="B81">
        <v>10.561222432433443</v>
      </c>
    </row>
    <row r="82" spans="1:2" x14ac:dyDescent="0.25">
      <c r="A82">
        <v>1.7503519482505288</v>
      </c>
      <c r="B82">
        <v>11.325941251969038</v>
      </c>
    </row>
    <row r="83" spans="1:2" x14ac:dyDescent="0.25">
      <c r="A83">
        <v>1.6662853995105049</v>
      </c>
      <c r="B83">
        <v>15.609445226752008</v>
      </c>
    </row>
    <row r="84" spans="1:2" x14ac:dyDescent="0.25">
      <c r="A84">
        <v>1.4665171981248044</v>
      </c>
      <c r="B84">
        <v>17.066528719469936</v>
      </c>
    </row>
    <row r="85" spans="1:2" x14ac:dyDescent="0.25">
      <c r="A85">
        <v>1.6509211188853643</v>
      </c>
      <c r="B85">
        <v>13.876841459981001</v>
      </c>
    </row>
    <row r="86" spans="1:2" x14ac:dyDescent="0.25">
      <c r="A86">
        <v>0.99673565668717667</v>
      </c>
      <c r="B86">
        <v>20.964940518212654</v>
      </c>
    </row>
    <row r="87" spans="1:2" x14ac:dyDescent="0.25">
      <c r="A87">
        <v>1.5280194075611586</v>
      </c>
      <c r="B87">
        <v>15.051758845119611</v>
      </c>
    </row>
    <row r="88" spans="1:2" x14ac:dyDescent="0.25">
      <c r="A88">
        <v>1.7740206735483086</v>
      </c>
      <c r="B88">
        <v>9.4892980874817887</v>
      </c>
    </row>
    <row r="89" spans="1:2" x14ac:dyDescent="0.25">
      <c r="A89">
        <v>1.846019122569019</v>
      </c>
      <c r="B89">
        <v>10.546482735396273</v>
      </c>
    </row>
    <row r="90" spans="1:2" x14ac:dyDescent="0.25">
      <c r="A90">
        <v>1.7914320533717989</v>
      </c>
      <c r="B90">
        <v>14.506748257478138</v>
      </c>
    </row>
    <row r="91" spans="1:2" x14ac:dyDescent="0.25">
      <c r="A91">
        <v>1.4109963779288459</v>
      </c>
      <c r="B91">
        <v>14.37198996827451</v>
      </c>
    </row>
    <row r="92" spans="1:2" x14ac:dyDescent="0.25">
      <c r="A92">
        <v>1.7287054205476309</v>
      </c>
      <c r="B92">
        <v>13.879514585218079</v>
      </c>
    </row>
    <row r="93" spans="1:2" x14ac:dyDescent="0.25">
      <c r="A93">
        <v>1.8414513732337712</v>
      </c>
      <c r="B93">
        <v>13.493758093206306</v>
      </c>
    </row>
    <row r="94" spans="1:2" x14ac:dyDescent="0.25">
      <c r="A94">
        <v>1.7054655229420717</v>
      </c>
      <c r="B94">
        <v>17.185360039973446</v>
      </c>
    </row>
    <row r="95" spans="1:2" x14ac:dyDescent="0.25">
      <c r="A95">
        <v>1.8303686998054149</v>
      </c>
      <c r="B95">
        <v>10.660021932438102</v>
      </c>
    </row>
    <row r="96" spans="1:2" x14ac:dyDescent="0.25">
      <c r="A96">
        <v>1.568988269472503</v>
      </c>
      <c r="B96">
        <v>13.76706013240134</v>
      </c>
    </row>
    <row r="97" spans="1:2" x14ac:dyDescent="0.25">
      <c r="A97">
        <v>1.3040086713487393</v>
      </c>
      <c r="B97">
        <v>16.898623992709084</v>
      </c>
    </row>
    <row r="98" spans="1:2" x14ac:dyDescent="0.25">
      <c r="A98">
        <v>1.6318962138299329</v>
      </c>
      <c r="B98">
        <v>12.648294589156828</v>
      </c>
    </row>
    <row r="99" spans="1:2" x14ac:dyDescent="0.25">
      <c r="A99">
        <v>1.8333086682566975</v>
      </c>
      <c r="B99">
        <v>10.050405232916779</v>
      </c>
    </row>
    <row r="100" spans="1:2" x14ac:dyDescent="0.25">
      <c r="A100">
        <v>1.7180852309614978</v>
      </c>
      <c r="B100">
        <v>12.365882160207253</v>
      </c>
    </row>
    <row r="101" spans="1:2" x14ac:dyDescent="0.25">
      <c r="A101">
        <v>2.3393244023151789</v>
      </c>
      <c r="B101">
        <v>9.6831828852066906</v>
      </c>
    </row>
    <row r="102" spans="1:2" x14ac:dyDescent="0.25">
      <c r="A102">
        <v>1.7435186207825755</v>
      </c>
      <c r="B102">
        <v>14.758068437083491</v>
      </c>
    </row>
    <row r="103" spans="1:2" x14ac:dyDescent="0.25">
      <c r="A103">
        <v>1.7535779667131925</v>
      </c>
      <c r="B103">
        <v>10.826056734354861</v>
      </c>
    </row>
    <row r="104" spans="1:2" x14ac:dyDescent="0.25">
      <c r="A104">
        <v>1.2570207519614376</v>
      </c>
      <c r="B104">
        <v>18.485801850899044</v>
      </c>
    </row>
    <row r="105" spans="1:2" x14ac:dyDescent="0.25">
      <c r="A105">
        <v>1.9481549273429206</v>
      </c>
      <c r="B105">
        <v>11.83286342680652</v>
      </c>
    </row>
    <row r="106" spans="1:2" x14ac:dyDescent="0.25">
      <c r="A106">
        <v>1.6005475456668481</v>
      </c>
      <c r="B106">
        <v>11.469240503780444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Por-Perm-Logs</vt:lpstr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2020-10-14T18:16:59Z</dcterms:modified>
</cp:coreProperties>
</file>