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rr\Desktop\"/>
    </mc:Choice>
  </mc:AlternateContent>
  <xr:revisionPtr revIDLastSave="0" documentId="13_ncr:1_{9F21A760-08E6-4FAD-8275-E5769C1AB119}" xr6:coauthVersionLast="47" xr6:coauthVersionMax="47" xr10:uidLastSave="{00000000-0000-0000-0000-000000000000}"/>
  <bookViews>
    <workbookView xWindow="1800" yWindow="900" windowWidth="25020" windowHeight="13605" autoFilterDateGrouping="0" xr2:uid="{F8E666AE-A0F7-D74A-A1C3-F08D8C71826C}"/>
  </bookViews>
  <sheets>
    <sheet name="KingCoReferences" sheetId="1" r:id="rId1"/>
    <sheet name="BMP Crosswalk" sheetId="5" r:id="rId2"/>
    <sheet name="Lookup" sheetId="3" r:id="rId3"/>
  </sheets>
  <definedNames>
    <definedName name="basis_year">#REF!</definedName>
    <definedName name="capital_basis_year">#REF!</definedName>
    <definedName name="capital_cost">#REF!</definedName>
    <definedName name="capital_discount_factor">#REF!</definedName>
    <definedName name="discount_rate">#REF!</definedName>
    <definedName name="install_date">#REF!</definedName>
    <definedName name="install_year">#REF!</definedName>
    <definedName name="lifespan_yrs">#REF!</definedName>
    <definedName name="n">#REF!</definedName>
    <definedName name="om_basis_year">#REF!</definedName>
    <definedName name="om_cost_per_yr">#REF!</definedName>
    <definedName name="om_discount_factor">#REF!</definedName>
    <definedName name="planning_horizon_yrs">#REF!</definedName>
    <definedName name="property_cost">#REF!</definedName>
    <definedName name="replacement_co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1" l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C2" i="1" a="1"/>
  <c r="C2" i="1" s="1"/>
  <c r="C3" i="1" a="1"/>
  <c r="C3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43" i="1" a="1"/>
  <c r="C43" i="1" s="1"/>
  <c r="C44" i="1" a="1"/>
  <c r="C44" i="1" s="1"/>
  <c r="C45" i="1" a="1"/>
  <c r="C45" i="1" s="1"/>
  <c r="C46" i="1" a="1"/>
  <c r="C46" i="1" s="1"/>
  <c r="C47" i="1" a="1"/>
  <c r="C47" i="1" s="1"/>
  <c r="C48" i="1" a="1"/>
  <c r="C48" i="1" s="1"/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2" i="5"/>
  <c r="B2" i="5" s="1"/>
  <c r="B2" i="1" s="1" a="1"/>
  <c r="B2" i="1" s="1"/>
  <c r="G3" i="5"/>
  <c r="B3" i="5" s="1"/>
  <c r="B3" i="1" s="1" a="1"/>
  <c r="B3" i="1" s="1"/>
  <c r="G4" i="5"/>
  <c r="B4" i="5" s="1"/>
  <c r="B4" i="1" s="1" a="1"/>
  <c r="B4" i="1" s="1"/>
  <c r="G5" i="5"/>
  <c r="B5" i="5" s="1"/>
  <c r="B5" i="1" s="1" a="1"/>
  <c r="B5" i="1" s="1"/>
  <c r="G6" i="5"/>
  <c r="C6" i="5" s="1"/>
  <c r="G7" i="5"/>
  <c r="B7" i="5" s="1"/>
  <c r="B7" i="1" s="1" a="1"/>
  <c r="B7" i="1" s="1"/>
  <c r="G8" i="5"/>
  <c r="B8" i="5" s="1"/>
  <c r="B8" i="1" s="1" a="1"/>
  <c r="B8" i="1" s="1"/>
  <c r="G9" i="5"/>
  <c r="B9" i="5" s="1"/>
  <c r="B9" i="1" s="1" a="1"/>
  <c r="B9" i="1" s="1"/>
  <c r="G10" i="5"/>
  <c r="C10" i="5" s="1"/>
  <c r="G11" i="5"/>
  <c r="C11" i="5" s="1"/>
  <c r="G12" i="5"/>
  <c r="B12" i="5" s="1"/>
  <c r="B12" i="1" s="1" a="1"/>
  <c r="B12" i="1" s="1"/>
  <c r="G13" i="5"/>
  <c r="B13" i="5" s="1"/>
  <c r="B13" i="1" s="1" a="1"/>
  <c r="B13" i="1" s="1"/>
  <c r="G14" i="5"/>
  <c r="B14" i="5" s="1"/>
  <c r="B14" i="1" s="1" a="1"/>
  <c r="B14" i="1" s="1"/>
  <c r="G15" i="5"/>
  <c r="B15" i="5" s="1"/>
  <c r="B15" i="1" s="1" a="1"/>
  <c r="B15" i="1" s="1"/>
  <c r="G16" i="5"/>
  <c r="B16" i="5" s="1"/>
  <c r="B16" i="1" s="1" a="1"/>
  <c r="B16" i="1" s="1"/>
  <c r="G17" i="5"/>
  <c r="B17" i="5" s="1"/>
  <c r="B17" i="1" s="1" a="1"/>
  <c r="B17" i="1" s="1"/>
  <c r="G18" i="5"/>
  <c r="B18" i="5" s="1"/>
  <c r="B18" i="1" s="1" a="1"/>
  <c r="B18" i="1" s="1"/>
  <c r="G19" i="5"/>
  <c r="B19" i="5" s="1"/>
  <c r="B19" i="1" s="1" a="1"/>
  <c r="B19" i="1" s="1"/>
  <c r="G20" i="5"/>
  <c r="C20" i="5" s="1"/>
  <c r="G21" i="5"/>
  <c r="B21" i="5" s="1"/>
  <c r="B21" i="1" s="1" a="1"/>
  <c r="B21" i="1" s="1"/>
  <c r="G22" i="5"/>
  <c r="B22" i="5" s="1"/>
  <c r="B22" i="1" s="1" a="1"/>
  <c r="B22" i="1" s="1"/>
  <c r="G23" i="5"/>
  <c r="B23" i="5" s="1"/>
  <c r="B23" i="1" s="1" a="1"/>
  <c r="B23" i="1" s="1"/>
  <c r="G24" i="5"/>
  <c r="B24" i="5" s="1"/>
  <c r="B24" i="1" s="1" a="1"/>
  <c r="B24" i="1" s="1"/>
  <c r="G25" i="5"/>
  <c r="B25" i="5" s="1"/>
  <c r="B25" i="1" s="1" a="1"/>
  <c r="B25" i="1" s="1"/>
  <c r="G26" i="5"/>
  <c r="B26" i="5" s="1"/>
  <c r="B26" i="1" s="1" a="1"/>
  <c r="B26" i="1" s="1"/>
  <c r="G27" i="5"/>
  <c r="B27" i="5" s="1"/>
  <c r="B27" i="1" s="1" a="1"/>
  <c r="B27" i="1" s="1"/>
  <c r="G28" i="5"/>
  <c r="B28" i="5" s="1"/>
  <c r="B28" i="1" s="1" a="1"/>
  <c r="B28" i="1" s="1"/>
  <c r="G47" i="5"/>
  <c r="B47" i="5" s="1"/>
  <c r="B29" i="1" s="1" a="1"/>
  <c r="B29" i="1" s="1"/>
  <c r="G48" i="5"/>
  <c r="B48" i="5" s="1"/>
  <c r="B30" i="1" s="1" a="1"/>
  <c r="B30" i="1" s="1"/>
  <c r="G29" i="5"/>
  <c r="B29" i="5" s="1"/>
  <c r="B31" i="1" s="1" a="1"/>
  <c r="B31" i="1" s="1"/>
  <c r="G30" i="5"/>
  <c r="B30" i="5" s="1"/>
  <c r="B32" i="1" s="1" a="1"/>
  <c r="B32" i="1" s="1"/>
  <c r="G31" i="5"/>
  <c r="B31" i="5" s="1"/>
  <c r="B33" i="1" s="1" a="1"/>
  <c r="B33" i="1" s="1"/>
  <c r="G32" i="5"/>
  <c r="B32" i="5" s="1"/>
  <c r="B34" i="1" s="1" a="1"/>
  <c r="B34" i="1" s="1"/>
  <c r="G33" i="5"/>
  <c r="B33" i="5" s="1"/>
  <c r="B35" i="1" s="1" a="1"/>
  <c r="B35" i="1" s="1"/>
  <c r="G34" i="5"/>
  <c r="B34" i="5" s="1"/>
  <c r="B36" i="1" s="1" a="1"/>
  <c r="B36" i="1" s="1"/>
  <c r="G35" i="5"/>
  <c r="B35" i="5" s="1"/>
  <c r="B37" i="1" s="1" a="1"/>
  <c r="B37" i="1" s="1"/>
  <c r="G36" i="5"/>
  <c r="B36" i="5" s="1"/>
  <c r="B38" i="1" s="1" a="1"/>
  <c r="B38" i="1" s="1"/>
  <c r="G37" i="5"/>
  <c r="B37" i="5" s="1"/>
  <c r="B39" i="1" s="1" a="1"/>
  <c r="B39" i="1" s="1"/>
  <c r="G38" i="5"/>
  <c r="B38" i="5" s="1"/>
  <c r="B40" i="1" s="1" a="1"/>
  <c r="B40" i="1" s="1"/>
  <c r="G39" i="5"/>
  <c r="C39" i="5" s="1"/>
  <c r="G40" i="5"/>
  <c r="B40" i="5" s="1"/>
  <c r="B42" i="1" s="1" a="1"/>
  <c r="B42" i="1" s="1"/>
  <c r="G41" i="5"/>
  <c r="B41" i="5" s="1"/>
  <c r="B43" i="1" s="1" a="1"/>
  <c r="B43" i="1" s="1"/>
  <c r="G42" i="5"/>
  <c r="B42" i="5" s="1"/>
  <c r="B44" i="1" s="1" a="1"/>
  <c r="B44" i="1" s="1"/>
  <c r="G43" i="5"/>
  <c r="B43" i="5" s="1"/>
  <c r="B45" i="1" s="1" a="1"/>
  <c r="B45" i="1" s="1"/>
  <c r="G44" i="5"/>
  <c r="B44" i="5" s="1"/>
  <c r="B46" i="1" s="1" a="1"/>
  <c r="B46" i="1" s="1"/>
  <c r="G45" i="5"/>
  <c r="B45" i="5" s="1"/>
  <c r="B47" i="1" s="1" a="1"/>
  <c r="B47" i="1" s="1"/>
  <c r="G46" i="5"/>
  <c r="B46" i="5" s="1"/>
  <c r="B48" i="1" s="1" a="1"/>
  <c r="B48" i="1" s="1"/>
  <c r="Q33" i="1" l="1"/>
  <c r="S33" i="1"/>
  <c r="P33" i="1"/>
  <c r="R33" i="1" s="1"/>
  <c r="Q44" i="1"/>
  <c r="S44" i="1"/>
  <c r="P44" i="1"/>
  <c r="R44" i="1" s="1"/>
  <c r="S4" i="1"/>
  <c r="P4" i="1"/>
  <c r="Q4" i="1"/>
  <c r="Q8" i="1"/>
  <c r="S8" i="1"/>
  <c r="P8" i="1"/>
  <c r="R8" i="1" s="1"/>
  <c r="S43" i="1"/>
  <c r="P43" i="1"/>
  <c r="Q43" i="1"/>
  <c r="S23" i="1"/>
  <c r="Q23" i="1"/>
  <c r="P23" i="1"/>
  <c r="R23" i="1" s="1"/>
  <c r="S3" i="1"/>
  <c r="P3" i="1"/>
  <c r="R3" i="1" s="1"/>
  <c r="Q3" i="1"/>
  <c r="Q29" i="1"/>
  <c r="P29" i="1"/>
  <c r="R29" i="1" s="1"/>
  <c r="S29" i="1"/>
  <c r="Q6" i="1"/>
  <c r="P6" i="1"/>
  <c r="R6" i="1" s="1"/>
  <c r="S6" i="1"/>
  <c r="S2" i="1"/>
  <c r="P2" i="1"/>
  <c r="Q2" i="1"/>
  <c r="P12" i="1"/>
  <c r="S12" i="1"/>
  <c r="Q12" i="1"/>
  <c r="Q9" i="1"/>
  <c r="P9" i="1"/>
  <c r="R9" i="1" s="1"/>
  <c r="S9" i="1"/>
  <c r="P26" i="1"/>
  <c r="Q26" i="1"/>
  <c r="S26" i="1"/>
  <c r="S30" i="1"/>
  <c r="Q30" i="1"/>
  <c r="P30" i="1"/>
  <c r="R30" i="1" s="1"/>
  <c r="Q7" i="1"/>
  <c r="S7" i="1"/>
  <c r="P7" i="1"/>
  <c r="R7" i="1" s="1"/>
  <c r="P13" i="1"/>
  <c r="Q13" i="1"/>
  <c r="S13" i="1"/>
  <c r="Q31" i="1"/>
  <c r="P31" i="1"/>
  <c r="S31" i="1"/>
  <c r="P25" i="1"/>
  <c r="Q25" i="1"/>
  <c r="S25" i="1"/>
  <c r="Q28" i="1"/>
  <c r="S28" i="1"/>
  <c r="P28" i="1"/>
  <c r="R28" i="1" s="1"/>
  <c r="P47" i="1"/>
  <c r="Q47" i="1"/>
  <c r="S47" i="1"/>
  <c r="P46" i="1"/>
  <c r="Q46" i="1"/>
  <c r="S46" i="1"/>
  <c r="S5" i="1"/>
  <c r="Q5" i="1"/>
  <c r="P5" i="1"/>
  <c r="R5" i="1" s="1"/>
  <c r="S42" i="1"/>
  <c r="P42" i="1"/>
  <c r="Q42" i="1"/>
  <c r="S20" i="1"/>
  <c r="Q20" i="1"/>
  <c r="P20" i="1"/>
  <c r="R20" i="1" s="1"/>
  <c r="S34" i="1"/>
  <c r="P34" i="1"/>
  <c r="Q34" i="1"/>
  <c r="P11" i="1"/>
  <c r="Q11" i="1"/>
  <c r="S11" i="1"/>
  <c r="P45" i="1"/>
  <c r="Q45" i="1"/>
  <c r="S45" i="1"/>
  <c r="Q24" i="1"/>
  <c r="S24" i="1"/>
  <c r="P24" i="1"/>
  <c r="R24" i="1" s="1"/>
  <c r="P21" i="1"/>
  <c r="S21" i="1"/>
  <c r="Q21" i="1"/>
  <c r="S39" i="1"/>
  <c r="P39" i="1"/>
  <c r="Q39" i="1"/>
  <c r="Q38" i="1"/>
  <c r="S38" i="1"/>
  <c r="P38" i="1"/>
  <c r="R38" i="1" s="1"/>
  <c r="S17" i="1"/>
  <c r="Q17" i="1"/>
  <c r="P17" i="1"/>
  <c r="P32" i="1"/>
  <c r="S32" i="1"/>
  <c r="Q32" i="1"/>
  <c r="P27" i="1"/>
  <c r="R27" i="1" s="1"/>
  <c r="S27" i="1"/>
  <c r="Q27" i="1"/>
  <c r="P40" i="1"/>
  <c r="Q40" i="1"/>
  <c r="S40" i="1"/>
  <c r="S19" i="1"/>
  <c r="Q19" i="1"/>
  <c r="P19" i="1"/>
  <c r="R19" i="1" s="1"/>
  <c r="S18" i="1"/>
  <c r="Q18" i="1"/>
  <c r="P18" i="1"/>
  <c r="R18" i="1" s="1"/>
  <c r="S37" i="1"/>
  <c r="P37" i="1"/>
  <c r="Q37" i="1"/>
  <c r="Q36" i="1"/>
  <c r="P36" i="1"/>
  <c r="R36" i="1" s="1"/>
  <c r="S36" i="1"/>
  <c r="S16" i="1"/>
  <c r="P16" i="1"/>
  <c r="Q16" i="1"/>
  <c r="Q14" i="1"/>
  <c r="S14" i="1"/>
  <c r="P14" i="1"/>
  <c r="R14" i="1" s="1"/>
  <c r="P10" i="1"/>
  <c r="Q10" i="1"/>
  <c r="S10" i="1"/>
  <c r="Q48" i="1"/>
  <c r="S48" i="1"/>
  <c r="P48" i="1"/>
  <c r="R48" i="1" s="1"/>
  <c r="S22" i="1"/>
  <c r="P22" i="1"/>
  <c r="Q22" i="1"/>
  <c r="P41" i="1"/>
  <c r="Q41" i="1"/>
  <c r="S41" i="1"/>
  <c r="Q35" i="1"/>
  <c r="S35" i="1"/>
  <c r="P35" i="1"/>
  <c r="R35" i="1" s="1"/>
  <c r="Q15" i="1"/>
  <c r="P15" i="1"/>
  <c r="R15" i="1" s="1"/>
  <c r="S15" i="1"/>
  <c r="B20" i="5"/>
  <c r="B20" i="1" s="1" a="1"/>
  <c r="B20" i="1" s="1"/>
  <c r="C12" i="5"/>
  <c r="B6" i="5"/>
  <c r="B6" i="1" s="1" a="1"/>
  <c r="B6" i="1" s="1"/>
  <c r="C47" i="5"/>
  <c r="C9" i="5"/>
  <c r="C32" i="5"/>
  <c r="C30" i="5"/>
  <c r="B11" i="5"/>
  <c r="B11" i="1" s="1" a="1"/>
  <c r="B11" i="1" s="1"/>
  <c r="C29" i="5"/>
  <c r="B10" i="5"/>
  <c r="B10" i="1" s="1" a="1"/>
  <c r="B10" i="1" s="1"/>
  <c r="C48" i="5"/>
  <c r="C46" i="5"/>
  <c r="C28" i="5"/>
  <c r="C8" i="5"/>
  <c r="C13" i="5"/>
  <c r="C44" i="5"/>
  <c r="C26" i="5"/>
  <c r="C43" i="5"/>
  <c r="C25" i="5"/>
  <c r="C5" i="5"/>
  <c r="C42" i="5"/>
  <c r="C24" i="5"/>
  <c r="C4" i="5"/>
  <c r="C41" i="5"/>
  <c r="C23" i="5"/>
  <c r="C3" i="5"/>
  <c r="B39" i="5"/>
  <c r="B41" i="1" s="1" a="1"/>
  <c r="B41" i="1" s="1"/>
  <c r="C38" i="5"/>
  <c r="C37" i="5"/>
  <c r="C19" i="5"/>
  <c r="C31" i="5"/>
  <c r="C21" i="5"/>
  <c r="C45" i="5"/>
  <c r="C7" i="5"/>
  <c r="C40" i="5"/>
  <c r="C22" i="5"/>
  <c r="C2" i="5"/>
  <c r="C36" i="5"/>
  <c r="C18" i="5"/>
  <c r="C35" i="5"/>
  <c r="C17" i="5"/>
  <c r="C27" i="5"/>
  <c r="C34" i="5"/>
  <c r="C16" i="5"/>
  <c r="C14" i="5"/>
  <c r="C33" i="5"/>
  <c r="C15" i="5"/>
  <c r="R31" i="1" l="1"/>
  <c r="R17" i="1"/>
  <c r="R37" i="1"/>
  <c r="R4" i="1"/>
  <c r="R42" i="1"/>
  <c r="R47" i="1"/>
  <c r="R21" i="1"/>
  <c r="R39" i="1"/>
  <c r="R13" i="1"/>
  <c r="R43" i="1"/>
  <c r="R45" i="1"/>
  <c r="R16" i="1"/>
  <c r="R34" i="1"/>
  <c r="R12" i="1"/>
  <c r="R26" i="1"/>
  <c r="R25" i="1"/>
  <c r="R11" i="1"/>
  <c r="R2" i="1"/>
  <c r="R41" i="1"/>
  <c r="R22" i="1"/>
  <c r="R40" i="1"/>
  <c r="R32" i="1"/>
  <c r="R10" i="1"/>
  <c r="R46" i="1"/>
  <c r="C16" i="3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<sst xmlns="http://schemas.openxmlformats.org/spreadsheetml/2006/main" count="404" uniqueCount="119">
  <si>
    <t>Description</t>
  </si>
  <si>
    <t>Action Unit</t>
  </si>
  <si>
    <t>Total Direct Construction Cost</t>
  </si>
  <si>
    <t>Property Acquisition Cost</t>
  </si>
  <si>
    <t>Total Indirect Non-Construction Cost</t>
  </si>
  <si>
    <t>Total</t>
  </si>
  <si>
    <t>O&amp;M Costs (annual) (e)</t>
  </si>
  <si>
    <t>Net Present Value</t>
  </si>
  <si>
    <t>Green Stormwater Infrastructure (GSI)</t>
  </si>
  <si>
    <t>Rain Garden Installation</t>
  </si>
  <si>
    <t>WQBE 01_Rain Garden Installation on Property</t>
  </si>
  <si>
    <t>25 SF</t>
  </si>
  <si>
    <t>Bioretention Planter Installation</t>
  </si>
  <si>
    <t>WQBE 02A_Bioretention Planter on Property</t>
  </si>
  <si>
    <t>WQBE_02B_Bioretention Planter in ROW</t>
  </si>
  <si>
    <t>WQBE_02C_Bioretention Planter with Property Cost</t>
  </si>
  <si>
    <t>Bioretention Installation</t>
  </si>
  <si>
    <t>WQBE_03A_Bioretention Underdrain on Property</t>
  </si>
  <si>
    <t>85 SF</t>
  </si>
  <si>
    <t>WQBE_03Aa_Bioretention Underdrain with Property Cost</t>
  </si>
  <si>
    <t>WQBE_03B_Bioretention No Underdrain on Property</t>
  </si>
  <si>
    <t>WQBE_03Bb_Bioretention No Underdrain with Property Cost</t>
  </si>
  <si>
    <t>WQBE_03C_Bioretention Underdrain in ROW</t>
  </si>
  <si>
    <t>WQBE_03D_Bioretention No Underdrain in ROW</t>
  </si>
  <si>
    <t>Bioswale Installation</t>
  </si>
  <si>
    <t>WQBE_04A_Bioswale in ROW</t>
  </si>
  <si>
    <t>200 SF</t>
  </si>
  <si>
    <t>WQBE_04B_Bioswale on Public Property</t>
  </si>
  <si>
    <t>WQBE_04C_Bioswale with Property Cost</t>
  </si>
  <si>
    <t>Media Filter Drains</t>
  </si>
  <si>
    <t>WQBE_05A_Media Filter Drain Underdrain</t>
  </si>
  <si>
    <t>WQBE_05B_Media Filter Drain No Underdrain</t>
  </si>
  <si>
    <t>Drywell</t>
  </si>
  <si>
    <t>WQBE_06_Drywell on Property</t>
  </si>
  <si>
    <t>1 Each</t>
  </si>
  <si>
    <t>WQBE_06B_Drywell with Bioretention Planter on Property</t>
  </si>
  <si>
    <t>Deep UIC Well</t>
  </si>
  <si>
    <t>WQBE_07A_Deep UIC Well on Property</t>
  </si>
  <si>
    <t>WQBE_07B_Deep UIC Well in ROW</t>
  </si>
  <si>
    <t>WQBE_07C_Deep UIC Well with Property Cost</t>
  </si>
  <si>
    <t>WQBE_07D_Deep UIC Well with Filter in ROW</t>
  </si>
  <si>
    <t>WQBE_07E_Deep UIC Well with Bioretention Planter in ROW</t>
  </si>
  <si>
    <t>WQBE_07F_Deep UIC Well with Bioretention Planter on Property</t>
  </si>
  <si>
    <t>Permeable Pavement</t>
  </si>
  <si>
    <t>WQBE_08A_Pervious Concrete Sidewalk (no sand layer)</t>
  </si>
  <si>
    <t>WQBE_08B_Porous Asphalt Driveway (with sand layer)</t>
  </si>
  <si>
    <t>WQBE_08C_Permeable Paver Driveway (with sand layer)</t>
  </si>
  <si>
    <t>WQBE_08D_Permeable Paver Plaza (no sand layer)</t>
  </si>
  <si>
    <t>Depaving (removal of impervious surfaces)</t>
  </si>
  <si>
    <t>WQBE_9A_Removal of Impervious Surfaces on Property (wheel strips)</t>
  </si>
  <si>
    <t>100 SF</t>
  </si>
  <si>
    <t>WQBE_9B_Removal of Impervious Surfaces on Property (no wheel strips)</t>
  </si>
  <si>
    <t>Stormwater Retention/Detention/Infiltration</t>
  </si>
  <si>
    <t>Detention Vault</t>
  </si>
  <si>
    <t>WQBE_11A_Detention Vault on Public Property</t>
  </si>
  <si>
    <t>WQBE_11B_Detention Vault in ROW</t>
  </si>
  <si>
    <t>WQBE_11C_Detention Vault with Property Cost</t>
  </si>
  <si>
    <t>Detention Pond</t>
  </si>
  <si>
    <t>WQBE_12A_Detention Pond on Public Property</t>
  </si>
  <si>
    <t>WQBE_12B_Detention Pond with Property Cost</t>
  </si>
  <si>
    <t>Infiltration Pond</t>
  </si>
  <si>
    <t>WQBE_13A_Infiltration Pond Till Soil on Public Property</t>
  </si>
  <si>
    <t>WQBE_13B_Infiltration Pond Outwash Soil on Public Property</t>
  </si>
  <si>
    <t>WQBE_13C_Infiltration Pond Till Soil with Property Cost</t>
  </si>
  <si>
    <t>WQBE_13D_Infiltration Pond Outwash Soil with Property Cost</t>
  </si>
  <si>
    <t>WQBE_13E_Infiltration Pond Outwash Soil with High Rate Underground Filter System on Public Property</t>
  </si>
  <si>
    <t>Infiltration Vault</t>
  </si>
  <si>
    <t>WQBE_14A_Infiltration Vault Till Soil on Public Property</t>
  </si>
  <si>
    <t>WQBE_14B_Infiltration Vault Outwash Soil on Public Property</t>
  </si>
  <si>
    <t>WQBE_14C_Infiltration Vault Till Soil in ROW</t>
  </si>
  <si>
    <t>WQBE_14D_Infiltration Vault Outwash Soil in ROW</t>
  </si>
  <si>
    <t>WQBE_14E_Infiltration Vault Till Soil with Property Cost</t>
  </si>
  <si>
    <t>WQBE_14F_Infiltration Vault Outwash Soil with Property Cost</t>
  </si>
  <si>
    <t>WQBE_14G_Infiltration Vault Outwash Soil with High Rate Underground Filter System in ROW</t>
  </si>
  <si>
    <t>Cistern</t>
  </si>
  <si>
    <t>WQBE_16_Cistern on Property</t>
  </si>
  <si>
    <t>Category</t>
  </si>
  <si>
    <t>Bioretention</t>
  </si>
  <si>
    <t>Holding Basin</t>
  </si>
  <si>
    <t>Media Filter</t>
  </si>
  <si>
    <t>Oil Water Separator</t>
  </si>
  <si>
    <t>Pervious Pavement</t>
  </si>
  <si>
    <t>Pond</t>
  </si>
  <si>
    <t>Pump Station</t>
  </si>
  <si>
    <t>Sand Filter</t>
  </si>
  <si>
    <t>Swale</t>
  </si>
  <si>
    <t>Swirl Separator</t>
  </si>
  <si>
    <t>Tank</t>
  </si>
  <si>
    <t>Trench</t>
  </si>
  <si>
    <t>Vault</t>
  </si>
  <si>
    <t>Vegetated Box</t>
  </si>
  <si>
    <t>Tacoma Types</t>
  </si>
  <si>
    <t>WQBE Types</t>
  </si>
  <si>
    <t>area</t>
  </si>
  <si>
    <t>each</t>
  </si>
  <si>
    <t>Base Unit</t>
  </si>
  <si>
    <t>WQBE Action</t>
  </si>
  <si>
    <t>Tacoma BMP Type</t>
  </si>
  <si>
    <t>Decant Facility</t>
  </si>
  <si>
    <t>Treatment Plant</t>
  </si>
  <si>
    <t>Grease Interceptor</t>
  </si>
  <si>
    <t>To Be Determined</t>
  </si>
  <si>
    <t>In-Lieu</t>
  </si>
  <si>
    <t>None</t>
  </si>
  <si>
    <t>Select BMP Type</t>
  </si>
  <si>
    <t>Tacoma Types2</t>
  </si>
  <si>
    <t>WQBE_Code</t>
  </si>
  <si>
    <t>_drop_wqbe</t>
  </si>
  <si>
    <t>WQBE_Full_Description</t>
  </si>
  <si>
    <t>sizing_base_value</t>
  </si>
  <si>
    <t>sizing_method</t>
  </si>
  <si>
    <t>sizing_unit</t>
  </si>
  <si>
    <t>code</t>
  </si>
  <si>
    <t>Tacoma Type</t>
  </si>
  <si>
    <t>live_total</t>
  </si>
  <si>
    <t>TDCC_cpu</t>
  </si>
  <si>
    <t>TINCC_cpu</t>
  </si>
  <si>
    <t>OM_cpu</t>
  </si>
  <si>
    <t>TotalCapital_cpu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</si>
</sst>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8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">
    <xf numFmtId="0" fontId="0" fillId="0" borderId="0"/>
    <xf numFmtId="0" fontId="3" fillId="0" borderId="0"/>
    <xf numFmtId="44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2" borderId="1" applyNumberFormat="0" applyAlignment="0" applyProtection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6" fontId="1" fillId="0" borderId="2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6" fontId="1" fillId="0" borderId="4" xfId="0" applyNumberFormat="1" applyFont="1" applyBorder="1" applyAlignment="1">
      <alignment horizontal="center" vertical="center"/>
    </xf>
    <xf numFmtId="6" fontId="1" fillId="0" borderId="3" xfId="0" applyNumberFormat="1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6" fontId="1" fillId="3" borderId="2" xfId="0" applyNumberFormat="1" applyFont="1" applyFill="1" applyBorder="1" applyAlignment="1">
      <alignment horizontal="center" vertical="center"/>
    </xf>
    <xf numFmtId="6" fontId="1" fillId="3" borderId="8" xfId="0" applyNumberFormat="1" applyFont="1" applyFill="1" applyBorder="1" applyAlignment="1">
      <alignment horizontal="center" vertical="center"/>
    </xf>
    <xf numFmtId="6" fontId="1" fillId="3" borderId="2" xfId="0" applyNumberFormat="1" applyFont="1" applyFill="1" applyBorder="1" applyAlignment="1">
      <alignment horizontal="center" vertical="center" wrapText="1"/>
    </xf>
    <xf numFmtId="6" fontId="1" fillId="3" borderId="8" xfId="0" applyNumberFormat="1" applyFont="1" applyFill="1" applyBorder="1" applyAlignment="1">
      <alignment horizontal="center" vertical="center" wrapText="1"/>
    </xf>
    <xf numFmtId="6" fontId="1" fillId="3" borderId="4" xfId="0" applyNumberFormat="1" applyFont="1" applyFill="1" applyBorder="1" applyAlignment="1">
      <alignment horizontal="center" vertical="center"/>
    </xf>
    <xf numFmtId="6" fontId="1" fillId="3" borderId="10" xfId="0" applyNumberFormat="1" applyFont="1" applyFill="1" applyBorder="1" applyAlignment="1">
      <alignment horizontal="center" vertical="center"/>
    </xf>
    <xf numFmtId="0" fontId="0" fillId="3" borderId="0" xfId="0" applyFill="1"/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6">
    <cellStyle name="Currency 2" xfId="2" xr:uid="{E9E5928E-3658-334A-BBFE-C49DBB455370}"/>
    <cellStyle name="Explanatory Text 2" xfId="5" xr:uid="{6DD616A7-5280-CB4B-8F21-3B3F0CF4AA65}"/>
    <cellStyle name="Hyperlink 2" xfId="3" xr:uid="{D9A3DAB9-DB8E-A341-8735-BCC3906EF55C}"/>
    <cellStyle name="Input 2" xfId="4" xr:uid="{643CFD87-C196-734E-8547-8AFFF70EDA68}"/>
    <cellStyle name="Normal" xfId="0" builtinId="0"/>
    <cellStyle name="Normal 2" xfId="1" xr:uid="{F8BE9ADE-F7C8-F147-BCC0-4C5179F4175D}"/>
  </cellStyles>
  <dxfs count="27"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0" formatCode="&quot;$&quot;#,##0_);[Red]\(&quot;$&quot;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0" formatCode="&quot;$&quot;#,##0_);[Red]\(&quot;$&quot;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0" formatCode="&quot;$&quot;#,##0_);[Red]\(&quot;$&quot;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0" formatCode="&quot;$&quot;#,##0_);[Red]\(&quot;$&quot;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0" formatCode="&quot;$&quot;#,##0_);[Red]\(&quot;$&quot;#,##0\)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0" formatCode="&quot;$&quot;#,##0_);[Red]\(&quot;$&quot;#,##0\)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0" formatCode="&quot;$&quot;#,##0_);[Red]\(&quot;$&quot;#,##0\)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0" formatCode="&quot;$&quot;#,##0_);[Red]\(&quot;$&quot;#,##0\)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0" formatCode="&quot;$&quot;#,##0_);[Red]\(&quot;$&quot;#,##0\)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0" formatCode="&quot;$&quot;#,##0_);[Red]\(&quot;$&quot;#,##0\)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0" formatCode="&quot;$&quot;#,##0_);[Red]\(&quot;$&quot;#,##0\)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0" formatCode="General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0" formatCode="General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4A33A1-378B-1D49-AB86-13E79980E6FD}" name="Table2" displayName="Table2" ref="A1:S48" totalsRowShown="0" headerRowDxfId="26" dataDxfId="24" headerRowBorderDxfId="25" tableBorderDxfId="23" totalsRowBorderDxfId="22">
  <autoFilter ref="A1:S48" xr:uid="{384A33A1-378B-1D49-AB86-13E79980E6FD}"/>
  <tableColumns count="19">
    <tableColumn id="4" xr3:uid="{49C8E54B-6B53-AD4C-B114-EA96EC9231C8}" name="Description" dataDxfId="21"/>
    <tableColumn id="5" xr3:uid="{5449D4D6-A127-4D73-AEB6-6BDC1C41C47A}" name="code" dataDxfId="20">
      <calculatedColumnFormula array="1">_xlfn.XLOOKUP(Table2[[#This Row],[Description]],Table4[[#All],[WQBE_Full_Description]],Table4[[#All],[WQBE_Code]])</calculatedColumnFormula>
    </tableColumn>
    <tableColumn id="7" xr3:uid="{BB52F7EB-0468-4519-B73C-2A2BA18A5AC7}" name="Tacoma Type" dataDxfId="19">
      <calculatedColumnFormula array="1">_xlfn.XLOOKUP(Table2[[#This Row],[Description]],Table4[[#All],[WQBE_Full_Description]],Table4[[#All],[Tacoma BMP Type]])</calculatedColumnFormula>
    </tableColumn>
    <tableColumn id="9" xr3:uid="{D5A39919-65F5-3F48-B779-C0430139EAEF}" name="Action Unit" dataDxfId="18"/>
    <tableColumn id="11" xr3:uid="{749AAA70-E2B7-074C-B19B-4DFB167C7D5A}" name="Base Unit" dataDxfId="17"/>
    <tableColumn id="2" xr3:uid="{A81B3CF3-67FB-470D-B924-771BC391FECE}" name="sizing_method" dataDxfId="16"/>
    <tableColumn id="1" xr3:uid="{ED8EC918-6083-4209-9D17-4A8D0062328F}" name="sizing_base_value" dataDxfId="15">
      <calculatedColumnFormula>Table2[[#This Row],[Base Unit]]</calculatedColumnFormula>
    </tableColumn>
    <tableColumn id="3" xr3:uid="{C876400D-A22F-4114-A2D1-8152F6ADF138}" name="sizing_unit" dataDxfId="14">
      <calculatedColumnFormula>IF(Table2[[#This Row],[sizing_method]]="area", "sqft",IF(Table2[[#This Row],[sizing_method]]="each", "count", "error"))</calculatedColumnFormula>
    </tableColumn>
    <tableColumn id="12" xr3:uid="{03495EAB-5377-C348-99A2-4D2C967F708A}" name="Total Direct Construction Cost" dataDxfId="13"/>
    <tableColumn id="13" xr3:uid="{C0E06EFA-1D40-CF43-AB49-E075C11D3CFD}" name="Property Acquisition Cost" dataDxfId="12"/>
    <tableColumn id="14" xr3:uid="{AE094B91-B0E3-5D48-8BAD-1D6A1D93DC2E}" name="Total Indirect Non-Construction Cost" dataDxfId="11"/>
    <tableColumn id="15" xr3:uid="{16820FF8-11F9-4E4A-A097-0D3566381AF8}" name="Total" dataDxfId="10"/>
    <tableColumn id="8" xr3:uid="{291AAB92-8DBF-449C-B9D2-9A857B22C295}" name="live_total" dataDxfId="9">
      <calculatedColumnFormula>SUM(Table2[[#This Row],[Total Direct Construction Cost]:[Total Indirect Non-Construction Cost]])</calculatedColumnFormula>
    </tableColumn>
    <tableColumn id="16" xr3:uid="{7342A6BD-CACE-8B45-9FDE-DE1206C7278A}" name="O&amp;M Costs (annual) (e)" dataDxfId="8"/>
    <tableColumn id="17" xr3:uid="{055DCB2E-DD07-9949-BEFE-9AA0B402CAD2}" name="Net Present Value" dataDxfId="7"/>
    <tableColumn id="18" xr3:uid="{DF05ED6C-6EB2-4739-8C7A-6631C6AF9D24}" name="TDCC_cpu" dataDxfId="6">
      <calculatedColumnFormula>Table2[[#This Row],[Total Direct Construction Cost]]/Table2[[#This Row],[sizing_base_value]]</calculatedColumnFormula>
    </tableColumn>
    <tableColumn id="19" xr3:uid="{876FFC35-E62C-4E7C-98E0-09D030361AD2}" name="TINCC_cpu" dataDxfId="5">
      <calculatedColumnFormula>Table2[[#This Row],[Total Indirect Non-Construction Cost]]/Table2[[#This Row],[sizing_base_value]]</calculatedColumnFormula>
    </tableColumn>
    <tableColumn id="20" xr3:uid="{DCECB3BF-3074-4E46-BBAE-3451203E4C73}" name="TotalCapital_cpu" dataDxfId="4">
      <calculatedColumnFormula>SUM(Table2[[#This Row],[TDCC_cpu]:[TINCC_cpu]])</calculatedColumnFormula>
    </tableColumn>
    <tableColumn id="21" xr3:uid="{2FDB7C85-98D9-497B-A6DB-56A05D99E0EF}" name="OM_cpu" dataDxfId="3">
      <calculatedColumnFormula>Table2[[#This Row],[O&amp;M Costs (annual) (e)]]/Table2[[#This Row],[sizing_base_value]]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10909DE-BF1A-C748-A6C3-E2F6DE98E429}" name="Table4" displayName="Table4" ref="A1:G48" totalsRowShown="0">
  <autoFilter ref="A1:G48" xr:uid="{810909DE-BF1A-C748-A6C3-E2F6DE98E429}"/>
  <tableColumns count="7">
    <tableColumn id="3" xr3:uid="{08317711-8A0E-D94D-A8F9-5934EDD7B090}" name="WQBE_Full_Description"/>
    <tableColumn id="7" xr3:uid="{D9760806-F393-40D8-881F-BAE4D096EFFB}" name="WQBE_Code" dataDxfId="2">
      <calculatedColumnFormula>LEFT(Table4[[#This Row],[_drop_wqbe]],FIND("_",Table4[[#This Row],[_drop_wqbe]])-1)</calculatedColumnFormula>
    </tableColumn>
    <tableColumn id="9" xr3:uid="{7AEE3D42-2EBA-4E20-803B-B70B3F4F876F}" name="Description" dataDxfId="1">
      <calculatedColumnFormula>RIGHT(Table4[[#This Row],[_drop_wqbe]],LEN(Table4[[#This Row],[_drop_wqbe]])-FIND("_",Table4[[#This Row],[_drop_wqbe]]))</calculatedColumnFormula>
    </tableColumn>
    <tableColumn id="1" xr3:uid="{63CF4BD1-4E43-0340-9E55-7A64E0D34EF9}" name="WQBE Action"/>
    <tableColumn id="2" xr3:uid="{7D96E78D-7274-AA49-9669-8E8E8BDB4F3E}" name="Category"/>
    <tableColumn id="4" xr3:uid="{3240FD7E-A379-8C41-9E9E-B04D2033AD4E}" name="Tacoma BMP Type"/>
    <tableColumn id="8" xr3:uid="{AA45E9A8-61D6-42B1-AD0E-92F1FC014E9E}" name="_drop_wqbe" dataDxfId="0">
      <calculatedColumnFormula>RIGHT(Table4[[#This Row],[WQBE_Full_Description]], LEN(Table4[[#This Row],[WQBE_Full_Description]])-5)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DA07E4-BF99-394C-B228-E575C849BC13}" name="Table3" displayName="Table3" ref="A1:C16" totalsRowShown="0">
  <autoFilter ref="A1:C16" xr:uid="{E2DA07E4-BF99-394C-B228-E575C849BC13}"/>
  <tableColumns count="3">
    <tableColumn id="1" xr3:uid="{E5501C40-6358-F847-908B-388493BFD156}" name="Tacoma Types"/>
    <tableColumn id="2" xr3:uid="{A8DB279F-B2C1-E748-A8A9-4F681DFC332E}" name="WQBE Types"/>
    <tableColumn id="3" xr3:uid="{03B8D057-E1D1-5D40-9766-E63C69C67624}" name="Tacoma Types2">
      <calculatedColumnFormula>A2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41B08-9F27-C341-8C59-AF0EABC31F45}">
  <sheetPr>
    <tabColor theme="4" tint="0.39997558519241921"/>
  </sheetPr>
  <dimension ref="A1:S63"/>
  <sheetViews>
    <sheetView tabSelected="1" workbookViewId="0"/>
  </sheetViews>
  <sheetFormatPr defaultColWidth="11" defaultRowHeight="15.75" x14ac:dyDescent="0.25"/>
  <cols>
    <col min="1" max="1" width="44.625" customWidth="1"/>
    <col min="2" max="2" width="8.25" bestFit="1" customWidth="1"/>
    <col min="3" max="3" width="14.125" bestFit="1" customWidth="1"/>
    <col min="4" max="4" width="11.375" style="20" customWidth="1"/>
    <col min="5" max="5" width="10.375" style="20" customWidth="1"/>
    <col min="6" max="6" width="14.375" bestFit="1" customWidth="1"/>
    <col min="7" max="7" width="14.25" style="20" bestFit="1" customWidth="1"/>
    <col min="8" max="8" width="10.375" customWidth="1"/>
    <col min="9" max="9" width="25" style="20" customWidth="1"/>
    <col min="10" max="10" width="23" style="20" bestFit="1" customWidth="1"/>
    <col min="11" max="11" width="29.375" style="20" customWidth="1"/>
    <col min="12" max="12" width="9.125" style="20" bestFit="1" customWidth="1"/>
    <col min="13" max="13" width="9.125" style="20" customWidth="1"/>
    <col min="14" max="14" width="22" style="20" customWidth="1"/>
    <col min="15" max="15" width="16.375" style="20" customWidth="1"/>
    <col min="18" max="18" width="18.25" bestFit="1" customWidth="1"/>
    <col min="19" max="19" width="8" bestFit="1" customWidth="1"/>
  </cols>
  <sheetData>
    <row r="1" spans="1:19" ht="53.1" customHeight="1" x14ac:dyDescent="0.25">
      <c r="A1" s="1" t="s">
        <v>0</v>
      </c>
      <c r="B1" s="2" t="s">
        <v>112</v>
      </c>
      <c r="C1" s="2" t="s">
        <v>113</v>
      </c>
      <c r="D1" s="12" t="s">
        <v>1</v>
      </c>
      <c r="E1" s="12" t="s">
        <v>95</v>
      </c>
      <c r="F1" s="2" t="s">
        <v>110</v>
      </c>
      <c r="G1" s="12" t="s">
        <v>109</v>
      </c>
      <c r="H1" s="2" t="s">
        <v>111</v>
      </c>
      <c r="I1" s="12" t="s">
        <v>2</v>
      </c>
      <c r="J1" s="12" t="s">
        <v>3</v>
      </c>
      <c r="K1" s="12" t="s">
        <v>4</v>
      </c>
      <c r="L1" s="12" t="s">
        <v>5</v>
      </c>
      <c r="M1" s="12" t="s">
        <v>114</v>
      </c>
      <c r="N1" s="12" t="s">
        <v>6</v>
      </c>
      <c r="O1" s="13" t="s">
        <v>7</v>
      </c>
      <c r="P1" s="2" t="s">
        <v>115</v>
      </c>
      <c r="Q1" s="2" t="s">
        <v>116</v>
      </c>
      <c r="R1" s="2" t="s">
        <v>118</v>
      </c>
      <c r="S1" s="2" t="s">
        <v>117</v>
      </c>
    </row>
    <row r="2" spans="1:19" x14ac:dyDescent="0.25">
      <c r="A2" s="3" t="s">
        <v>10</v>
      </c>
      <c r="B2" s="4" t="str" cm="1">
        <f t="array" ref="B2">_xlfn.XLOOKUP(Table2[[#This Row],[Description]],Table4[[#All],[WQBE_Full_Description]],Table4[[#All],[WQBE_Code]])</f>
        <v>01</v>
      </c>
      <c r="C2" s="4" t="str" cm="1">
        <f t="array" ref="C2">_xlfn.XLOOKUP(Table2[[#This Row],[Description]],Table4[[#All],[WQBE_Full_Description]],Table4[[#All],[Tacoma BMP Type]])</f>
        <v>None</v>
      </c>
      <c r="D2" s="21" t="s">
        <v>11</v>
      </c>
      <c r="E2" s="21">
        <v>25</v>
      </c>
      <c r="F2" s="5" t="s">
        <v>93</v>
      </c>
      <c r="G2" s="21">
        <f>Table2[[#This Row],[Base Unit]]</f>
        <v>25</v>
      </c>
      <c r="H2" s="5" t="str">
        <f>IF(Table2[[#This Row],[sizing_method]]="area", "sqft",IF(Table2[[#This Row],[sizing_method]]="each", "count", "error"))</f>
        <v>sqft</v>
      </c>
      <c r="I2" s="14">
        <v>17000</v>
      </c>
      <c r="J2" s="14">
        <v>0</v>
      </c>
      <c r="K2" s="14">
        <v>7000</v>
      </c>
      <c r="L2" s="14">
        <v>24000</v>
      </c>
      <c r="M2" s="14">
        <f>SUM(Table2[[#This Row],[Total Direct Construction Cost]:[Total Indirect Non-Construction Cost]])</f>
        <v>24000</v>
      </c>
      <c r="N2" s="14">
        <v>2800</v>
      </c>
      <c r="O2" s="15">
        <v>82000</v>
      </c>
      <c r="P2" s="11">
        <f>Table2[[#This Row],[Total Direct Construction Cost]]/Table2[[#This Row],[sizing_base_value]]</f>
        <v>680</v>
      </c>
      <c r="Q2" s="11">
        <f>Table2[[#This Row],[Total Indirect Non-Construction Cost]]/Table2[[#This Row],[sizing_base_value]]</f>
        <v>280</v>
      </c>
      <c r="R2" s="11">
        <f>SUM(Table2[[#This Row],[TDCC_cpu]:[TINCC_cpu]])</f>
        <v>960</v>
      </c>
      <c r="S2" s="11">
        <f>Table2[[#This Row],[O&amp;M Costs (annual) (e)]]/Table2[[#This Row],[sizing_base_value]]</f>
        <v>112</v>
      </c>
    </row>
    <row r="3" spans="1:19" x14ac:dyDescent="0.25">
      <c r="A3" s="3" t="s">
        <v>13</v>
      </c>
      <c r="B3" s="4" t="str" cm="1">
        <f t="array" ref="B3">_xlfn.XLOOKUP(Table2[[#This Row],[Description]],Table4[[#All],[WQBE_Full_Description]],Table4[[#All],[WQBE_Code]])</f>
        <v>02A</v>
      </c>
      <c r="C3" s="4" t="str" cm="1">
        <f t="array" ref="C3">_xlfn.XLOOKUP(Table2[[#This Row],[Description]],Table4[[#All],[WQBE_Full_Description]],Table4[[#All],[Tacoma BMP Type]])</f>
        <v>Vegetated Box</v>
      </c>
      <c r="D3" s="21" t="s">
        <v>11</v>
      </c>
      <c r="E3" s="21">
        <v>25</v>
      </c>
      <c r="F3" s="5" t="s">
        <v>93</v>
      </c>
      <c r="G3" s="21">
        <f>Table2[[#This Row],[Base Unit]]</f>
        <v>25</v>
      </c>
      <c r="H3" s="5" t="str">
        <f>IF(Table2[[#This Row],[sizing_method]]="area", "sqft",IF(Table2[[#This Row],[sizing_method]]="each", "count", "error"))</f>
        <v>sqft</v>
      </c>
      <c r="I3" s="14">
        <v>29000</v>
      </c>
      <c r="J3" s="14">
        <v>0</v>
      </c>
      <c r="K3" s="14">
        <v>13000</v>
      </c>
      <c r="L3" s="14">
        <v>42000</v>
      </c>
      <c r="M3" s="14">
        <f>SUM(Table2[[#This Row],[Total Direct Construction Cost]:[Total Indirect Non-Construction Cost]])</f>
        <v>42000</v>
      </c>
      <c r="N3" s="14">
        <v>2800</v>
      </c>
      <c r="O3" s="15">
        <v>100000</v>
      </c>
      <c r="P3" s="6">
        <f>Table2[[#This Row],[Total Direct Construction Cost]]/Table2[[#This Row],[sizing_base_value]]</f>
        <v>1160</v>
      </c>
      <c r="Q3" s="6">
        <f>Table2[[#This Row],[Total Indirect Non-Construction Cost]]/Table2[[#This Row],[sizing_base_value]]</f>
        <v>520</v>
      </c>
      <c r="R3" s="6">
        <f>SUM(Table2[[#This Row],[TDCC_cpu]:[TINCC_cpu]])</f>
        <v>1680</v>
      </c>
      <c r="S3" s="6">
        <f>Table2[[#This Row],[O&amp;M Costs (annual) (e)]]/Table2[[#This Row],[sizing_base_value]]</f>
        <v>112</v>
      </c>
    </row>
    <row r="4" spans="1:19" x14ac:dyDescent="0.25">
      <c r="A4" s="3" t="s">
        <v>14</v>
      </c>
      <c r="B4" s="4" t="str" cm="1">
        <f t="array" ref="B4">_xlfn.XLOOKUP(Table2[[#This Row],[Description]],Table4[[#All],[WQBE_Full_Description]],Table4[[#All],[WQBE_Code]])</f>
        <v>02B</v>
      </c>
      <c r="C4" s="4" t="str" cm="1">
        <f t="array" ref="C4">_xlfn.XLOOKUP(Table2[[#This Row],[Description]],Table4[[#All],[WQBE_Full_Description]],Table4[[#All],[Tacoma BMP Type]])</f>
        <v>Vegetated Box</v>
      </c>
      <c r="D4" s="21" t="s">
        <v>11</v>
      </c>
      <c r="E4" s="21">
        <v>25</v>
      </c>
      <c r="F4" s="5" t="s">
        <v>93</v>
      </c>
      <c r="G4" s="21">
        <f>Table2[[#This Row],[Base Unit]]</f>
        <v>25</v>
      </c>
      <c r="H4" s="5" t="str">
        <f>IF(Table2[[#This Row],[sizing_method]]="area", "sqft",IF(Table2[[#This Row],[sizing_method]]="each", "count", "error"))</f>
        <v>sqft</v>
      </c>
      <c r="I4" s="14">
        <v>39000</v>
      </c>
      <c r="J4" s="14">
        <v>0</v>
      </c>
      <c r="K4" s="14">
        <v>17000</v>
      </c>
      <c r="L4" s="14">
        <v>56000</v>
      </c>
      <c r="M4" s="14">
        <f>SUM(Table2[[#This Row],[Total Direct Construction Cost]:[Total Indirect Non-Construction Cost]])</f>
        <v>56000</v>
      </c>
      <c r="N4" s="14">
        <v>2800</v>
      </c>
      <c r="O4" s="15">
        <v>114000</v>
      </c>
      <c r="P4" s="6">
        <f>Table2[[#This Row],[Total Direct Construction Cost]]/Table2[[#This Row],[sizing_base_value]]</f>
        <v>1560</v>
      </c>
      <c r="Q4" s="6">
        <f>Table2[[#This Row],[Total Indirect Non-Construction Cost]]/Table2[[#This Row],[sizing_base_value]]</f>
        <v>680</v>
      </c>
      <c r="R4" s="6">
        <f>SUM(Table2[[#This Row],[TDCC_cpu]:[TINCC_cpu]])</f>
        <v>2240</v>
      </c>
      <c r="S4" s="6">
        <f>Table2[[#This Row],[O&amp;M Costs (annual) (e)]]/Table2[[#This Row],[sizing_base_value]]</f>
        <v>112</v>
      </c>
    </row>
    <row r="5" spans="1:19" x14ac:dyDescent="0.25">
      <c r="A5" s="3" t="s">
        <v>15</v>
      </c>
      <c r="B5" s="4" t="str" cm="1">
        <f t="array" ref="B5">_xlfn.XLOOKUP(Table2[[#This Row],[Description]],Table4[[#All],[WQBE_Full_Description]],Table4[[#All],[WQBE_Code]])</f>
        <v>02C</v>
      </c>
      <c r="C5" s="4" t="str" cm="1">
        <f t="array" ref="C5">_xlfn.XLOOKUP(Table2[[#This Row],[Description]],Table4[[#All],[WQBE_Full_Description]],Table4[[#All],[Tacoma BMP Type]])</f>
        <v>Vegetated Box</v>
      </c>
      <c r="D5" s="21" t="s">
        <v>11</v>
      </c>
      <c r="E5" s="21">
        <v>25</v>
      </c>
      <c r="F5" s="5" t="s">
        <v>93</v>
      </c>
      <c r="G5" s="21">
        <f>Table2[[#This Row],[Base Unit]]</f>
        <v>25</v>
      </c>
      <c r="H5" s="5" t="str">
        <f>IF(Table2[[#This Row],[sizing_method]]="area", "sqft",IF(Table2[[#This Row],[sizing_method]]="each", "count", "error"))</f>
        <v>sqft</v>
      </c>
      <c r="I5" s="14">
        <v>29000</v>
      </c>
      <c r="J5" s="14">
        <v>1400</v>
      </c>
      <c r="K5" s="14">
        <v>15000</v>
      </c>
      <c r="L5" s="14">
        <v>44000</v>
      </c>
      <c r="M5" s="14">
        <f>SUM(Table2[[#This Row],[Total Direct Construction Cost]:[Total Indirect Non-Construction Cost]])</f>
        <v>45400</v>
      </c>
      <c r="N5" s="14">
        <v>2800</v>
      </c>
      <c r="O5" s="15">
        <v>102000</v>
      </c>
      <c r="P5" s="6">
        <f>Table2[[#This Row],[Total Direct Construction Cost]]/Table2[[#This Row],[sizing_base_value]]</f>
        <v>1160</v>
      </c>
      <c r="Q5" s="6">
        <f>Table2[[#This Row],[Total Indirect Non-Construction Cost]]/Table2[[#This Row],[sizing_base_value]]</f>
        <v>600</v>
      </c>
      <c r="R5" s="6">
        <f>SUM(Table2[[#This Row],[TDCC_cpu]:[TINCC_cpu]])</f>
        <v>1760</v>
      </c>
      <c r="S5" s="6">
        <f>Table2[[#This Row],[O&amp;M Costs (annual) (e)]]/Table2[[#This Row],[sizing_base_value]]</f>
        <v>112</v>
      </c>
    </row>
    <row r="6" spans="1:19" x14ac:dyDescent="0.25">
      <c r="A6" s="3" t="s">
        <v>17</v>
      </c>
      <c r="B6" s="4" t="str" cm="1">
        <f t="array" ref="B6">_xlfn.XLOOKUP(Table2[[#This Row],[Description]],Table4[[#All],[WQBE_Full_Description]],Table4[[#All],[WQBE_Code]])</f>
        <v>03A</v>
      </c>
      <c r="C6" s="4" t="str" cm="1">
        <f t="array" ref="C6">_xlfn.XLOOKUP(Table2[[#This Row],[Description]],Table4[[#All],[WQBE_Full_Description]],Table4[[#All],[Tacoma BMP Type]])</f>
        <v>Bioretention</v>
      </c>
      <c r="D6" s="21" t="s">
        <v>18</v>
      </c>
      <c r="E6" s="21">
        <v>85</v>
      </c>
      <c r="F6" s="5" t="s">
        <v>93</v>
      </c>
      <c r="G6" s="21">
        <f>Table2[[#This Row],[Base Unit]]</f>
        <v>85</v>
      </c>
      <c r="H6" s="5" t="str">
        <f>IF(Table2[[#This Row],[sizing_method]]="area", "sqft",IF(Table2[[#This Row],[sizing_method]]="each", "count", "error"))</f>
        <v>sqft</v>
      </c>
      <c r="I6" s="14">
        <v>59000</v>
      </c>
      <c r="J6" s="16">
        <v>0</v>
      </c>
      <c r="K6" s="14">
        <v>26000</v>
      </c>
      <c r="L6" s="14">
        <v>85000</v>
      </c>
      <c r="M6" s="14">
        <f>SUM(Table2[[#This Row],[Total Direct Construction Cost]:[Total Indirect Non-Construction Cost]])</f>
        <v>85000</v>
      </c>
      <c r="N6" s="14">
        <v>2800</v>
      </c>
      <c r="O6" s="17">
        <v>175000</v>
      </c>
      <c r="P6" s="6">
        <f>Table2[[#This Row],[Total Direct Construction Cost]]/Table2[[#This Row],[sizing_base_value]]</f>
        <v>694.11764705882354</v>
      </c>
      <c r="Q6" s="6">
        <f>Table2[[#This Row],[Total Indirect Non-Construction Cost]]/Table2[[#This Row],[sizing_base_value]]</f>
        <v>305.88235294117646</v>
      </c>
      <c r="R6" s="6">
        <f>SUM(Table2[[#This Row],[TDCC_cpu]:[TINCC_cpu]])</f>
        <v>1000</v>
      </c>
      <c r="S6" s="6">
        <f>Table2[[#This Row],[O&amp;M Costs (annual) (e)]]/Table2[[#This Row],[sizing_base_value]]</f>
        <v>32.941176470588232</v>
      </c>
    </row>
    <row r="7" spans="1:19" x14ac:dyDescent="0.25">
      <c r="A7" s="3" t="s">
        <v>19</v>
      </c>
      <c r="B7" s="4" t="str" cm="1">
        <f t="array" ref="B7">_xlfn.XLOOKUP(Table2[[#This Row],[Description]],Table4[[#All],[WQBE_Full_Description]],Table4[[#All],[WQBE_Code]])</f>
        <v>03Aa</v>
      </c>
      <c r="C7" s="4" t="str" cm="1">
        <f t="array" ref="C7">_xlfn.XLOOKUP(Table2[[#This Row],[Description]],Table4[[#All],[WQBE_Full_Description]],Table4[[#All],[Tacoma BMP Type]])</f>
        <v>Bioretention</v>
      </c>
      <c r="D7" s="21" t="s">
        <v>18</v>
      </c>
      <c r="E7" s="21">
        <v>85</v>
      </c>
      <c r="F7" s="5" t="s">
        <v>93</v>
      </c>
      <c r="G7" s="21">
        <f>Table2[[#This Row],[Base Unit]]</f>
        <v>85</v>
      </c>
      <c r="H7" s="5" t="str">
        <f>IF(Table2[[#This Row],[sizing_method]]="area", "sqft",IF(Table2[[#This Row],[sizing_method]]="each", "count", "error"))</f>
        <v>sqft</v>
      </c>
      <c r="I7" s="14">
        <v>59000</v>
      </c>
      <c r="J7" s="16">
        <v>14000</v>
      </c>
      <c r="K7" s="14">
        <v>42000</v>
      </c>
      <c r="L7" s="14">
        <v>100000</v>
      </c>
      <c r="M7" s="14">
        <f>SUM(Table2[[#This Row],[Total Direct Construction Cost]:[Total Indirect Non-Construction Cost]])</f>
        <v>115000</v>
      </c>
      <c r="N7" s="14">
        <v>2800</v>
      </c>
      <c r="O7" s="17">
        <v>190000</v>
      </c>
      <c r="P7" s="6">
        <f>Table2[[#This Row],[Total Direct Construction Cost]]/Table2[[#This Row],[sizing_base_value]]</f>
        <v>694.11764705882354</v>
      </c>
      <c r="Q7" s="6">
        <f>Table2[[#This Row],[Total Indirect Non-Construction Cost]]/Table2[[#This Row],[sizing_base_value]]</f>
        <v>494.11764705882354</v>
      </c>
      <c r="R7" s="6">
        <f>SUM(Table2[[#This Row],[TDCC_cpu]:[TINCC_cpu]])</f>
        <v>1188.2352941176471</v>
      </c>
      <c r="S7" s="6">
        <f>Table2[[#This Row],[O&amp;M Costs (annual) (e)]]/Table2[[#This Row],[sizing_base_value]]</f>
        <v>32.941176470588232</v>
      </c>
    </row>
    <row r="8" spans="1:19" x14ac:dyDescent="0.25">
      <c r="A8" s="3" t="s">
        <v>20</v>
      </c>
      <c r="B8" s="4" t="str" cm="1">
        <f t="array" ref="B8">_xlfn.XLOOKUP(Table2[[#This Row],[Description]],Table4[[#All],[WQBE_Full_Description]],Table4[[#All],[WQBE_Code]])</f>
        <v>03B</v>
      </c>
      <c r="C8" s="4" t="str" cm="1">
        <f t="array" ref="C8">_xlfn.XLOOKUP(Table2[[#This Row],[Description]],Table4[[#All],[WQBE_Full_Description]],Table4[[#All],[Tacoma BMP Type]])</f>
        <v>Bioretention</v>
      </c>
      <c r="D8" s="21" t="s">
        <v>18</v>
      </c>
      <c r="E8" s="21">
        <v>85</v>
      </c>
      <c r="F8" s="5" t="s">
        <v>93</v>
      </c>
      <c r="G8" s="21">
        <f>Table2[[#This Row],[Base Unit]]</f>
        <v>85</v>
      </c>
      <c r="H8" s="5" t="str">
        <f>IF(Table2[[#This Row],[sizing_method]]="area", "sqft",IF(Table2[[#This Row],[sizing_method]]="each", "count", "error"))</f>
        <v>sqft</v>
      </c>
      <c r="I8" s="14">
        <v>57000</v>
      </c>
      <c r="J8" s="16">
        <v>0</v>
      </c>
      <c r="K8" s="14">
        <v>25000</v>
      </c>
      <c r="L8" s="14">
        <v>83000</v>
      </c>
      <c r="M8" s="14">
        <f>SUM(Table2[[#This Row],[Total Direct Construction Cost]:[Total Indirect Non-Construction Cost]])</f>
        <v>82000</v>
      </c>
      <c r="N8" s="14">
        <v>2800</v>
      </c>
      <c r="O8" s="17">
        <v>173000</v>
      </c>
      <c r="P8" s="6">
        <f>Table2[[#This Row],[Total Direct Construction Cost]]/Table2[[#This Row],[sizing_base_value]]</f>
        <v>670.58823529411768</v>
      </c>
      <c r="Q8" s="6">
        <f>Table2[[#This Row],[Total Indirect Non-Construction Cost]]/Table2[[#This Row],[sizing_base_value]]</f>
        <v>294.11764705882354</v>
      </c>
      <c r="R8" s="6">
        <f>SUM(Table2[[#This Row],[TDCC_cpu]:[TINCC_cpu]])</f>
        <v>964.70588235294122</v>
      </c>
      <c r="S8" s="6">
        <f>Table2[[#This Row],[O&amp;M Costs (annual) (e)]]/Table2[[#This Row],[sizing_base_value]]</f>
        <v>32.941176470588232</v>
      </c>
    </row>
    <row r="9" spans="1:19" x14ac:dyDescent="0.25">
      <c r="A9" s="3" t="s">
        <v>21</v>
      </c>
      <c r="B9" s="4" t="str" cm="1">
        <f t="array" ref="B9">_xlfn.XLOOKUP(Table2[[#This Row],[Description]],Table4[[#All],[WQBE_Full_Description]],Table4[[#All],[WQBE_Code]])</f>
        <v>03Bb</v>
      </c>
      <c r="C9" s="4" t="str" cm="1">
        <f t="array" ref="C9">_xlfn.XLOOKUP(Table2[[#This Row],[Description]],Table4[[#All],[WQBE_Full_Description]],Table4[[#All],[Tacoma BMP Type]])</f>
        <v>Bioretention</v>
      </c>
      <c r="D9" s="21" t="s">
        <v>18</v>
      </c>
      <c r="E9" s="21">
        <v>85</v>
      </c>
      <c r="F9" s="5" t="s">
        <v>93</v>
      </c>
      <c r="G9" s="21">
        <f>Table2[[#This Row],[Base Unit]]</f>
        <v>85</v>
      </c>
      <c r="H9" s="5" t="str">
        <f>IF(Table2[[#This Row],[sizing_method]]="area", "sqft",IF(Table2[[#This Row],[sizing_method]]="each", "count", "error"))</f>
        <v>sqft</v>
      </c>
      <c r="I9" s="14">
        <v>57000</v>
      </c>
      <c r="J9" s="16">
        <v>14000</v>
      </c>
      <c r="K9" s="14">
        <v>41000</v>
      </c>
      <c r="L9" s="14">
        <v>98000</v>
      </c>
      <c r="M9" s="14">
        <f>SUM(Table2[[#This Row],[Total Direct Construction Cost]:[Total Indirect Non-Construction Cost]])</f>
        <v>112000</v>
      </c>
      <c r="N9" s="14">
        <v>2800</v>
      </c>
      <c r="O9" s="17">
        <v>188000</v>
      </c>
      <c r="P9" s="6">
        <f>Table2[[#This Row],[Total Direct Construction Cost]]/Table2[[#This Row],[sizing_base_value]]</f>
        <v>670.58823529411768</v>
      </c>
      <c r="Q9" s="6">
        <f>Table2[[#This Row],[Total Indirect Non-Construction Cost]]/Table2[[#This Row],[sizing_base_value]]</f>
        <v>482.35294117647061</v>
      </c>
      <c r="R9" s="6">
        <f>SUM(Table2[[#This Row],[TDCC_cpu]:[TINCC_cpu]])</f>
        <v>1152.9411764705883</v>
      </c>
      <c r="S9" s="6">
        <f>Table2[[#This Row],[O&amp;M Costs (annual) (e)]]/Table2[[#This Row],[sizing_base_value]]</f>
        <v>32.941176470588232</v>
      </c>
    </row>
    <row r="10" spans="1:19" ht="24" customHeight="1" x14ac:dyDescent="0.25">
      <c r="A10" s="3" t="s">
        <v>22</v>
      </c>
      <c r="B10" s="4" t="str" cm="1">
        <f t="array" ref="B10">_xlfn.XLOOKUP(Table2[[#This Row],[Description]],Table4[[#All],[WQBE_Full_Description]],Table4[[#All],[WQBE_Code]])</f>
        <v>03C</v>
      </c>
      <c r="C10" s="4" t="str" cm="1">
        <f t="array" ref="C10">_xlfn.XLOOKUP(Table2[[#This Row],[Description]],Table4[[#All],[WQBE_Full_Description]],Table4[[#All],[Tacoma BMP Type]])</f>
        <v>Bioretention</v>
      </c>
      <c r="D10" s="21" t="s">
        <v>18</v>
      </c>
      <c r="E10" s="21">
        <v>85</v>
      </c>
      <c r="F10" s="5" t="s">
        <v>93</v>
      </c>
      <c r="G10" s="21">
        <f>Table2[[#This Row],[Base Unit]]</f>
        <v>85</v>
      </c>
      <c r="H10" s="5" t="str">
        <f>IF(Table2[[#This Row],[sizing_method]]="area", "sqft",IF(Table2[[#This Row],[sizing_method]]="each", "count", "error"))</f>
        <v>sqft</v>
      </c>
      <c r="I10" s="14">
        <v>97000</v>
      </c>
      <c r="J10" s="16">
        <v>0</v>
      </c>
      <c r="K10" s="14">
        <v>42000</v>
      </c>
      <c r="L10" s="14">
        <v>139000</v>
      </c>
      <c r="M10" s="14">
        <f>SUM(Table2[[#This Row],[Total Direct Construction Cost]:[Total Indirect Non-Construction Cost]])</f>
        <v>139000</v>
      </c>
      <c r="N10" s="14">
        <v>2800</v>
      </c>
      <c r="O10" s="17">
        <v>230000</v>
      </c>
      <c r="P10" s="6">
        <f>Table2[[#This Row],[Total Direct Construction Cost]]/Table2[[#This Row],[sizing_base_value]]</f>
        <v>1141.1764705882354</v>
      </c>
      <c r="Q10" s="6">
        <f>Table2[[#This Row],[Total Indirect Non-Construction Cost]]/Table2[[#This Row],[sizing_base_value]]</f>
        <v>494.11764705882354</v>
      </c>
      <c r="R10" s="6">
        <f>SUM(Table2[[#This Row],[TDCC_cpu]:[TINCC_cpu]])</f>
        <v>1635.294117647059</v>
      </c>
      <c r="S10" s="6">
        <f>Table2[[#This Row],[O&amp;M Costs (annual) (e)]]/Table2[[#This Row],[sizing_base_value]]</f>
        <v>32.941176470588232</v>
      </c>
    </row>
    <row r="11" spans="1:19" ht="24" customHeight="1" x14ac:dyDescent="0.25">
      <c r="A11" s="3" t="s">
        <v>23</v>
      </c>
      <c r="B11" s="4" t="str" cm="1">
        <f t="array" ref="B11">_xlfn.XLOOKUP(Table2[[#This Row],[Description]],Table4[[#All],[WQBE_Full_Description]],Table4[[#All],[WQBE_Code]])</f>
        <v>03D</v>
      </c>
      <c r="C11" s="4" t="str" cm="1">
        <f t="array" ref="C11">_xlfn.XLOOKUP(Table2[[#This Row],[Description]],Table4[[#All],[WQBE_Full_Description]],Table4[[#All],[Tacoma BMP Type]])</f>
        <v>Bioretention</v>
      </c>
      <c r="D11" s="21" t="s">
        <v>18</v>
      </c>
      <c r="E11" s="21">
        <v>85</v>
      </c>
      <c r="F11" s="5" t="s">
        <v>93</v>
      </c>
      <c r="G11" s="21">
        <f>Table2[[#This Row],[Base Unit]]</f>
        <v>85</v>
      </c>
      <c r="H11" s="5" t="str">
        <f>IF(Table2[[#This Row],[sizing_method]]="area", "sqft",IF(Table2[[#This Row],[sizing_method]]="each", "count", "error"))</f>
        <v>sqft</v>
      </c>
      <c r="I11" s="14">
        <v>94000</v>
      </c>
      <c r="J11" s="16">
        <v>0</v>
      </c>
      <c r="K11" s="14">
        <v>41000</v>
      </c>
      <c r="L11" s="14">
        <v>135000</v>
      </c>
      <c r="M11" s="14">
        <f>SUM(Table2[[#This Row],[Total Direct Construction Cost]:[Total Indirect Non-Construction Cost]])</f>
        <v>135000</v>
      </c>
      <c r="N11" s="14">
        <v>2800</v>
      </c>
      <c r="O11" s="17">
        <v>226000</v>
      </c>
      <c r="P11" s="6">
        <f>Table2[[#This Row],[Total Direct Construction Cost]]/Table2[[#This Row],[sizing_base_value]]</f>
        <v>1105.8823529411766</v>
      </c>
      <c r="Q11" s="6">
        <f>Table2[[#This Row],[Total Indirect Non-Construction Cost]]/Table2[[#This Row],[sizing_base_value]]</f>
        <v>482.35294117647061</v>
      </c>
      <c r="R11" s="6">
        <f>SUM(Table2[[#This Row],[TDCC_cpu]:[TINCC_cpu]])</f>
        <v>1588.2352941176473</v>
      </c>
      <c r="S11" s="6">
        <f>Table2[[#This Row],[O&amp;M Costs (annual) (e)]]/Table2[[#This Row],[sizing_base_value]]</f>
        <v>32.941176470588232</v>
      </c>
    </row>
    <row r="12" spans="1:19" x14ac:dyDescent="0.25">
      <c r="A12" s="3" t="s">
        <v>25</v>
      </c>
      <c r="B12" s="4" t="str" cm="1">
        <f t="array" ref="B12">_xlfn.XLOOKUP(Table2[[#This Row],[Description]],Table4[[#All],[WQBE_Full_Description]],Table4[[#All],[WQBE_Code]])</f>
        <v>04A</v>
      </c>
      <c r="C12" s="4" t="str" cm="1">
        <f t="array" ref="C12">_xlfn.XLOOKUP(Table2[[#This Row],[Description]],Table4[[#All],[WQBE_Full_Description]],Table4[[#All],[Tacoma BMP Type]])</f>
        <v>Swale</v>
      </c>
      <c r="D12" s="21" t="s">
        <v>26</v>
      </c>
      <c r="E12" s="21">
        <v>200</v>
      </c>
      <c r="F12" s="5" t="s">
        <v>93</v>
      </c>
      <c r="G12" s="21">
        <f>Table2[[#This Row],[Base Unit]]</f>
        <v>200</v>
      </c>
      <c r="H12" s="5" t="str">
        <f>IF(Table2[[#This Row],[sizing_method]]="area", "sqft",IF(Table2[[#This Row],[sizing_method]]="each", "count", "error"))</f>
        <v>sqft</v>
      </c>
      <c r="I12" s="14">
        <v>29000</v>
      </c>
      <c r="J12" s="14">
        <v>0</v>
      </c>
      <c r="K12" s="14">
        <v>12000</v>
      </c>
      <c r="L12" s="14">
        <v>41000</v>
      </c>
      <c r="M12" s="14">
        <f>SUM(Table2[[#This Row],[Total Direct Construction Cost]:[Total Indirect Non-Construction Cost]])</f>
        <v>41000</v>
      </c>
      <c r="N12" s="14">
        <v>2600</v>
      </c>
      <c r="O12" s="15">
        <v>111000</v>
      </c>
      <c r="P12" s="6">
        <f>Table2[[#This Row],[Total Direct Construction Cost]]/Table2[[#This Row],[sizing_base_value]]</f>
        <v>145</v>
      </c>
      <c r="Q12" s="6">
        <f>Table2[[#This Row],[Total Indirect Non-Construction Cost]]/Table2[[#This Row],[sizing_base_value]]</f>
        <v>60</v>
      </c>
      <c r="R12" s="6">
        <f>SUM(Table2[[#This Row],[TDCC_cpu]:[TINCC_cpu]])</f>
        <v>205</v>
      </c>
      <c r="S12" s="6">
        <f>Table2[[#This Row],[O&amp;M Costs (annual) (e)]]/Table2[[#This Row],[sizing_base_value]]</f>
        <v>13</v>
      </c>
    </row>
    <row r="13" spans="1:19" x14ac:dyDescent="0.25">
      <c r="A13" s="3" t="s">
        <v>27</v>
      </c>
      <c r="B13" s="4" t="str" cm="1">
        <f t="array" ref="B13">_xlfn.XLOOKUP(Table2[[#This Row],[Description]],Table4[[#All],[WQBE_Full_Description]],Table4[[#All],[WQBE_Code]])</f>
        <v>04B</v>
      </c>
      <c r="C13" s="4" t="str" cm="1">
        <f t="array" ref="C13">_xlfn.XLOOKUP(Table2[[#This Row],[Description]],Table4[[#All],[WQBE_Full_Description]],Table4[[#All],[Tacoma BMP Type]])</f>
        <v>Swale</v>
      </c>
      <c r="D13" s="21" t="s">
        <v>26</v>
      </c>
      <c r="E13" s="21">
        <v>200</v>
      </c>
      <c r="F13" s="5" t="s">
        <v>93</v>
      </c>
      <c r="G13" s="21">
        <f>Table2[[#This Row],[Base Unit]]</f>
        <v>200</v>
      </c>
      <c r="H13" s="5" t="str">
        <f>IF(Table2[[#This Row],[sizing_method]]="area", "sqft",IF(Table2[[#This Row],[sizing_method]]="each", "count", "error"))</f>
        <v>sqft</v>
      </c>
      <c r="I13" s="14">
        <v>14000</v>
      </c>
      <c r="J13" s="14">
        <v>0</v>
      </c>
      <c r="K13" s="14">
        <v>6000</v>
      </c>
      <c r="L13" s="14">
        <v>20000</v>
      </c>
      <c r="M13" s="14">
        <f>SUM(Table2[[#This Row],[Total Direct Construction Cost]:[Total Indirect Non-Construction Cost]])</f>
        <v>20000</v>
      </c>
      <c r="N13" s="14">
        <v>2600</v>
      </c>
      <c r="O13" s="15">
        <v>89000</v>
      </c>
      <c r="P13" s="6">
        <f>Table2[[#This Row],[Total Direct Construction Cost]]/Table2[[#This Row],[sizing_base_value]]</f>
        <v>70</v>
      </c>
      <c r="Q13" s="6">
        <f>Table2[[#This Row],[Total Indirect Non-Construction Cost]]/Table2[[#This Row],[sizing_base_value]]</f>
        <v>30</v>
      </c>
      <c r="R13" s="6">
        <f>SUM(Table2[[#This Row],[TDCC_cpu]:[TINCC_cpu]])</f>
        <v>100</v>
      </c>
      <c r="S13" s="6">
        <f>Table2[[#This Row],[O&amp;M Costs (annual) (e)]]/Table2[[#This Row],[sizing_base_value]]</f>
        <v>13</v>
      </c>
    </row>
    <row r="14" spans="1:19" x14ac:dyDescent="0.25">
      <c r="A14" s="3" t="s">
        <v>28</v>
      </c>
      <c r="B14" s="4" t="str" cm="1">
        <f t="array" ref="B14">_xlfn.XLOOKUP(Table2[[#This Row],[Description]],Table4[[#All],[WQBE_Full_Description]],Table4[[#All],[WQBE_Code]])</f>
        <v>04C</v>
      </c>
      <c r="C14" s="4" t="str" cm="1">
        <f t="array" ref="C14">_xlfn.XLOOKUP(Table2[[#This Row],[Description]],Table4[[#All],[WQBE_Full_Description]],Table4[[#All],[Tacoma BMP Type]])</f>
        <v>Swale</v>
      </c>
      <c r="D14" s="21" t="s">
        <v>26</v>
      </c>
      <c r="E14" s="21">
        <v>200</v>
      </c>
      <c r="F14" s="5" t="s">
        <v>93</v>
      </c>
      <c r="G14" s="21">
        <f>Table2[[#This Row],[Base Unit]]</f>
        <v>200</v>
      </c>
      <c r="H14" s="5" t="str">
        <f>IF(Table2[[#This Row],[sizing_method]]="area", "sqft",IF(Table2[[#This Row],[sizing_method]]="each", "count", "error"))</f>
        <v>sqft</v>
      </c>
      <c r="I14" s="14">
        <v>14000</v>
      </c>
      <c r="J14" s="14">
        <v>40000</v>
      </c>
      <c r="K14" s="14">
        <v>52000</v>
      </c>
      <c r="L14" s="14">
        <v>66000</v>
      </c>
      <c r="M14" s="14">
        <f>SUM(Table2[[#This Row],[Total Direct Construction Cost]:[Total Indirect Non-Construction Cost]])</f>
        <v>106000</v>
      </c>
      <c r="N14" s="14">
        <v>2600</v>
      </c>
      <c r="O14" s="15">
        <v>135000</v>
      </c>
      <c r="P14" s="6">
        <f>Table2[[#This Row],[Total Direct Construction Cost]]/Table2[[#This Row],[sizing_base_value]]</f>
        <v>70</v>
      </c>
      <c r="Q14" s="6">
        <f>Table2[[#This Row],[Total Indirect Non-Construction Cost]]/Table2[[#This Row],[sizing_base_value]]</f>
        <v>260</v>
      </c>
      <c r="R14" s="6">
        <f>SUM(Table2[[#This Row],[TDCC_cpu]:[TINCC_cpu]])</f>
        <v>330</v>
      </c>
      <c r="S14" s="6">
        <f>Table2[[#This Row],[O&amp;M Costs (annual) (e)]]/Table2[[#This Row],[sizing_base_value]]</f>
        <v>13</v>
      </c>
    </row>
    <row r="15" spans="1:19" x14ac:dyDescent="0.25">
      <c r="A15" s="3" t="s">
        <v>30</v>
      </c>
      <c r="B15" s="4" t="str" cm="1">
        <f t="array" ref="B15">_xlfn.XLOOKUP(Table2[[#This Row],[Description]],Table4[[#All],[WQBE_Full_Description]],Table4[[#All],[WQBE_Code]])</f>
        <v>05A</v>
      </c>
      <c r="C15" s="4" t="str" cm="1">
        <f t="array" ref="C15">_xlfn.XLOOKUP(Table2[[#This Row],[Description]],Table4[[#All],[WQBE_Full_Description]],Table4[[#All],[Tacoma BMP Type]])</f>
        <v>Media Filter</v>
      </c>
      <c r="D15" s="21" t="s">
        <v>26</v>
      </c>
      <c r="E15" s="21">
        <v>200</v>
      </c>
      <c r="F15" s="5" t="s">
        <v>93</v>
      </c>
      <c r="G15" s="21">
        <f>Table2[[#This Row],[Base Unit]]</f>
        <v>200</v>
      </c>
      <c r="H15" s="5" t="str">
        <f>IF(Table2[[#This Row],[sizing_method]]="area", "sqft",IF(Table2[[#This Row],[sizing_method]]="each", "count", "error"))</f>
        <v>sqft</v>
      </c>
      <c r="I15" s="14">
        <v>24000</v>
      </c>
      <c r="J15" s="14">
        <v>0</v>
      </c>
      <c r="K15" s="14">
        <v>10000</v>
      </c>
      <c r="L15" s="14">
        <v>34000</v>
      </c>
      <c r="M15" s="14">
        <f>SUM(Table2[[#This Row],[Total Direct Construction Cost]:[Total Indirect Non-Construction Cost]])</f>
        <v>34000</v>
      </c>
      <c r="N15" s="14">
        <v>2300</v>
      </c>
      <c r="O15" s="15">
        <v>116000</v>
      </c>
      <c r="P15" s="6">
        <f>Table2[[#This Row],[Total Direct Construction Cost]]/Table2[[#This Row],[sizing_base_value]]</f>
        <v>120</v>
      </c>
      <c r="Q15" s="6">
        <f>Table2[[#This Row],[Total Indirect Non-Construction Cost]]/Table2[[#This Row],[sizing_base_value]]</f>
        <v>50</v>
      </c>
      <c r="R15" s="6">
        <f>SUM(Table2[[#This Row],[TDCC_cpu]:[TINCC_cpu]])</f>
        <v>170</v>
      </c>
      <c r="S15" s="6">
        <f>Table2[[#This Row],[O&amp;M Costs (annual) (e)]]/Table2[[#This Row],[sizing_base_value]]</f>
        <v>11.5</v>
      </c>
    </row>
    <row r="16" spans="1:19" x14ac:dyDescent="0.25">
      <c r="A16" s="3" t="s">
        <v>31</v>
      </c>
      <c r="B16" s="4" t="str" cm="1">
        <f t="array" ref="B16">_xlfn.XLOOKUP(Table2[[#This Row],[Description]],Table4[[#All],[WQBE_Full_Description]],Table4[[#All],[WQBE_Code]])</f>
        <v>05B</v>
      </c>
      <c r="C16" s="4" t="str" cm="1">
        <f t="array" ref="C16">_xlfn.XLOOKUP(Table2[[#This Row],[Description]],Table4[[#All],[WQBE_Full_Description]],Table4[[#All],[Tacoma BMP Type]])</f>
        <v>Media Filter</v>
      </c>
      <c r="D16" s="21" t="s">
        <v>26</v>
      </c>
      <c r="E16" s="21">
        <v>200</v>
      </c>
      <c r="F16" s="5" t="s">
        <v>93</v>
      </c>
      <c r="G16" s="21">
        <f>Table2[[#This Row],[Base Unit]]</f>
        <v>200</v>
      </c>
      <c r="H16" s="5" t="str">
        <f>IF(Table2[[#This Row],[sizing_method]]="area", "sqft",IF(Table2[[#This Row],[sizing_method]]="each", "count", "error"))</f>
        <v>sqft</v>
      </c>
      <c r="I16" s="14">
        <v>21000</v>
      </c>
      <c r="J16" s="14">
        <v>0</v>
      </c>
      <c r="K16" s="14">
        <v>9000</v>
      </c>
      <c r="L16" s="14">
        <v>30000</v>
      </c>
      <c r="M16" s="14">
        <f>SUM(Table2[[#This Row],[Total Direct Construction Cost]:[Total Indirect Non-Construction Cost]])</f>
        <v>30000</v>
      </c>
      <c r="N16" s="14">
        <v>2300</v>
      </c>
      <c r="O16" s="15">
        <v>113000</v>
      </c>
      <c r="P16" s="6">
        <f>Table2[[#This Row],[Total Direct Construction Cost]]/Table2[[#This Row],[sizing_base_value]]</f>
        <v>105</v>
      </c>
      <c r="Q16" s="6">
        <f>Table2[[#This Row],[Total Indirect Non-Construction Cost]]/Table2[[#This Row],[sizing_base_value]]</f>
        <v>45</v>
      </c>
      <c r="R16" s="6">
        <f>SUM(Table2[[#This Row],[TDCC_cpu]:[TINCC_cpu]])</f>
        <v>150</v>
      </c>
      <c r="S16" s="6">
        <f>Table2[[#This Row],[O&amp;M Costs (annual) (e)]]/Table2[[#This Row],[sizing_base_value]]</f>
        <v>11.5</v>
      </c>
    </row>
    <row r="17" spans="1:19" x14ac:dyDescent="0.25">
      <c r="A17" s="3" t="s">
        <v>33</v>
      </c>
      <c r="B17" s="4" t="str" cm="1">
        <f t="array" ref="B17">_xlfn.XLOOKUP(Table2[[#This Row],[Description]],Table4[[#All],[WQBE_Full_Description]],Table4[[#All],[WQBE_Code]])</f>
        <v>06</v>
      </c>
      <c r="C17" s="4" t="str" cm="1">
        <f t="array" ref="C17">_xlfn.XLOOKUP(Table2[[#This Row],[Description]],Table4[[#All],[WQBE_Full_Description]],Table4[[#All],[Tacoma BMP Type]])</f>
        <v>None</v>
      </c>
      <c r="D17" s="21" t="s">
        <v>34</v>
      </c>
      <c r="E17" s="21">
        <v>1</v>
      </c>
      <c r="F17" s="5" t="s">
        <v>94</v>
      </c>
      <c r="G17" s="21">
        <f>Table2[[#This Row],[Base Unit]]</f>
        <v>1</v>
      </c>
      <c r="H17" s="5" t="str">
        <f>IF(Table2[[#This Row],[sizing_method]]="area", "sqft",IF(Table2[[#This Row],[sizing_method]]="each", "count", "error"))</f>
        <v>count</v>
      </c>
      <c r="I17" s="14">
        <v>11000</v>
      </c>
      <c r="J17" s="14">
        <v>0</v>
      </c>
      <c r="K17" s="14">
        <v>5000</v>
      </c>
      <c r="L17" s="14">
        <v>16000</v>
      </c>
      <c r="M17" s="14">
        <f>SUM(Table2[[#This Row],[Total Direct Construction Cost]:[Total Indirect Non-Construction Cost]])</f>
        <v>16000</v>
      </c>
      <c r="N17" s="14">
        <v>1800</v>
      </c>
      <c r="O17" s="15">
        <v>53000</v>
      </c>
      <c r="P17" s="6">
        <f>Table2[[#This Row],[Total Direct Construction Cost]]/Table2[[#This Row],[sizing_base_value]]</f>
        <v>11000</v>
      </c>
      <c r="Q17" s="6">
        <f>Table2[[#This Row],[Total Indirect Non-Construction Cost]]/Table2[[#This Row],[sizing_base_value]]</f>
        <v>5000</v>
      </c>
      <c r="R17" s="6">
        <f>SUM(Table2[[#This Row],[TDCC_cpu]:[TINCC_cpu]])</f>
        <v>16000</v>
      </c>
      <c r="S17" s="6">
        <f>Table2[[#This Row],[O&amp;M Costs (annual) (e)]]/Table2[[#This Row],[sizing_base_value]]</f>
        <v>1800</v>
      </c>
    </row>
    <row r="18" spans="1:19" x14ac:dyDescent="0.25">
      <c r="A18" s="3" t="s">
        <v>35</v>
      </c>
      <c r="B18" s="4" t="str" cm="1">
        <f t="array" ref="B18">_xlfn.XLOOKUP(Table2[[#This Row],[Description]],Table4[[#All],[WQBE_Full_Description]],Table4[[#All],[WQBE_Code]])</f>
        <v>06B</v>
      </c>
      <c r="C18" s="4" t="str" cm="1">
        <f t="array" ref="C18">_xlfn.XLOOKUP(Table2[[#This Row],[Description]],Table4[[#All],[WQBE_Full_Description]],Table4[[#All],[Tacoma BMP Type]])</f>
        <v>None</v>
      </c>
      <c r="D18" s="21" t="s">
        <v>34</v>
      </c>
      <c r="E18" s="21">
        <v>1</v>
      </c>
      <c r="F18" s="5" t="s">
        <v>94</v>
      </c>
      <c r="G18" s="21">
        <f>Table2[[#This Row],[Base Unit]]</f>
        <v>1</v>
      </c>
      <c r="H18" s="5" t="str">
        <f>IF(Table2[[#This Row],[sizing_method]]="area", "sqft",IF(Table2[[#This Row],[sizing_method]]="each", "count", "error"))</f>
        <v>count</v>
      </c>
      <c r="I18" s="14">
        <v>50000</v>
      </c>
      <c r="J18" s="14">
        <v>0</v>
      </c>
      <c r="K18" s="14">
        <v>22000</v>
      </c>
      <c r="L18" s="14">
        <v>72000</v>
      </c>
      <c r="M18" s="14">
        <f>SUM(Table2[[#This Row],[Total Direct Construction Cost]:[Total Indirect Non-Construction Cost]])</f>
        <v>72000</v>
      </c>
      <c r="N18" s="14">
        <v>1900</v>
      </c>
      <c r="O18" s="15">
        <v>112000</v>
      </c>
      <c r="P18" s="6">
        <f>Table2[[#This Row],[Total Direct Construction Cost]]/Table2[[#This Row],[sizing_base_value]]</f>
        <v>50000</v>
      </c>
      <c r="Q18" s="6">
        <f>Table2[[#This Row],[Total Indirect Non-Construction Cost]]/Table2[[#This Row],[sizing_base_value]]</f>
        <v>22000</v>
      </c>
      <c r="R18" s="6">
        <f>SUM(Table2[[#This Row],[TDCC_cpu]:[TINCC_cpu]])</f>
        <v>72000</v>
      </c>
      <c r="S18" s="6">
        <f>Table2[[#This Row],[O&amp;M Costs (annual) (e)]]/Table2[[#This Row],[sizing_base_value]]</f>
        <v>1900</v>
      </c>
    </row>
    <row r="19" spans="1:19" x14ac:dyDescent="0.25">
      <c r="A19" s="3" t="s">
        <v>37</v>
      </c>
      <c r="B19" s="4" t="str" cm="1">
        <f t="array" ref="B19">_xlfn.XLOOKUP(Table2[[#This Row],[Description]],Table4[[#All],[WQBE_Full_Description]],Table4[[#All],[WQBE_Code]])</f>
        <v>07A</v>
      </c>
      <c r="C19" s="4" t="str" cm="1">
        <f t="array" ref="C19">_xlfn.XLOOKUP(Table2[[#This Row],[Description]],Table4[[#All],[WQBE_Full_Description]],Table4[[#All],[Tacoma BMP Type]])</f>
        <v>None</v>
      </c>
      <c r="D19" s="21" t="s">
        <v>34</v>
      </c>
      <c r="E19" s="21">
        <v>1</v>
      </c>
      <c r="F19" s="5" t="s">
        <v>94</v>
      </c>
      <c r="G19" s="21">
        <f>Table2[[#This Row],[Base Unit]]</f>
        <v>1</v>
      </c>
      <c r="H19" s="5" t="str">
        <f>IF(Table2[[#This Row],[sizing_method]]="area", "sqft",IF(Table2[[#This Row],[sizing_method]]="each", "count", "error"))</f>
        <v>count</v>
      </c>
      <c r="I19" s="14">
        <v>32000</v>
      </c>
      <c r="J19" s="14">
        <v>0</v>
      </c>
      <c r="K19" s="14">
        <v>14000</v>
      </c>
      <c r="L19" s="14">
        <v>46000</v>
      </c>
      <c r="M19" s="14">
        <f>SUM(Table2[[#This Row],[Total Direct Construction Cost]:[Total Indirect Non-Construction Cost]])</f>
        <v>46000</v>
      </c>
      <c r="N19" s="14">
        <v>2000</v>
      </c>
      <c r="O19" s="15">
        <v>86000</v>
      </c>
      <c r="P19" s="6">
        <f>Table2[[#This Row],[Total Direct Construction Cost]]/Table2[[#This Row],[sizing_base_value]]</f>
        <v>32000</v>
      </c>
      <c r="Q19" s="6">
        <f>Table2[[#This Row],[Total Indirect Non-Construction Cost]]/Table2[[#This Row],[sizing_base_value]]</f>
        <v>14000</v>
      </c>
      <c r="R19" s="6">
        <f>SUM(Table2[[#This Row],[TDCC_cpu]:[TINCC_cpu]])</f>
        <v>46000</v>
      </c>
      <c r="S19" s="6">
        <f>Table2[[#This Row],[O&amp;M Costs (annual) (e)]]/Table2[[#This Row],[sizing_base_value]]</f>
        <v>2000</v>
      </c>
    </row>
    <row r="20" spans="1:19" x14ac:dyDescent="0.25">
      <c r="A20" s="3" t="s">
        <v>38</v>
      </c>
      <c r="B20" s="4" t="str" cm="1">
        <f t="array" ref="B20">_xlfn.XLOOKUP(Table2[[#This Row],[Description]],Table4[[#All],[WQBE_Full_Description]],Table4[[#All],[WQBE_Code]])</f>
        <v>07B</v>
      </c>
      <c r="C20" s="4" t="str" cm="1">
        <f t="array" ref="C20">_xlfn.XLOOKUP(Table2[[#This Row],[Description]],Table4[[#All],[WQBE_Full_Description]],Table4[[#All],[Tacoma BMP Type]])</f>
        <v>None</v>
      </c>
      <c r="D20" s="21" t="s">
        <v>34</v>
      </c>
      <c r="E20" s="21">
        <v>1</v>
      </c>
      <c r="F20" s="5" t="s">
        <v>94</v>
      </c>
      <c r="G20" s="21">
        <f>Table2[[#This Row],[Base Unit]]</f>
        <v>1</v>
      </c>
      <c r="H20" s="5" t="str">
        <f>IF(Table2[[#This Row],[sizing_method]]="area", "sqft",IF(Table2[[#This Row],[sizing_method]]="each", "count", "error"))</f>
        <v>count</v>
      </c>
      <c r="I20" s="14">
        <v>46000</v>
      </c>
      <c r="J20" s="14">
        <v>0</v>
      </c>
      <c r="K20" s="14">
        <v>20000</v>
      </c>
      <c r="L20" s="14">
        <v>66000</v>
      </c>
      <c r="M20" s="14">
        <f>SUM(Table2[[#This Row],[Total Direct Construction Cost]:[Total Indirect Non-Construction Cost]])</f>
        <v>66000</v>
      </c>
      <c r="N20" s="14">
        <v>2000</v>
      </c>
      <c r="O20" s="15">
        <v>106000</v>
      </c>
      <c r="P20" s="6">
        <f>Table2[[#This Row],[Total Direct Construction Cost]]/Table2[[#This Row],[sizing_base_value]]</f>
        <v>46000</v>
      </c>
      <c r="Q20" s="6">
        <f>Table2[[#This Row],[Total Indirect Non-Construction Cost]]/Table2[[#This Row],[sizing_base_value]]</f>
        <v>20000</v>
      </c>
      <c r="R20" s="6">
        <f>SUM(Table2[[#This Row],[TDCC_cpu]:[TINCC_cpu]])</f>
        <v>66000</v>
      </c>
      <c r="S20" s="6">
        <f>Table2[[#This Row],[O&amp;M Costs (annual) (e)]]/Table2[[#This Row],[sizing_base_value]]</f>
        <v>2000</v>
      </c>
    </row>
    <row r="21" spans="1:19" x14ac:dyDescent="0.25">
      <c r="A21" s="3" t="s">
        <v>39</v>
      </c>
      <c r="B21" s="4" t="str" cm="1">
        <f t="array" ref="B21">_xlfn.XLOOKUP(Table2[[#This Row],[Description]],Table4[[#All],[WQBE_Full_Description]],Table4[[#All],[WQBE_Code]])</f>
        <v>07C</v>
      </c>
      <c r="C21" s="4" t="str" cm="1">
        <f t="array" ref="C21">_xlfn.XLOOKUP(Table2[[#This Row],[Description]],Table4[[#All],[WQBE_Full_Description]],Table4[[#All],[Tacoma BMP Type]])</f>
        <v>None</v>
      </c>
      <c r="D21" s="21" t="s">
        <v>34</v>
      </c>
      <c r="E21" s="21">
        <v>1</v>
      </c>
      <c r="F21" s="5" t="s">
        <v>94</v>
      </c>
      <c r="G21" s="21">
        <f>Table2[[#This Row],[Base Unit]]</f>
        <v>1</v>
      </c>
      <c r="H21" s="5" t="str">
        <f>IF(Table2[[#This Row],[sizing_method]]="area", "sqft",IF(Table2[[#This Row],[sizing_method]]="each", "count", "error"))</f>
        <v>count</v>
      </c>
      <c r="I21" s="14">
        <v>32000</v>
      </c>
      <c r="J21" s="14">
        <v>1400</v>
      </c>
      <c r="K21" s="14">
        <v>16000</v>
      </c>
      <c r="L21" s="14">
        <v>48000</v>
      </c>
      <c r="M21" s="14">
        <f>SUM(Table2[[#This Row],[Total Direct Construction Cost]:[Total Indirect Non-Construction Cost]])</f>
        <v>49400</v>
      </c>
      <c r="N21" s="14">
        <v>2000</v>
      </c>
      <c r="O21" s="15">
        <v>88000</v>
      </c>
      <c r="P21" s="6">
        <f>Table2[[#This Row],[Total Direct Construction Cost]]/Table2[[#This Row],[sizing_base_value]]</f>
        <v>32000</v>
      </c>
      <c r="Q21" s="6">
        <f>Table2[[#This Row],[Total Indirect Non-Construction Cost]]/Table2[[#This Row],[sizing_base_value]]</f>
        <v>16000</v>
      </c>
      <c r="R21" s="6">
        <f>SUM(Table2[[#This Row],[TDCC_cpu]:[TINCC_cpu]])</f>
        <v>48000</v>
      </c>
      <c r="S21" s="6">
        <f>Table2[[#This Row],[O&amp;M Costs (annual) (e)]]/Table2[[#This Row],[sizing_base_value]]</f>
        <v>2000</v>
      </c>
    </row>
    <row r="22" spans="1:19" x14ac:dyDescent="0.25">
      <c r="A22" s="3" t="s">
        <v>40</v>
      </c>
      <c r="B22" s="4" t="str" cm="1">
        <f t="array" ref="B22">_xlfn.XLOOKUP(Table2[[#This Row],[Description]],Table4[[#All],[WQBE_Full_Description]],Table4[[#All],[WQBE_Code]])</f>
        <v>07D</v>
      </c>
      <c r="C22" s="4" t="str" cm="1">
        <f t="array" ref="C22">_xlfn.XLOOKUP(Table2[[#This Row],[Description]],Table4[[#All],[WQBE_Full_Description]],Table4[[#All],[Tacoma BMP Type]])</f>
        <v>None</v>
      </c>
      <c r="D22" s="21" t="s">
        <v>34</v>
      </c>
      <c r="E22" s="21">
        <v>1</v>
      </c>
      <c r="F22" s="5" t="s">
        <v>94</v>
      </c>
      <c r="G22" s="21">
        <f>Table2[[#This Row],[Base Unit]]</f>
        <v>1</v>
      </c>
      <c r="H22" s="5" t="str">
        <f>IF(Table2[[#This Row],[sizing_method]]="area", "sqft",IF(Table2[[#This Row],[sizing_method]]="each", "count", "error"))</f>
        <v>count</v>
      </c>
      <c r="I22" s="14">
        <v>142000</v>
      </c>
      <c r="J22" s="14">
        <v>0</v>
      </c>
      <c r="K22" s="14">
        <v>62000</v>
      </c>
      <c r="L22" s="14">
        <v>204000</v>
      </c>
      <c r="M22" s="14">
        <f>SUM(Table2[[#This Row],[Total Direct Construction Cost]:[Total Indirect Non-Construction Cost]])</f>
        <v>204000</v>
      </c>
      <c r="N22" s="14">
        <v>4900</v>
      </c>
      <c r="O22" s="15">
        <v>303000</v>
      </c>
      <c r="P22" s="6">
        <f>Table2[[#This Row],[Total Direct Construction Cost]]/Table2[[#This Row],[sizing_base_value]]</f>
        <v>142000</v>
      </c>
      <c r="Q22" s="6">
        <f>Table2[[#This Row],[Total Indirect Non-Construction Cost]]/Table2[[#This Row],[sizing_base_value]]</f>
        <v>62000</v>
      </c>
      <c r="R22" s="6">
        <f>SUM(Table2[[#This Row],[TDCC_cpu]:[TINCC_cpu]])</f>
        <v>204000</v>
      </c>
      <c r="S22" s="6">
        <f>Table2[[#This Row],[O&amp;M Costs (annual) (e)]]/Table2[[#This Row],[sizing_base_value]]</f>
        <v>4900</v>
      </c>
    </row>
    <row r="23" spans="1:19" x14ac:dyDescent="0.25">
      <c r="A23" s="3" t="s">
        <v>41</v>
      </c>
      <c r="B23" s="4" t="str" cm="1">
        <f t="array" ref="B23">_xlfn.XLOOKUP(Table2[[#This Row],[Description]],Table4[[#All],[WQBE_Full_Description]],Table4[[#All],[WQBE_Code]])</f>
        <v>07E</v>
      </c>
      <c r="C23" s="4" t="str" cm="1">
        <f t="array" ref="C23">_xlfn.XLOOKUP(Table2[[#This Row],[Description]],Table4[[#All],[WQBE_Full_Description]],Table4[[#All],[Tacoma BMP Type]])</f>
        <v>None</v>
      </c>
      <c r="D23" s="21" t="s">
        <v>34</v>
      </c>
      <c r="E23" s="21">
        <v>1</v>
      </c>
      <c r="F23" s="5" t="s">
        <v>94</v>
      </c>
      <c r="G23" s="21">
        <f>Table2[[#This Row],[Base Unit]]</f>
        <v>1</v>
      </c>
      <c r="H23" s="5" t="str">
        <f>IF(Table2[[#This Row],[sizing_method]]="area", "sqft",IF(Table2[[#This Row],[sizing_method]]="each", "count", "error"))</f>
        <v>count</v>
      </c>
      <c r="I23" s="14">
        <v>762000</v>
      </c>
      <c r="J23" s="14">
        <v>0</v>
      </c>
      <c r="K23" s="14">
        <v>333000</v>
      </c>
      <c r="L23" s="14">
        <v>1095000</v>
      </c>
      <c r="M23" s="14">
        <f>SUM(Table2[[#This Row],[Total Direct Construction Cost]:[Total Indirect Non-Construction Cost]])</f>
        <v>1095000</v>
      </c>
      <c r="N23" s="14">
        <v>6800</v>
      </c>
      <c r="O23" s="15">
        <v>1239000</v>
      </c>
      <c r="P23" s="6">
        <f>Table2[[#This Row],[Total Direct Construction Cost]]/Table2[[#This Row],[sizing_base_value]]</f>
        <v>762000</v>
      </c>
      <c r="Q23" s="6">
        <f>Table2[[#This Row],[Total Indirect Non-Construction Cost]]/Table2[[#This Row],[sizing_base_value]]</f>
        <v>333000</v>
      </c>
      <c r="R23" s="6">
        <f>SUM(Table2[[#This Row],[TDCC_cpu]:[TINCC_cpu]])</f>
        <v>1095000</v>
      </c>
      <c r="S23" s="6">
        <f>Table2[[#This Row],[O&amp;M Costs (annual) (e)]]/Table2[[#This Row],[sizing_base_value]]</f>
        <v>6800</v>
      </c>
    </row>
    <row r="24" spans="1:19" ht="24" x14ac:dyDescent="0.25">
      <c r="A24" s="3" t="s">
        <v>42</v>
      </c>
      <c r="B24" s="4" t="str" cm="1">
        <f t="array" ref="B24">_xlfn.XLOOKUP(Table2[[#This Row],[Description]],Table4[[#All],[WQBE_Full_Description]],Table4[[#All],[WQBE_Code]])</f>
        <v>07F</v>
      </c>
      <c r="C24" s="4" t="str" cm="1">
        <f t="array" ref="C24">_xlfn.XLOOKUP(Table2[[#This Row],[Description]],Table4[[#All],[WQBE_Full_Description]],Table4[[#All],[Tacoma BMP Type]])</f>
        <v>None</v>
      </c>
      <c r="D24" s="21" t="s">
        <v>34</v>
      </c>
      <c r="E24" s="21">
        <v>1</v>
      </c>
      <c r="F24" s="5" t="s">
        <v>94</v>
      </c>
      <c r="G24" s="21">
        <f>Table2[[#This Row],[Base Unit]]</f>
        <v>1</v>
      </c>
      <c r="H24" s="5" t="str">
        <f>IF(Table2[[#This Row],[sizing_method]]="area", "sqft",IF(Table2[[#This Row],[sizing_method]]="each", "count", "error"))</f>
        <v>count</v>
      </c>
      <c r="I24" s="14">
        <v>650000</v>
      </c>
      <c r="J24" s="14">
        <v>0</v>
      </c>
      <c r="K24" s="14">
        <v>287000</v>
      </c>
      <c r="L24" s="14">
        <v>938000</v>
      </c>
      <c r="M24" s="14">
        <f>SUM(Table2[[#This Row],[Total Direct Construction Cost]:[Total Indirect Non-Construction Cost]])</f>
        <v>937000</v>
      </c>
      <c r="N24" s="14">
        <v>6800</v>
      </c>
      <c r="O24" s="15">
        <v>1083000</v>
      </c>
      <c r="P24" s="6">
        <f>Table2[[#This Row],[Total Direct Construction Cost]]/Table2[[#This Row],[sizing_base_value]]</f>
        <v>650000</v>
      </c>
      <c r="Q24" s="6">
        <f>Table2[[#This Row],[Total Indirect Non-Construction Cost]]/Table2[[#This Row],[sizing_base_value]]</f>
        <v>287000</v>
      </c>
      <c r="R24" s="6">
        <f>SUM(Table2[[#This Row],[TDCC_cpu]:[TINCC_cpu]])</f>
        <v>937000</v>
      </c>
      <c r="S24" s="6">
        <f>Table2[[#This Row],[O&amp;M Costs (annual) (e)]]/Table2[[#This Row],[sizing_base_value]]</f>
        <v>6800</v>
      </c>
    </row>
    <row r="25" spans="1:19" ht="24" x14ac:dyDescent="0.25">
      <c r="A25" s="3" t="s">
        <v>44</v>
      </c>
      <c r="B25" s="4" t="str" cm="1">
        <f t="array" ref="B25">_xlfn.XLOOKUP(Table2[[#This Row],[Description]],Table4[[#All],[WQBE_Full_Description]],Table4[[#All],[WQBE_Code]])</f>
        <v>08A</v>
      </c>
      <c r="C25" s="4" t="str" cm="1">
        <f t="array" ref="C25">_xlfn.XLOOKUP(Table2[[#This Row],[Description]],Table4[[#All],[WQBE_Full_Description]],Table4[[#All],[Tacoma BMP Type]])</f>
        <v>Pervious Pavement</v>
      </c>
      <c r="D25" s="21" t="s">
        <v>26</v>
      </c>
      <c r="E25" s="21">
        <v>200</v>
      </c>
      <c r="F25" s="5" t="s">
        <v>93</v>
      </c>
      <c r="G25" s="21">
        <f>Table2[[#This Row],[Base Unit]]</f>
        <v>200</v>
      </c>
      <c r="H25" s="5" t="str">
        <f>IF(Table2[[#This Row],[sizing_method]]="area", "sqft",IF(Table2[[#This Row],[sizing_method]]="each", "count", "error"))</f>
        <v>sqft</v>
      </c>
      <c r="I25" s="14">
        <v>8000</v>
      </c>
      <c r="J25" s="14">
        <v>0</v>
      </c>
      <c r="K25" s="14">
        <v>4000</v>
      </c>
      <c r="L25" s="14">
        <v>12000</v>
      </c>
      <c r="M25" s="14">
        <f>SUM(Table2[[#This Row],[Total Direct Construction Cost]:[Total Indirect Non-Construction Cost]])</f>
        <v>12000</v>
      </c>
      <c r="N25" s="14">
        <v>2100</v>
      </c>
      <c r="O25" s="15">
        <v>78000</v>
      </c>
      <c r="P25" s="6">
        <f>Table2[[#This Row],[Total Direct Construction Cost]]/Table2[[#This Row],[sizing_base_value]]</f>
        <v>40</v>
      </c>
      <c r="Q25" s="6">
        <f>Table2[[#This Row],[Total Indirect Non-Construction Cost]]/Table2[[#This Row],[sizing_base_value]]</f>
        <v>20</v>
      </c>
      <c r="R25" s="6">
        <f>SUM(Table2[[#This Row],[TDCC_cpu]:[TINCC_cpu]])</f>
        <v>60</v>
      </c>
      <c r="S25" s="6">
        <f>Table2[[#This Row],[O&amp;M Costs (annual) (e)]]/Table2[[#This Row],[sizing_base_value]]</f>
        <v>10.5</v>
      </c>
    </row>
    <row r="26" spans="1:19" ht="24" x14ac:dyDescent="0.25">
      <c r="A26" s="3" t="s">
        <v>45</v>
      </c>
      <c r="B26" s="4" t="str" cm="1">
        <f t="array" ref="B26">_xlfn.XLOOKUP(Table2[[#This Row],[Description]],Table4[[#All],[WQBE_Full_Description]],Table4[[#All],[WQBE_Code]])</f>
        <v>08B</v>
      </c>
      <c r="C26" s="4" t="str" cm="1">
        <f t="array" ref="C26">_xlfn.XLOOKUP(Table2[[#This Row],[Description]],Table4[[#All],[WQBE_Full_Description]],Table4[[#All],[Tacoma BMP Type]])</f>
        <v>Pervious Pavement</v>
      </c>
      <c r="D26" s="21" t="s">
        <v>26</v>
      </c>
      <c r="E26" s="21">
        <v>200</v>
      </c>
      <c r="F26" s="5" t="s">
        <v>93</v>
      </c>
      <c r="G26" s="21">
        <f>Table2[[#This Row],[Base Unit]]</f>
        <v>200</v>
      </c>
      <c r="H26" s="5" t="str">
        <f>IF(Table2[[#This Row],[sizing_method]]="area", "sqft",IF(Table2[[#This Row],[sizing_method]]="each", "count", "error"))</f>
        <v>sqft</v>
      </c>
      <c r="I26" s="14">
        <v>4000</v>
      </c>
      <c r="J26" s="14">
        <v>0</v>
      </c>
      <c r="K26" s="14">
        <v>2000</v>
      </c>
      <c r="L26" s="14">
        <v>6000</v>
      </c>
      <c r="M26" s="14">
        <f>SUM(Table2[[#This Row],[Total Direct Construction Cost]:[Total Indirect Non-Construction Cost]])</f>
        <v>6000</v>
      </c>
      <c r="N26" s="14">
        <v>2200</v>
      </c>
      <c r="O26" s="15">
        <v>60000</v>
      </c>
      <c r="P26" s="6">
        <f>Table2[[#This Row],[Total Direct Construction Cost]]/Table2[[#This Row],[sizing_base_value]]</f>
        <v>20</v>
      </c>
      <c r="Q26" s="6">
        <f>Table2[[#This Row],[Total Indirect Non-Construction Cost]]/Table2[[#This Row],[sizing_base_value]]</f>
        <v>10</v>
      </c>
      <c r="R26" s="6">
        <f>SUM(Table2[[#This Row],[TDCC_cpu]:[TINCC_cpu]])</f>
        <v>30</v>
      </c>
      <c r="S26" s="6">
        <f>Table2[[#This Row],[O&amp;M Costs (annual) (e)]]/Table2[[#This Row],[sizing_base_value]]</f>
        <v>11</v>
      </c>
    </row>
    <row r="27" spans="1:19" ht="24" x14ac:dyDescent="0.25">
      <c r="A27" s="3" t="s">
        <v>46</v>
      </c>
      <c r="B27" s="4" t="str" cm="1">
        <f t="array" ref="B27">_xlfn.XLOOKUP(Table2[[#This Row],[Description]],Table4[[#All],[WQBE_Full_Description]],Table4[[#All],[WQBE_Code]])</f>
        <v>08C</v>
      </c>
      <c r="C27" s="4" t="str" cm="1">
        <f t="array" ref="C27">_xlfn.XLOOKUP(Table2[[#This Row],[Description]],Table4[[#All],[WQBE_Full_Description]],Table4[[#All],[Tacoma BMP Type]])</f>
        <v>Pervious Pavement</v>
      </c>
      <c r="D27" s="21" t="s">
        <v>26</v>
      </c>
      <c r="E27" s="21">
        <v>200</v>
      </c>
      <c r="F27" s="5" t="s">
        <v>93</v>
      </c>
      <c r="G27" s="21">
        <f>Table2[[#This Row],[Base Unit]]</f>
        <v>200</v>
      </c>
      <c r="H27" s="5" t="str">
        <f>IF(Table2[[#This Row],[sizing_method]]="area", "sqft",IF(Table2[[#This Row],[sizing_method]]="each", "count", "error"))</f>
        <v>sqft</v>
      </c>
      <c r="I27" s="14">
        <v>3000</v>
      </c>
      <c r="J27" s="14">
        <v>0</v>
      </c>
      <c r="K27" s="14">
        <v>1000</v>
      </c>
      <c r="L27" s="14">
        <v>4000</v>
      </c>
      <c r="M27" s="14">
        <f>SUM(Table2[[#This Row],[Total Direct Construction Cost]:[Total Indirect Non-Construction Cost]])</f>
        <v>4000</v>
      </c>
      <c r="N27" s="14">
        <v>2100</v>
      </c>
      <c r="O27" s="15">
        <v>55000</v>
      </c>
      <c r="P27" s="6">
        <f>Table2[[#This Row],[Total Direct Construction Cost]]/Table2[[#This Row],[sizing_base_value]]</f>
        <v>15</v>
      </c>
      <c r="Q27" s="6">
        <f>Table2[[#This Row],[Total Indirect Non-Construction Cost]]/Table2[[#This Row],[sizing_base_value]]</f>
        <v>5</v>
      </c>
      <c r="R27" s="6">
        <f>SUM(Table2[[#This Row],[TDCC_cpu]:[TINCC_cpu]])</f>
        <v>20</v>
      </c>
      <c r="S27" s="6">
        <f>Table2[[#This Row],[O&amp;M Costs (annual) (e)]]/Table2[[#This Row],[sizing_base_value]]</f>
        <v>10.5</v>
      </c>
    </row>
    <row r="28" spans="1:19" ht="24" x14ac:dyDescent="0.25">
      <c r="A28" s="3" t="s">
        <v>47</v>
      </c>
      <c r="B28" s="4" t="str" cm="1">
        <f t="array" ref="B28">_xlfn.XLOOKUP(Table2[[#This Row],[Description]],Table4[[#All],[WQBE_Full_Description]],Table4[[#All],[WQBE_Code]])</f>
        <v>08D</v>
      </c>
      <c r="C28" s="4" t="str" cm="1">
        <f t="array" ref="C28">_xlfn.XLOOKUP(Table2[[#This Row],[Description]],Table4[[#All],[WQBE_Full_Description]],Table4[[#All],[Tacoma BMP Type]])</f>
        <v>Pervious Pavement</v>
      </c>
      <c r="D28" s="21" t="s">
        <v>26</v>
      </c>
      <c r="E28" s="21">
        <v>200</v>
      </c>
      <c r="F28" s="5" t="s">
        <v>93</v>
      </c>
      <c r="G28" s="21">
        <f>Table2[[#This Row],[Base Unit]]</f>
        <v>200</v>
      </c>
      <c r="H28" s="5" t="str">
        <f>IF(Table2[[#This Row],[sizing_method]]="area", "sqft",IF(Table2[[#This Row],[sizing_method]]="each", "count", "error"))</f>
        <v>sqft</v>
      </c>
      <c r="I28" s="14">
        <v>3000</v>
      </c>
      <c r="J28" s="14">
        <v>0</v>
      </c>
      <c r="K28" s="14">
        <v>1000</v>
      </c>
      <c r="L28" s="14">
        <v>4000</v>
      </c>
      <c r="M28" s="14">
        <f>SUM(Table2[[#This Row],[Total Direct Construction Cost]:[Total Indirect Non-Construction Cost]])</f>
        <v>4000</v>
      </c>
      <c r="N28" s="14">
        <v>2100</v>
      </c>
      <c r="O28" s="15">
        <v>54000</v>
      </c>
      <c r="P28" s="6">
        <f>Table2[[#This Row],[Total Direct Construction Cost]]/Table2[[#This Row],[sizing_base_value]]</f>
        <v>15</v>
      </c>
      <c r="Q28" s="6">
        <f>Table2[[#This Row],[Total Indirect Non-Construction Cost]]/Table2[[#This Row],[sizing_base_value]]</f>
        <v>5</v>
      </c>
      <c r="R28" s="6">
        <f>SUM(Table2[[#This Row],[TDCC_cpu]:[TINCC_cpu]])</f>
        <v>20</v>
      </c>
      <c r="S28" s="6">
        <f>Table2[[#This Row],[O&amp;M Costs (annual) (e)]]/Table2[[#This Row],[sizing_base_value]]</f>
        <v>10.5</v>
      </c>
    </row>
    <row r="29" spans="1:19" ht="24" x14ac:dyDescent="0.25">
      <c r="A29" s="3" t="s">
        <v>49</v>
      </c>
      <c r="B29" s="4" t="str" cm="1">
        <f t="array" ref="B29">_xlfn.XLOOKUP(Table2[[#This Row],[Description]],Table4[[#All],[WQBE_Full_Description]],Table4[[#All],[WQBE_Code]])</f>
        <v>9A</v>
      </c>
      <c r="C29" s="4" t="str" cm="1">
        <f t="array" ref="C29">_xlfn.XLOOKUP(Table2[[#This Row],[Description]],Table4[[#All],[WQBE_Full_Description]],Table4[[#All],[Tacoma BMP Type]])</f>
        <v>None</v>
      </c>
      <c r="D29" s="21" t="s">
        <v>50</v>
      </c>
      <c r="E29" s="21">
        <v>200</v>
      </c>
      <c r="F29" s="5" t="s">
        <v>93</v>
      </c>
      <c r="G29" s="21">
        <f>Table2[[#This Row],[Base Unit]]</f>
        <v>200</v>
      </c>
      <c r="H29" s="5" t="str">
        <f>IF(Table2[[#This Row],[sizing_method]]="area", "sqft",IF(Table2[[#This Row],[sizing_method]]="each", "count", "error"))</f>
        <v>sqft</v>
      </c>
      <c r="I29" s="14">
        <v>1000</v>
      </c>
      <c r="J29" s="14">
        <v>0</v>
      </c>
      <c r="K29" s="14">
        <v>1000</v>
      </c>
      <c r="L29" s="14">
        <v>2000</v>
      </c>
      <c r="M29" s="14">
        <f>SUM(Table2[[#This Row],[Total Direct Construction Cost]:[Total Indirect Non-Construction Cost]])</f>
        <v>2000</v>
      </c>
      <c r="N29" s="14">
        <v>600</v>
      </c>
      <c r="O29" s="15">
        <v>15000</v>
      </c>
      <c r="P29" s="6">
        <f>Table2[[#This Row],[Total Direct Construction Cost]]/Table2[[#This Row],[sizing_base_value]]</f>
        <v>5</v>
      </c>
      <c r="Q29" s="6">
        <f>Table2[[#This Row],[Total Indirect Non-Construction Cost]]/Table2[[#This Row],[sizing_base_value]]</f>
        <v>5</v>
      </c>
      <c r="R29" s="6">
        <f>SUM(Table2[[#This Row],[TDCC_cpu]:[TINCC_cpu]])</f>
        <v>10</v>
      </c>
      <c r="S29" s="6">
        <f>Table2[[#This Row],[O&amp;M Costs (annual) (e)]]/Table2[[#This Row],[sizing_base_value]]</f>
        <v>3</v>
      </c>
    </row>
    <row r="30" spans="1:19" ht="24" x14ac:dyDescent="0.25">
      <c r="A30" s="3" t="s">
        <v>51</v>
      </c>
      <c r="B30" s="4" t="str" cm="1">
        <f t="array" ref="B30">_xlfn.XLOOKUP(Table2[[#This Row],[Description]],Table4[[#All],[WQBE_Full_Description]],Table4[[#All],[WQBE_Code]])</f>
        <v>9B</v>
      </c>
      <c r="C30" s="4" t="str" cm="1">
        <f t="array" ref="C30">_xlfn.XLOOKUP(Table2[[#This Row],[Description]],Table4[[#All],[WQBE_Full_Description]],Table4[[#All],[Tacoma BMP Type]])</f>
        <v>None</v>
      </c>
      <c r="D30" s="21" t="s">
        <v>50</v>
      </c>
      <c r="E30" s="21">
        <v>200</v>
      </c>
      <c r="F30" s="5" t="s">
        <v>93</v>
      </c>
      <c r="G30" s="21">
        <f>Table2[[#This Row],[Base Unit]]</f>
        <v>200</v>
      </c>
      <c r="H30" s="5" t="str">
        <f>IF(Table2[[#This Row],[sizing_method]]="area", "sqft",IF(Table2[[#This Row],[sizing_method]]="each", "count", "error"))</f>
        <v>sqft</v>
      </c>
      <c r="I30" s="14">
        <v>1000</v>
      </c>
      <c r="J30" s="14">
        <v>0</v>
      </c>
      <c r="K30" s="14">
        <v>1000</v>
      </c>
      <c r="L30" s="14">
        <v>2000</v>
      </c>
      <c r="M30" s="14">
        <f>SUM(Table2[[#This Row],[Total Direct Construction Cost]:[Total Indirect Non-Construction Cost]])</f>
        <v>2000</v>
      </c>
      <c r="N30" s="14">
        <v>600</v>
      </c>
      <c r="O30" s="15">
        <v>15000</v>
      </c>
      <c r="P30" s="6">
        <f>Table2[[#This Row],[Total Direct Construction Cost]]/Table2[[#This Row],[sizing_base_value]]</f>
        <v>5</v>
      </c>
      <c r="Q30" s="6">
        <f>Table2[[#This Row],[Total Indirect Non-Construction Cost]]/Table2[[#This Row],[sizing_base_value]]</f>
        <v>5</v>
      </c>
      <c r="R30" s="6">
        <f>SUM(Table2[[#This Row],[TDCC_cpu]:[TINCC_cpu]])</f>
        <v>10</v>
      </c>
      <c r="S30" s="6">
        <f>Table2[[#This Row],[O&amp;M Costs (annual) (e)]]/Table2[[#This Row],[sizing_base_value]]</f>
        <v>3</v>
      </c>
    </row>
    <row r="31" spans="1:19" x14ac:dyDescent="0.25">
      <c r="A31" s="3" t="s">
        <v>54</v>
      </c>
      <c r="B31" s="4" t="str" cm="1">
        <f t="array" ref="B31">_xlfn.XLOOKUP(Table2[[#This Row],[Description]],Table4[[#All],[WQBE_Full_Description]],Table4[[#All],[WQBE_Code]])</f>
        <v>11A</v>
      </c>
      <c r="C31" s="4" t="str" cm="1">
        <f t="array" ref="C31">_xlfn.XLOOKUP(Table2[[#This Row],[Description]],Table4[[#All],[WQBE_Full_Description]],Table4[[#All],[Tacoma BMP Type]])</f>
        <v>Tank</v>
      </c>
      <c r="D31" s="21" t="s">
        <v>34</v>
      </c>
      <c r="E31" s="21">
        <v>1</v>
      </c>
      <c r="F31" s="5" t="s">
        <v>94</v>
      </c>
      <c r="G31" s="21">
        <f>Table2[[#This Row],[Base Unit]]</f>
        <v>1</v>
      </c>
      <c r="H31" s="5" t="str">
        <f>IF(Table2[[#This Row],[sizing_method]]="area", "sqft",IF(Table2[[#This Row],[sizing_method]]="each", "count", "error"))</f>
        <v>count</v>
      </c>
      <c r="I31" s="14">
        <v>3519000</v>
      </c>
      <c r="J31" s="14">
        <v>0</v>
      </c>
      <c r="K31" s="14">
        <v>2710000</v>
      </c>
      <c r="L31" s="14">
        <v>6229000</v>
      </c>
      <c r="M31" s="14">
        <f>SUM(Table2[[#This Row],[Total Direct Construction Cost]:[Total Indirect Non-Construction Cost]])</f>
        <v>6229000</v>
      </c>
      <c r="N31" s="14">
        <v>4900</v>
      </c>
      <c r="O31" s="15">
        <v>6352000</v>
      </c>
      <c r="P31" s="6">
        <f>Table2[[#This Row],[Total Direct Construction Cost]]/Table2[[#This Row],[sizing_base_value]]</f>
        <v>3519000</v>
      </c>
      <c r="Q31" s="6">
        <f>Table2[[#This Row],[Total Indirect Non-Construction Cost]]/Table2[[#This Row],[sizing_base_value]]</f>
        <v>2710000</v>
      </c>
      <c r="R31" s="6">
        <f>SUM(Table2[[#This Row],[TDCC_cpu]:[TINCC_cpu]])</f>
        <v>6229000</v>
      </c>
      <c r="S31" s="6">
        <f>Table2[[#This Row],[O&amp;M Costs (annual) (e)]]/Table2[[#This Row],[sizing_base_value]]</f>
        <v>4900</v>
      </c>
    </row>
    <row r="32" spans="1:19" x14ac:dyDescent="0.25">
      <c r="A32" s="3" t="s">
        <v>55</v>
      </c>
      <c r="B32" s="4" t="str" cm="1">
        <f t="array" ref="B32">_xlfn.XLOOKUP(Table2[[#This Row],[Description]],Table4[[#All],[WQBE_Full_Description]],Table4[[#All],[WQBE_Code]])</f>
        <v>11B</v>
      </c>
      <c r="C32" s="4" t="str" cm="1">
        <f t="array" ref="C32">_xlfn.XLOOKUP(Table2[[#This Row],[Description]],Table4[[#All],[WQBE_Full_Description]],Table4[[#All],[Tacoma BMP Type]])</f>
        <v>Tank</v>
      </c>
      <c r="D32" s="21" t="s">
        <v>34</v>
      </c>
      <c r="E32" s="21">
        <v>1</v>
      </c>
      <c r="F32" s="5" t="s">
        <v>94</v>
      </c>
      <c r="G32" s="21">
        <f>Table2[[#This Row],[Base Unit]]</f>
        <v>1</v>
      </c>
      <c r="H32" s="5" t="str">
        <f>IF(Table2[[#This Row],[sizing_method]]="area", "sqft",IF(Table2[[#This Row],[sizing_method]]="each", "count", "error"))</f>
        <v>count</v>
      </c>
      <c r="I32" s="14">
        <v>4473000</v>
      </c>
      <c r="J32" s="14">
        <v>0</v>
      </c>
      <c r="K32" s="14">
        <v>3130500</v>
      </c>
      <c r="L32" s="14">
        <v>7603000</v>
      </c>
      <c r="M32" s="14">
        <f>SUM(Table2[[#This Row],[Total Direct Construction Cost]:[Total Indirect Non-Construction Cost]])</f>
        <v>7603500</v>
      </c>
      <c r="N32" s="14">
        <v>4900</v>
      </c>
      <c r="O32" s="15">
        <v>7727000</v>
      </c>
      <c r="P32" s="6">
        <f>Table2[[#This Row],[Total Direct Construction Cost]]/Table2[[#This Row],[sizing_base_value]]</f>
        <v>4473000</v>
      </c>
      <c r="Q32" s="6">
        <f>Table2[[#This Row],[Total Indirect Non-Construction Cost]]/Table2[[#This Row],[sizing_base_value]]</f>
        <v>3130500</v>
      </c>
      <c r="R32" s="6">
        <f>SUM(Table2[[#This Row],[TDCC_cpu]:[TINCC_cpu]])</f>
        <v>7603500</v>
      </c>
      <c r="S32" s="6">
        <f>Table2[[#This Row],[O&amp;M Costs (annual) (e)]]/Table2[[#This Row],[sizing_base_value]]</f>
        <v>4900</v>
      </c>
    </row>
    <row r="33" spans="1:19" x14ac:dyDescent="0.25">
      <c r="A33" s="3" t="s">
        <v>56</v>
      </c>
      <c r="B33" s="4" t="str" cm="1">
        <f t="array" ref="B33">_xlfn.XLOOKUP(Table2[[#This Row],[Description]],Table4[[#All],[WQBE_Full_Description]],Table4[[#All],[WQBE_Code]])</f>
        <v>11C</v>
      </c>
      <c r="C33" s="4" t="str" cm="1">
        <f t="array" ref="C33">_xlfn.XLOOKUP(Table2[[#This Row],[Description]],Table4[[#All],[WQBE_Full_Description]],Table4[[#All],[Tacoma BMP Type]])</f>
        <v>Tank</v>
      </c>
      <c r="D33" s="21" t="s">
        <v>34</v>
      </c>
      <c r="E33" s="21">
        <v>1</v>
      </c>
      <c r="F33" s="5" t="s">
        <v>94</v>
      </c>
      <c r="G33" s="21">
        <f>Table2[[#This Row],[Base Unit]]</f>
        <v>1</v>
      </c>
      <c r="H33" s="5" t="str">
        <f>IF(Table2[[#This Row],[sizing_method]]="area", "sqft",IF(Table2[[#This Row],[sizing_method]]="each", "count", "error"))</f>
        <v>count</v>
      </c>
      <c r="I33" s="14">
        <v>3519000</v>
      </c>
      <c r="J33" s="14">
        <v>589000</v>
      </c>
      <c r="K33" s="14">
        <v>3446000</v>
      </c>
      <c r="L33" s="14">
        <v>6965000</v>
      </c>
      <c r="M33" s="14">
        <f>SUM(Table2[[#This Row],[Total Direct Construction Cost]:[Total Indirect Non-Construction Cost]])</f>
        <v>7554000</v>
      </c>
      <c r="N33" s="14">
        <v>4900</v>
      </c>
      <c r="O33" s="15">
        <v>7085000</v>
      </c>
      <c r="P33" s="6">
        <f>Table2[[#This Row],[Total Direct Construction Cost]]/Table2[[#This Row],[sizing_base_value]]</f>
        <v>3519000</v>
      </c>
      <c r="Q33" s="6">
        <f>Table2[[#This Row],[Total Indirect Non-Construction Cost]]/Table2[[#This Row],[sizing_base_value]]</f>
        <v>3446000</v>
      </c>
      <c r="R33" s="6">
        <f>SUM(Table2[[#This Row],[TDCC_cpu]:[TINCC_cpu]])</f>
        <v>6965000</v>
      </c>
      <c r="S33" s="6">
        <f>Table2[[#This Row],[O&amp;M Costs (annual) (e)]]/Table2[[#This Row],[sizing_base_value]]</f>
        <v>4900</v>
      </c>
    </row>
    <row r="34" spans="1:19" x14ac:dyDescent="0.25">
      <c r="A34" s="3" t="s">
        <v>58</v>
      </c>
      <c r="B34" s="4" t="str" cm="1">
        <f t="array" ref="B34">_xlfn.XLOOKUP(Table2[[#This Row],[Description]],Table4[[#All],[WQBE_Full_Description]],Table4[[#All],[WQBE_Code]])</f>
        <v>12A</v>
      </c>
      <c r="C34" s="4" t="str" cm="1">
        <f t="array" ref="C34">_xlfn.XLOOKUP(Table2[[#This Row],[Description]],Table4[[#All],[WQBE_Full_Description]],Table4[[#All],[Tacoma BMP Type]])</f>
        <v>Holding Basin</v>
      </c>
      <c r="D34" s="21" t="s">
        <v>34</v>
      </c>
      <c r="E34" s="21">
        <v>1</v>
      </c>
      <c r="F34" s="5" t="s">
        <v>94</v>
      </c>
      <c r="G34" s="21">
        <f>Table2[[#This Row],[Base Unit]]</f>
        <v>1</v>
      </c>
      <c r="H34" s="5" t="str">
        <f>IF(Table2[[#This Row],[sizing_method]]="area", "sqft",IF(Table2[[#This Row],[sizing_method]]="each", "count", "error"))</f>
        <v>count</v>
      </c>
      <c r="I34" s="14">
        <v>617000</v>
      </c>
      <c r="J34" s="14">
        <v>0</v>
      </c>
      <c r="K34" s="14">
        <v>484000</v>
      </c>
      <c r="L34" s="14">
        <v>1102000</v>
      </c>
      <c r="M34" s="14">
        <f>SUM(Table2[[#This Row],[Total Direct Construction Cost]:[Total Indirect Non-Construction Cost]])</f>
        <v>1101000</v>
      </c>
      <c r="N34" s="14">
        <v>9400</v>
      </c>
      <c r="O34" s="15">
        <v>1473000</v>
      </c>
      <c r="P34" s="6">
        <f>Table2[[#This Row],[Total Direct Construction Cost]]/Table2[[#This Row],[sizing_base_value]]</f>
        <v>617000</v>
      </c>
      <c r="Q34" s="6">
        <f>Table2[[#This Row],[Total Indirect Non-Construction Cost]]/Table2[[#This Row],[sizing_base_value]]</f>
        <v>484000</v>
      </c>
      <c r="R34" s="6">
        <f>SUM(Table2[[#This Row],[TDCC_cpu]:[TINCC_cpu]])</f>
        <v>1101000</v>
      </c>
      <c r="S34" s="6">
        <f>Table2[[#This Row],[O&amp;M Costs (annual) (e)]]/Table2[[#This Row],[sizing_base_value]]</f>
        <v>9400</v>
      </c>
    </row>
    <row r="35" spans="1:19" x14ac:dyDescent="0.25">
      <c r="A35" s="3" t="s">
        <v>59</v>
      </c>
      <c r="B35" s="4" t="str" cm="1">
        <f t="array" ref="B35">_xlfn.XLOOKUP(Table2[[#This Row],[Description]],Table4[[#All],[WQBE_Full_Description]],Table4[[#All],[WQBE_Code]])</f>
        <v>12B</v>
      </c>
      <c r="C35" s="4" t="str" cm="1">
        <f t="array" ref="C35">_xlfn.XLOOKUP(Table2[[#This Row],[Description]],Table4[[#All],[WQBE_Full_Description]],Table4[[#All],[Tacoma BMP Type]])</f>
        <v>Holding Basin</v>
      </c>
      <c r="D35" s="21" t="s">
        <v>34</v>
      </c>
      <c r="E35" s="21">
        <v>1</v>
      </c>
      <c r="F35" s="5" t="s">
        <v>94</v>
      </c>
      <c r="G35" s="21">
        <f>Table2[[#This Row],[Base Unit]]</f>
        <v>1</v>
      </c>
      <c r="H35" s="5" t="str">
        <f>IF(Table2[[#This Row],[sizing_method]]="area", "sqft",IF(Table2[[#This Row],[sizing_method]]="each", "count", "error"))</f>
        <v>count</v>
      </c>
      <c r="I35" s="14">
        <v>617000</v>
      </c>
      <c r="J35" s="14">
        <v>1073000</v>
      </c>
      <c r="K35" s="14">
        <v>1826000</v>
      </c>
      <c r="L35" s="14">
        <v>2443000</v>
      </c>
      <c r="M35" s="14">
        <f>SUM(Table2[[#This Row],[Total Direct Construction Cost]:[Total Indirect Non-Construction Cost]])</f>
        <v>3516000</v>
      </c>
      <c r="N35" s="14">
        <v>9400</v>
      </c>
      <c r="O35" s="15">
        <v>2807000</v>
      </c>
      <c r="P35" s="6">
        <f>Table2[[#This Row],[Total Direct Construction Cost]]/Table2[[#This Row],[sizing_base_value]]</f>
        <v>617000</v>
      </c>
      <c r="Q35" s="6">
        <f>Table2[[#This Row],[Total Indirect Non-Construction Cost]]/Table2[[#This Row],[sizing_base_value]]</f>
        <v>1826000</v>
      </c>
      <c r="R35" s="6">
        <f>SUM(Table2[[#This Row],[TDCC_cpu]:[TINCC_cpu]])</f>
        <v>2443000</v>
      </c>
      <c r="S35" s="6">
        <f>Table2[[#This Row],[O&amp;M Costs (annual) (e)]]/Table2[[#This Row],[sizing_base_value]]</f>
        <v>9400</v>
      </c>
    </row>
    <row r="36" spans="1:19" x14ac:dyDescent="0.25">
      <c r="A36" s="3" t="s">
        <v>61</v>
      </c>
      <c r="B36" s="4" t="str" cm="1">
        <f t="array" ref="B36">_xlfn.XLOOKUP(Table2[[#This Row],[Description]],Table4[[#All],[WQBE_Full_Description]],Table4[[#All],[WQBE_Code]])</f>
        <v>13A</v>
      </c>
      <c r="C36" s="4" t="str" cm="1">
        <f t="array" ref="C36">_xlfn.XLOOKUP(Table2[[#This Row],[Description]],Table4[[#All],[WQBE_Full_Description]],Table4[[#All],[Tacoma BMP Type]])</f>
        <v>Pond</v>
      </c>
      <c r="D36" s="21" t="s">
        <v>34</v>
      </c>
      <c r="E36" s="21">
        <v>1</v>
      </c>
      <c r="F36" s="5" t="s">
        <v>94</v>
      </c>
      <c r="G36" s="21">
        <f>Table2[[#This Row],[Base Unit]]</f>
        <v>1</v>
      </c>
      <c r="H36" s="5" t="str">
        <f>IF(Table2[[#This Row],[sizing_method]]="area", "sqft",IF(Table2[[#This Row],[sizing_method]]="each", "count", "error"))</f>
        <v>count</v>
      </c>
      <c r="I36" s="14">
        <v>395000</v>
      </c>
      <c r="J36" s="14">
        <v>0</v>
      </c>
      <c r="K36" s="14">
        <v>310000</v>
      </c>
      <c r="L36" s="14">
        <v>705000</v>
      </c>
      <c r="M36" s="14">
        <f>SUM(Table2[[#This Row],[Total Direct Construction Cost]:[Total Indirect Non-Construction Cost]])</f>
        <v>705000</v>
      </c>
      <c r="N36" s="14">
        <v>5500</v>
      </c>
      <c r="O36" s="15">
        <v>971000</v>
      </c>
      <c r="P36" s="6">
        <f>Table2[[#This Row],[Total Direct Construction Cost]]/Table2[[#This Row],[sizing_base_value]]</f>
        <v>395000</v>
      </c>
      <c r="Q36" s="6">
        <f>Table2[[#This Row],[Total Indirect Non-Construction Cost]]/Table2[[#This Row],[sizing_base_value]]</f>
        <v>310000</v>
      </c>
      <c r="R36" s="6">
        <f>SUM(Table2[[#This Row],[TDCC_cpu]:[TINCC_cpu]])</f>
        <v>705000</v>
      </c>
      <c r="S36" s="6">
        <f>Table2[[#This Row],[O&amp;M Costs (annual) (e)]]/Table2[[#This Row],[sizing_base_value]]</f>
        <v>5500</v>
      </c>
    </row>
    <row r="37" spans="1:19" x14ac:dyDescent="0.25">
      <c r="A37" s="3" t="s">
        <v>62</v>
      </c>
      <c r="B37" s="4" t="str" cm="1">
        <f t="array" ref="B37">_xlfn.XLOOKUP(Table2[[#This Row],[Description]],Table4[[#All],[WQBE_Full_Description]],Table4[[#All],[WQBE_Code]])</f>
        <v>13B</v>
      </c>
      <c r="C37" s="4" t="str" cm="1">
        <f t="array" ref="C37">_xlfn.XLOOKUP(Table2[[#This Row],[Description]],Table4[[#All],[WQBE_Full_Description]],Table4[[#All],[Tacoma BMP Type]])</f>
        <v>Pond</v>
      </c>
      <c r="D37" s="21" t="s">
        <v>34</v>
      </c>
      <c r="E37" s="21">
        <v>1</v>
      </c>
      <c r="F37" s="5" t="s">
        <v>94</v>
      </c>
      <c r="G37" s="21">
        <f>Table2[[#This Row],[Base Unit]]</f>
        <v>1</v>
      </c>
      <c r="H37" s="5" t="str">
        <f>IF(Table2[[#This Row],[sizing_method]]="area", "sqft",IF(Table2[[#This Row],[sizing_method]]="each", "count", "error"))</f>
        <v>count</v>
      </c>
      <c r="I37" s="14">
        <v>352000</v>
      </c>
      <c r="J37" s="14">
        <v>0</v>
      </c>
      <c r="K37" s="14">
        <v>276000</v>
      </c>
      <c r="L37" s="14">
        <v>629000</v>
      </c>
      <c r="M37" s="14">
        <f>SUM(Table2[[#This Row],[Total Direct Construction Cost]:[Total Indirect Non-Construction Cost]])</f>
        <v>628000</v>
      </c>
      <c r="N37" s="14">
        <v>3500</v>
      </c>
      <c r="O37" s="15">
        <v>836000</v>
      </c>
      <c r="P37" s="6">
        <f>Table2[[#This Row],[Total Direct Construction Cost]]/Table2[[#This Row],[sizing_base_value]]</f>
        <v>352000</v>
      </c>
      <c r="Q37" s="6">
        <f>Table2[[#This Row],[Total Indirect Non-Construction Cost]]/Table2[[#This Row],[sizing_base_value]]</f>
        <v>276000</v>
      </c>
      <c r="R37" s="6">
        <f>SUM(Table2[[#This Row],[TDCC_cpu]:[TINCC_cpu]])</f>
        <v>628000</v>
      </c>
      <c r="S37" s="6">
        <f>Table2[[#This Row],[O&amp;M Costs (annual) (e)]]/Table2[[#This Row],[sizing_base_value]]</f>
        <v>3500</v>
      </c>
    </row>
    <row r="38" spans="1:19" x14ac:dyDescent="0.25">
      <c r="A38" s="3" t="s">
        <v>63</v>
      </c>
      <c r="B38" s="4" t="str" cm="1">
        <f t="array" ref="B38">_xlfn.XLOOKUP(Table2[[#This Row],[Description]],Table4[[#All],[WQBE_Full_Description]],Table4[[#All],[WQBE_Code]])</f>
        <v>13C</v>
      </c>
      <c r="C38" s="4" t="str" cm="1">
        <f t="array" ref="C38">_xlfn.XLOOKUP(Table2[[#This Row],[Description]],Table4[[#All],[WQBE_Full_Description]],Table4[[#All],[Tacoma BMP Type]])</f>
        <v>Pond</v>
      </c>
      <c r="D38" s="21" t="s">
        <v>34</v>
      </c>
      <c r="E38" s="21">
        <v>1</v>
      </c>
      <c r="F38" s="5" t="s">
        <v>94</v>
      </c>
      <c r="G38" s="21">
        <f>Table2[[#This Row],[Base Unit]]</f>
        <v>1</v>
      </c>
      <c r="H38" s="5" t="str">
        <f>IF(Table2[[#This Row],[sizing_method]]="area", "sqft",IF(Table2[[#This Row],[sizing_method]]="each", "count", "error"))</f>
        <v>count</v>
      </c>
      <c r="I38" s="14">
        <v>395000</v>
      </c>
      <c r="J38" s="14">
        <v>903000</v>
      </c>
      <c r="K38" s="14">
        <v>1439000</v>
      </c>
      <c r="L38" s="14">
        <v>1834000</v>
      </c>
      <c r="M38" s="14">
        <f>SUM(Table2[[#This Row],[Total Direct Construction Cost]:[Total Indirect Non-Construction Cost]])</f>
        <v>2737000</v>
      </c>
      <c r="N38" s="14">
        <v>5500</v>
      </c>
      <c r="O38" s="15">
        <v>2094000</v>
      </c>
      <c r="P38" s="6">
        <f>Table2[[#This Row],[Total Direct Construction Cost]]/Table2[[#This Row],[sizing_base_value]]</f>
        <v>395000</v>
      </c>
      <c r="Q38" s="6">
        <f>Table2[[#This Row],[Total Indirect Non-Construction Cost]]/Table2[[#This Row],[sizing_base_value]]</f>
        <v>1439000</v>
      </c>
      <c r="R38" s="6">
        <f>SUM(Table2[[#This Row],[TDCC_cpu]:[TINCC_cpu]])</f>
        <v>1834000</v>
      </c>
      <c r="S38" s="6">
        <f>Table2[[#This Row],[O&amp;M Costs (annual) (e)]]/Table2[[#This Row],[sizing_base_value]]</f>
        <v>5500</v>
      </c>
    </row>
    <row r="39" spans="1:19" x14ac:dyDescent="0.25">
      <c r="A39" s="3" t="s">
        <v>64</v>
      </c>
      <c r="B39" s="4" t="str" cm="1">
        <f t="array" ref="B39">_xlfn.XLOOKUP(Table2[[#This Row],[Description]],Table4[[#All],[WQBE_Full_Description]],Table4[[#All],[WQBE_Code]])</f>
        <v>13D</v>
      </c>
      <c r="C39" s="4" t="str" cm="1">
        <f t="array" ref="C39">_xlfn.XLOOKUP(Table2[[#This Row],[Description]],Table4[[#All],[WQBE_Full_Description]],Table4[[#All],[Tacoma BMP Type]])</f>
        <v>Pond</v>
      </c>
      <c r="D39" s="21" t="s">
        <v>34</v>
      </c>
      <c r="E39" s="21">
        <v>1</v>
      </c>
      <c r="F39" s="5" t="s">
        <v>94</v>
      </c>
      <c r="G39" s="21">
        <f>Table2[[#This Row],[Base Unit]]</f>
        <v>1</v>
      </c>
      <c r="H39" s="5" t="str">
        <f>IF(Table2[[#This Row],[sizing_method]]="area", "sqft",IF(Table2[[#This Row],[sizing_method]]="each", "count", "error"))</f>
        <v>count</v>
      </c>
      <c r="I39" s="14">
        <v>352000</v>
      </c>
      <c r="J39" s="14">
        <v>903000</v>
      </c>
      <c r="K39" s="14">
        <v>1405000</v>
      </c>
      <c r="L39" s="14">
        <v>1758000</v>
      </c>
      <c r="M39" s="14">
        <f>SUM(Table2[[#This Row],[Total Direct Construction Cost]:[Total Indirect Non-Construction Cost]])</f>
        <v>2660000</v>
      </c>
      <c r="N39" s="14">
        <v>3500</v>
      </c>
      <c r="O39" s="15">
        <v>1959000</v>
      </c>
      <c r="P39" s="6">
        <f>Table2[[#This Row],[Total Direct Construction Cost]]/Table2[[#This Row],[sizing_base_value]]</f>
        <v>352000</v>
      </c>
      <c r="Q39" s="6">
        <f>Table2[[#This Row],[Total Indirect Non-Construction Cost]]/Table2[[#This Row],[sizing_base_value]]</f>
        <v>1405000</v>
      </c>
      <c r="R39" s="6">
        <f>SUM(Table2[[#This Row],[TDCC_cpu]:[TINCC_cpu]])</f>
        <v>1757000</v>
      </c>
      <c r="S39" s="6">
        <f>Table2[[#This Row],[O&amp;M Costs (annual) (e)]]/Table2[[#This Row],[sizing_base_value]]</f>
        <v>3500</v>
      </c>
    </row>
    <row r="40" spans="1:19" ht="24" x14ac:dyDescent="0.25">
      <c r="A40" s="3" t="s">
        <v>65</v>
      </c>
      <c r="B40" s="4" t="str" cm="1">
        <f t="array" ref="B40">_xlfn.XLOOKUP(Table2[[#This Row],[Description]],Table4[[#All],[WQBE_Full_Description]],Table4[[#All],[WQBE_Code]])</f>
        <v>13E</v>
      </c>
      <c r="C40" s="4" t="str" cm="1">
        <f t="array" ref="C40">_xlfn.XLOOKUP(Table2[[#This Row],[Description]],Table4[[#All],[WQBE_Full_Description]],Table4[[#All],[Tacoma BMP Type]])</f>
        <v>Pond</v>
      </c>
      <c r="D40" s="21" t="s">
        <v>34</v>
      </c>
      <c r="E40" s="21">
        <v>1</v>
      </c>
      <c r="F40" s="5" t="s">
        <v>94</v>
      </c>
      <c r="G40" s="21">
        <f>Table2[[#This Row],[Base Unit]]</f>
        <v>1</v>
      </c>
      <c r="H40" s="5" t="str">
        <f>IF(Table2[[#This Row],[sizing_method]]="area", "sqft",IF(Table2[[#This Row],[sizing_method]]="each", "count", "error"))</f>
        <v>count</v>
      </c>
      <c r="I40" s="14">
        <v>424000</v>
      </c>
      <c r="J40" s="14">
        <v>0</v>
      </c>
      <c r="K40" s="14">
        <v>332000</v>
      </c>
      <c r="L40" s="14">
        <v>756000</v>
      </c>
      <c r="M40" s="14">
        <f>SUM(Table2[[#This Row],[Total Direct Construction Cost]:[Total Indirect Non-Construction Cost]])</f>
        <v>756000</v>
      </c>
      <c r="N40" s="14">
        <v>6400</v>
      </c>
      <c r="O40" s="15">
        <v>1033000</v>
      </c>
      <c r="P40" s="6">
        <f>Table2[[#This Row],[Total Direct Construction Cost]]/Table2[[#This Row],[sizing_base_value]]</f>
        <v>424000</v>
      </c>
      <c r="Q40" s="6">
        <f>Table2[[#This Row],[Total Indirect Non-Construction Cost]]/Table2[[#This Row],[sizing_base_value]]</f>
        <v>332000</v>
      </c>
      <c r="R40" s="6">
        <f>SUM(Table2[[#This Row],[TDCC_cpu]:[TINCC_cpu]])</f>
        <v>756000</v>
      </c>
      <c r="S40" s="6">
        <f>Table2[[#This Row],[O&amp;M Costs (annual) (e)]]/Table2[[#This Row],[sizing_base_value]]</f>
        <v>6400</v>
      </c>
    </row>
    <row r="41" spans="1:19" x14ac:dyDescent="0.25">
      <c r="A41" s="3" t="s">
        <v>67</v>
      </c>
      <c r="B41" s="4" t="str" cm="1">
        <f t="array" ref="B41">_xlfn.XLOOKUP(Table2[[#This Row],[Description]],Table4[[#All],[WQBE_Full_Description]],Table4[[#All],[WQBE_Code]])</f>
        <v>14A</v>
      </c>
      <c r="C41" s="4" t="str" cm="1">
        <f t="array" ref="C41">_xlfn.XLOOKUP(Table2[[#This Row],[Description]],Table4[[#All],[WQBE_Full_Description]],Table4[[#All],[Tacoma BMP Type]])</f>
        <v>Vault</v>
      </c>
      <c r="D41" s="21" t="s">
        <v>34</v>
      </c>
      <c r="E41" s="21">
        <v>1</v>
      </c>
      <c r="F41" s="5" t="s">
        <v>94</v>
      </c>
      <c r="G41" s="21">
        <f>Table2[[#This Row],[Base Unit]]</f>
        <v>1</v>
      </c>
      <c r="H41" s="5" t="str">
        <f>IF(Table2[[#This Row],[sizing_method]]="area", "sqft",IF(Table2[[#This Row],[sizing_method]]="each", "count", "error"))</f>
        <v>count</v>
      </c>
      <c r="I41" s="14">
        <v>2577000</v>
      </c>
      <c r="J41" s="14">
        <v>0</v>
      </c>
      <c r="K41" s="14">
        <v>2012000</v>
      </c>
      <c r="L41" s="14">
        <v>4589000</v>
      </c>
      <c r="M41" s="14">
        <f>SUM(Table2[[#This Row],[Total Direct Construction Cost]:[Total Indirect Non-Construction Cost]])</f>
        <v>4589000</v>
      </c>
      <c r="N41" s="14">
        <v>4900</v>
      </c>
      <c r="O41" s="15">
        <v>4721000</v>
      </c>
      <c r="P41" s="6">
        <f>Table2[[#This Row],[Total Direct Construction Cost]]/Table2[[#This Row],[sizing_base_value]]</f>
        <v>2577000</v>
      </c>
      <c r="Q41" s="6">
        <f>Table2[[#This Row],[Total Indirect Non-Construction Cost]]/Table2[[#This Row],[sizing_base_value]]</f>
        <v>2012000</v>
      </c>
      <c r="R41" s="6">
        <f>SUM(Table2[[#This Row],[TDCC_cpu]:[TINCC_cpu]])</f>
        <v>4589000</v>
      </c>
      <c r="S41" s="6">
        <f>Table2[[#This Row],[O&amp;M Costs (annual) (e)]]/Table2[[#This Row],[sizing_base_value]]</f>
        <v>4900</v>
      </c>
    </row>
    <row r="42" spans="1:19" x14ac:dyDescent="0.25">
      <c r="A42" s="3" t="s">
        <v>68</v>
      </c>
      <c r="B42" s="4" t="str" cm="1">
        <f t="array" ref="B42">_xlfn.XLOOKUP(Table2[[#This Row],[Description]],Table4[[#All],[WQBE_Full_Description]],Table4[[#All],[WQBE_Code]])</f>
        <v>14B</v>
      </c>
      <c r="C42" s="4" t="str" cm="1">
        <f t="array" ref="C42">_xlfn.XLOOKUP(Table2[[#This Row],[Description]],Table4[[#All],[WQBE_Full_Description]],Table4[[#All],[Tacoma BMP Type]])</f>
        <v>Vault</v>
      </c>
      <c r="D42" s="21" t="s">
        <v>34</v>
      </c>
      <c r="E42" s="21">
        <v>1</v>
      </c>
      <c r="F42" s="5" t="s">
        <v>94</v>
      </c>
      <c r="G42" s="21">
        <f>Table2[[#This Row],[Base Unit]]</f>
        <v>1</v>
      </c>
      <c r="H42" s="5" t="str">
        <f>IF(Table2[[#This Row],[sizing_method]]="area", "sqft",IF(Table2[[#This Row],[sizing_method]]="each", "count", "error"))</f>
        <v>count</v>
      </c>
      <c r="I42" s="14">
        <v>2009000</v>
      </c>
      <c r="J42" s="14">
        <v>0</v>
      </c>
      <c r="K42" s="14">
        <v>1562000</v>
      </c>
      <c r="L42" s="14">
        <v>3572000</v>
      </c>
      <c r="M42" s="14">
        <f>SUM(Table2[[#This Row],[Total Direct Construction Cost]:[Total Indirect Non-Construction Cost]])</f>
        <v>3571000</v>
      </c>
      <c r="N42" s="14">
        <v>4900</v>
      </c>
      <c r="O42" s="15">
        <v>3709000</v>
      </c>
      <c r="P42" s="6">
        <f>Table2[[#This Row],[Total Direct Construction Cost]]/Table2[[#This Row],[sizing_base_value]]</f>
        <v>2009000</v>
      </c>
      <c r="Q42" s="6">
        <f>Table2[[#This Row],[Total Indirect Non-Construction Cost]]/Table2[[#This Row],[sizing_base_value]]</f>
        <v>1562000</v>
      </c>
      <c r="R42" s="6">
        <f>SUM(Table2[[#This Row],[TDCC_cpu]:[TINCC_cpu]])</f>
        <v>3571000</v>
      </c>
      <c r="S42" s="6">
        <f>Table2[[#This Row],[O&amp;M Costs (annual) (e)]]/Table2[[#This Row],[sizing_base_value]]</f>
        <v>4900</v>
      </c>
    </row>
    <row r="43" spans="1:19" x14ac:dyDescent="0.25">
      <c r="A43" s="3" t="s">
        <v>69</v>
      </c>
      <c r="B43" s="4" t="str" cm="1">
        <f t="array" ref="B43">_xlfn.XLOOKUP(Table2[[#This Row],[Description]],Table4[[#All],[WQBE_Full_Description]],Table4[[#All],[WQBE_Code]])</f>
        <v>14C</v>
      </c>
      <c r="C43" s="4" t="str" cm="1">
        <f t="array" ref="C43">_xlfn.XLOOKUP(Table2[[#This Row],[Description]],Table4[[#All],[WQBE_Full_Description]],Table4[[#All],[Tacoma BMP Type]])</f>
        <v>Vault</v>
      </c>
      <c r="D43" s="21" t="s">
        <v>34</v>
      </c>
      <c r="E43" s="21">
        <v>1</v>
      </c>
      <c r="F43" s="5" t="s">
        <v>94</v>
      </c>
      <c r="G43" s="21">
        <f>Table2[[#This Row],[Base Unit]]</f>
        <v>1</v>
      </c>
      <c r="H43" s="5" t="str">
        <f>IF(Table2[[#This Row],[sizing_method]]="area", "sqft",IF(Table2[[#This Row],[sizing_method]]="each", "count", "error"))</f>
        <v>count</v>
      </c>
      <c r="I43" s="14">
        <v>3008000</v>
      </c>
      <c r="J43" s="14">
        <v>0</v>
      </c>
      <c r="K43" s="14">
        <v>2245000</v>
      </c>
      <c r="L43" s="14">
        <v>5253000</v>
      </c>
      <c r="M43" s="14">
        <f>SUM(Table2[[#This Row],[Total Direct Construction Cost]:[Total Indirect Non-Construction Cost]])</f>
        <v>5253000</v>
      </c>
      <c r="N43" s="14">
        <v>4900</v>
      </c>
      <c r="O43" s="15">
        <v>5384000</v>
      </c>
      <c r="P43" s="6">
        <f>Table2[[#This Row],[Total Direct Construction Cost]]/Table2[[#This Row],[sizing_base_value]]</f>
        <v>3008000</v>
      </c>
      <c r="Q43" s="6">
        <f>Table2[[#This Row],[Total Indirect Non-Construction Cost]]/Table2[[#This Row],[sizing_base_value]]</f>
        <v>2245000</v>
      </c>
      <c r="R43" s="6">
        <f>SUM(Table2[[#This Row],[TDCC_cpu]:[TINCC_cpu]])</f>
        <v>5253000</v>
      </c>
      <c r="S43" s="6">
        <f>Table2[[#This Row],[O&amp;M Costs (annual) (e)]]/Table2[[#This Row],[sizing_base_value]]</f>
        <v>4900</v>
      </c>
    </row>
    <row r="44" spans="1:19" x14ac:dyDescent="0.25">
      <c r="A44" s="3" t="s">
        <v>70</v>
      </c>
      <c r="B44" s="4" t="str" cm="1">
        <f t="array" ref="B44">_xlfn.XLOOKUP(Table2[[#This Row],[Description]],Table4[[#All],[WQBE_Full_Description]],Table4[[#All],[WQBE_Code]])</f>
        <v>14D</v>
      </c>
      <c r="C44" s="4" t="str" cm="1">
        <f t="array" ref="C44">_xlfn.XLOOKUP(Table2[[#This Row],[Description]],Table4[[#All],[WQBE_Full_Description]],Table4[[#All],[Tacoma BMP Type]])</f>
        <v>Vault</v>
      </c>
      <c r="D44" s="21" t="s">
        <v>34</v>
      </c>
      <c r="E44" s="21">
        <v>1</v>
      </c>
      <c r="F44" s="5" t="s">
        <v>94</v>
      </c>
      <c r="G44" s="21">
        <f>Table2[[#This Row],[Base Unit]]</f>
        <v>1</v>
      </c>
      <c r="H44" s="5" t="str">
        <f>IF(Table2[[#This Row],[sizing_method]]="area", "sqft",IF(Table2[[#This Row],[sizing_method]]="each", "count", "error"))</f>
        <v>count</v>
      </c>
      <c r="I44" s="14">
        <v>2351000</v>
      </c>
      <c r="J44" s="14">
        <v>0</v>
      </c>
      <c r="K44" s="14">
        <v>1769000</v>
      </c>
      <c r="L44" s="14">
        <v>4120000</v>
      </c>
      <c r="M44" s="14">
        <f>SUM(Table2[[#This Row],[Total Direct Construction Cost]:[Total Indirect Non-Construction Cost]])</f>
        <v>4120000</v>
      </c>
      <c r="N44" s="14">
        <v>4900</v>
      </c>
      <c r="O44" s="15">
        <v>4257000</v>
      </c>
      <c r="P44" s="6">
        <f>Table2[[#This Row],[Total Direct Construction Cost]]/Table2[[#This Row],[sizing_base_value]]</f>
        <v>2351000</v>
      </c>
      <c r="Q44" s="6">
        <f>Table2[[#This Row],[Total Indirect Non-Construction Cost]]/Table2[[#This Row],[sizing_base_value]]</f>
        <v>1769000</v>
      </c>
      <c r="R44" s="6">
        <f>SUM(Table2[[#This Row],[TDCC_cpu]:[TINCC_cpu]])</f>
        <v>4120000</v>
      </c>
      <c r="S44" s="6">
        <f>Table2[[#This Row],[O&amp;M Costs (annual) (e)]]/Table2[[#This Row],[sizing_base_value]]</f>
        <v>4900</v>
      </c>
    </row>
    <row r="45" spans="1:19" x14ac:dyDescent="0.25">
      <c r="A45" s="3" t="s">
        <v>71</v>
      </c>
      <c r="B45" s="4" t="str" cm="1">
        <f t="array" ref="B45">_xlfn.XLOOKUP(Table2[[#This Row],[Description]],Table4[[#All],[WQBE_Full_Description]],Table4[[#All],[WQBE_Code]])</f>
        <v>14E</v>
      </c>
      <c r="C45" s="4" t="str" cm="1">
        <f t="array" ref="C45">_xlfn.XLOOKUP(Table2[[#This Row],[Description]],Table4[[#All],[WQBE_Full_Description]],Table4[[#All],[Tacoma BMP Type]])</f>
        <v>Vault</v>
      </c>
      <c r="D45" s="21" t="s">
        <v>34</v>
      </c>
      <c r="E45" s="21">
        <v>1</v>
      </c>
      <c r="F45" s="5" t="s">
        <v>94</v>
      </c>
      <c r="G45" s="21">
        <f>Table2[[#This Row],[Base Unit]]</f>
        <v>1</v>
      </c>
      <c r="H45" s="5" t="str">
        <f>IF(Table2[[#This Row],[sizing_method]]="area", "sqft",IF(Table2[[#This Row],[sizing_method]]="each", "count", "error"))</f>
        <v>count</v>
      </c>
      <c r="I45" s="14">
        <v>2577000</v>
      </c>
      <c r="J45" s="14">
        <v>533000</v>
      </c>
      <c r="K45" s="14">
        <v>2679000</v>
      </c>
      <c r="L45" s="14">
        <v>5256000</v>
      </c>
      <c r="M45" s="14">
        <f>SUM(Table2[[#This Row],[Total Direct Construction Cost]:[Total Indirect Non-Construction Cost]])</f>
        <v>5789000</v>
      </c>
      <c r="N45" s="14">
        <v>4900</v>
      </c>
      <c r="O45" s="15">
        <v>5385000</v>
      </c>
      <c r="P45" s="6">
        <f>Table2[[#This Row],[Total Direct Construction Cost]]/Table2[[#This Row],[sizing_base_value]]</f>
        <v>2577000</v>
      </c>
      <c r="Q45" s="6">
        <f>Table2[[#This Row],[Total Indirect Non-Construction Cost]]/Table2[[#This Row],[sizing_base_value]]</f>
        <v>2679000</v>
      </c>
      <c r="R45" s="6">
        <f>SUM(Table2[[#This Row],[TDCC_cpu]:[TINCC_cpu]])</f>
        <v>5256000</v>
      </c>
      <c r="S45" s="6">
        <f>Table2[[#This Row],[O&amp;M Costs (annual) (e)]]/Table2[[#This Row],[sizing_base_value]]</f>
        <v>4900</v>
      </c>
    </row>
    <row r="46" spans="1:19" x14ac:dyDescent="0.25">
      <c r="A46" s="3" t="s">
        <v>72</v>
      </c>
      <c r="B46" s="4" t="str" cm="1">
        <f t="array" ref="B46">_xlfn.XLOOKUP(Table2[[#This Row],[Description]],Table4[[#All],[WQBE_Full_Description]],Table4[[#All],[WQBE_Code]])</f>
        <v>14F</v>
      </c>
      <c r="C46" s="4" t="str" cm="1">
        <f t="array" ref="C46">_xlfn.XLOOKUP(Table2[[#This Row],[Description]],Table4[[#All],[WQBE_Full_Description]],Table4[[#All],[Tacoma BMP Type]])</f>
        <v>Vault</v>
      </c>
      <c r="D46" s="21" t="s">
        <v>34</v>
      </c>
      <c r="E46" s="21">
        <v>1</v>
      </c>
      <c r="F46" s="5" t="s">
        <v>94</v>
      </c>
      <c r="G46" s="21">
        <f>Table2[[#This Row],[Base Unit]]</f>
        <v>1</v>
      </c>
      <c r="H46" s="5" t="str">
        <f>IF(Table2[[#This Row],[sizing_method]]="area", "sqft",IF(Table2[[#This Row],[sizing_method]]="each", "count", "error"))</f>
        <v>count</v>
      </c>
      <c r="I46" s="14">
        <v>2009000</v>
      </c>
      <c r="J46" s="14">
        <v>533000</v>
      </c>
      <c r="K46" s="14">
        <v>2229000</v>
      </c>
      <c r="L46" s="14">
        <v>4238000</v>
      </c>
      <c r="M46" s="14">
        <f>SUM(Table2[[#This Row],[Total Direct Construction Cost]:[Total Indirect Non-Construction Cost]])</f>
        <v>4771000</v>
      </c>
      <c r="N46" s="14">
        <v>4900</v>
      </c>
      <c r="O46" s="15">
        <v>4372000</v>
      </c>
      <c r="P46" s="6">
        <f>Table2[[#This Row],[Total Direct Construction Cost]]/Table2[[#This Row],[sizing_base_value]]</f>
        <v>2009000</v>
      </c>
      <c r="Q46" s="6">
        <f>Table2[[#This Row],[Total Indirect Non-Construction Cost]]/Table2[[#This Row],[sizing_base_value]]</f>
        <v>2229000</v>
      </c>
      <c r="R46" s="6">
        <f>SUM(Table2[[#This Row],[TDCC_cpu]:[TINCC_cpu]])</f>
        <v>4238000</v>
      </c>
      <c r="S46" s="6">
        <f>Table2[[#This Row],[O&amp;M Costs (annual) (e)]]/Table2[[#This Row],[sizing_base_value]]</f>
        <v>4900</v>
      </c>
    </row>
    <row r="47" spans="1:19" ht="24" x14ac:dyDescent="0.25">
      <c r="A47" s="3" t="s">
        <v>73</v>
      </c>
      <c r="B47" s="4" t="str" cm="1">
        <f t="array" ref="B47">_xlfn.XLOOKUP(Table2[[#This Row],[Description]],Table4[[#All],[WQBE_Full_Description]],Table4[[#All],[WQBE_Code]])</f>
        <v>14G</v>
      </c>
      <c r="C47" s="4" t="str" cm="1">
        <f t="array" ref="C47">_xlfn.XLOOKUP(Table2[[#This Row],[Description]],Table4[[#All],[WQBE_Full_Description]],Table4[[#All],[Tacoma BMP Type]])</f>
        <v>Vault</v>
      </c>
      <c r="D47" s="21" t="s">
        <v>34</v>
      </c>
      <c r="E47" s="21">
        <v>1</v>
      </c>
      <c r="F47" s="5" t="s">
        <v>94</v>
      </c>
      <c r="G47" s="21">
        <f>Table2[[#This Row],[Base Unit]]</f>
        <v>1</v>
      </c>
      <c r="H47" s="5" t="str">
        <f>IF(Table2[[#This Row],[sizing_method]]="area", "sqft",IF(Table2[[#This Row],[sizing_method]]="each", "count", "error"))</f>
        <v>count</v>
      </c>
      <c r="I47" s="14">
        <v>2368000</v>
      </c>
      <c r="J47" s="14">
        <v>0</v>
      </c>
      <c r="K47" s="14">
        <v>1795000</v>
      </c>
      <c r="L47" s="14">
        <v>4163000</v>
      </c>
      <c r="M47" s="14">
        <f>SUM(Table2[[#This Row],[Total Direct Construction Cost]:[Total Indirect Non-Construction Cost]])</f>
        <v>4163000</v>
      </c>
      <c r="N47" s="14">
        <v>7800</v>
      </c>
      <c r="O47" s="15">
        <v>4376000</v>
      </c>
      <c r="P47" s="6">
        <f>Table2[[#This Row],[Total Direct Construction Cost]]/Table2[[#This Row],[sizing_base_value]]</f>
        <v>2368000</v>
      </c>
      <c r="Q47" s="6">
        <f>Table2[[#This Row],[Total Indirect Non-Construction Cost]]/Table2[[#This Row],[sizing_base_value]]</f>
        <v>1795000</v>
      </c>
      <c r="R47" s="6">
        <f>SUM(Table2[[#This Row],[TDCC_cpu]:[TINCC_cpu]])</f>
        <v>4163000</v>
      </c>
      <c r="S47" s="6">
        <f>Table2[[#This Row],[O&amp;M Costs (annual) (e)]]/Table2[[#This Row],[sizing_base_value]]</f>
        <v>7800</v>
      </c>
    </row>
    <row r="48" spans="1:19" x14ac:dyDescent="0.25">
      <c r="A48" s="7" t="s">
        <v>75</v>
      </c>
      <c r="B48" s="8" t="str" cm="1">
        <f t="array" ref="B48">_xlfn.XLOOKUP(Table2[[#This Row],[Description]],Table4[[#All],[WQBE_Full_Description]],Table4[[#All],[WQBE_Code]])</f>
        <v>16</v>
      </c>
      <c r="C48" s="8" t="str" cm="1">
        <f t="array" ref="C48">_xlfn.XLOOKUP(Table2[[#This Row],[Description]],Table4[[#All],[WQBE_Full_Description]],Table4[[#All],[Tacoma BMP Type]])</f>
        <v>Tank</v>
      </c>
      <c r="D48" s="22" t="s">
        <v>34</v>
      </c>
      <c r="E48" s="22">
        <v>1</v>
      </c>
      <c r="F48" s="9" t="s">
        <v>94</v>
      </c>
      <c r="G48" s="22">
        <f>Table2[[#This Row],[Base Unit]]</f>
        <v>1</v>
      </c>
      <c r="H48" s="9" t="str">
        <f>IF(Table2[[#This Row],[sizing_method]]="area", "sqft",IF(Table2[[#This Row],[sizing_method]]="each", "count", "error"))</f>
        <v>count</v>
      </c>
      <c r="I48" s="18">
        <v>18000</v>
      </c>
      <c r="J48" s="18">
        <v>0</v>
      </c>
      <c r="K48" s="18">
        <v>8000</v>
      </c>
      <c r="L48" s="18">
        <v>26000</v>
      </c>
      <c r="M48" s="18">
        <f>SUM(Table2[[#This Row],[Total Direct Construction Cost]:[Total Indirect Non-Construction Cost]])</f>
        <v>26000</v>
      </c>
      <c r="N48" s="18">
        <v>2100</v>
      </c>
      <c r="O48" s="19">
        <v>70000</v>
      </c>
      <c r="P48" s="10">
        <f>Table2[[#This Row],[Total Direct Construction Cost]]/Table2[[#This Row],[sizing_base_value]]</f>
        <v>18000</v>
      </c>
      <c r="Q48" s="10">
        <f>Table2[[#This Row],[Total Indirect Non-Construction Cost]]/Table2[[#This Row],[sizing_base_value]]</f>
        <v>8000</v>
      </c>
      <c r="R48" s="10">
        <f>SUM(Table2[[#This Row],[TDCC_cpu]:[TINCC_cpu]])</f>
        <v>26000</v>
      </c>
      <c r="S48" s="10">
        <f>Table2[[#This Row],[O&amp;M Costs (annual) (e)]]/Table2[[#This Row],[sizing_base_value]]</f>
        <v>2100</v>
      </c>
    </row>
    <row r="63" ht="17.100000000000001" customHeight="1" x14ac:dyDescent="0.25"/>
  </sheetData>
  <phoneticPr fontId="7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4340D-CCA1-7F43-B8FF-66C740A356BE}">
  <dimension ref="A1:L48"/>
  <sheetViews>
    <sheetView topLeftCell="F1" workbookViewId="0">
      <selection activeCell="G1" sqref="G1:G1048576"/>
    </sheetView>
  </sheetViews>
  <sheetFormatPr defaultColWidth="11" defaultRowHeight="15.75" x14ac:dyDescent="0.25"/>
  <cols>
    <col min="1" max="1" width="57.375" customWidth="1"/>
    <col min="2" max="2" width="13.5" bestFit="1" customWidth="1"/>
    <col min="3" max="3" width="51.75" customWidth="1"/>
    <col min="4" max="4" width="33.375" hidden="1" customWidth="1"/>
    <col min="5" max="5" width="37.25" hidden="1" customWidth="1"/>
    <col min="6" max="6" width="50.625" customWidth="1"/>
    <col min="7" max="7" width="80.625" bestFit="1" customWidth="1"/>
  </cols>
  <sheetData>
    <row r="1" spans="1:12" x14ac:dyDescent="0.25">
      <c r="A1" t="s">
        <v>108</v>
      </c>
      <c r="B1" t="s">
        <v>106</v>
      </c>
      <c r="C1" t="s">
        <v>0</v>
      </c>
      <c r="D1" t="s">
        <v>96</v>
      </c>
      <c r="E1" t="s">
        <v>76</v>
      </c>
      <c r="F1" t="s">
        <v>97</v>
      </c>
      <c r="G1" t="s">
        <v>107</v>
      </c>
    </row>
    <row r="2" spans="1:12" x14ac:dyDescent="0.25">
      <c r="A2" t="s">
        <v>10</v>
      </c>
      <c r="B2" t="str">
        <f>LEFT(Table4[[#This Row],[_drop_wqbe]],FIND("_",Table4[[#This Row],[_drop_wqbe]])-1)</f>
        <v>01</v>
      </c>
      <c r="C2" t="str">
        <f>RIGHT(Table4[[#This Row],[_drop_wqbe]],LEN(Table4[[#This Row],[_drop_wqbe]])-FIND("_",Table4[[#This Row],[_drop_wqbe]]))</f>
        <v>Rain Garden Installation on Property</v>
      </c>
      <c r="D2" t="s">
        <v>9</v>
      </c>
      <c r="E2" t="s">
        <v>8</v>
      </c>
      <c r="F2" t="s">
        <v>103</v>
      </c>
      <c r="G2" t="str">
        <f>RIGHT(Table4[[#This Row],[WQBE_Full_Description]], LEN(Table4[[#This Row],[WQBE_Full_Description]])-5)</f>
        <v>01_Rain Garden Installation on Property</v>
      </c>
      <c r="K2">
        <v>5</v>
      </c>
      <c r="L2" t="s">
        <v>77</v>
      </c>
    </row>
    <row r="3" spans="1:12" x14ac:dyDescent="0.25">
      <c r="A3" t="s">
        <v>13</v>
      </c>
      <c r="B3" t="str">
        <f>LEFT(Table4[[#This Row],[_drop_wqbe]],FIND("_",Table4[[#This Row],[_drop_wqbe]])-1)</f>
        <v>02A</v>
      </c>
      <c r="C3" t="str">
        <f>RIGHT(Table4[[#This Row],[_drop_wqbe]],LEN(Table4[[#This Row],[_drop_wqbe]])-FIND("_",Table4[[#This Row],[_drop_wqbe]]))</f>
        <v>Bioretention Planter on Property</v>
      </c>
      <c r="D3" t="s">
        <v>12</v>
      </c>
      <c r="E3" t="s">
        <v>8</v>
      </c>
      <c r="F3" t="s">
        <v>90</v>
      </c>
      <c r="G3" t="str">
        <f>RIGHT(Table4[[#This Row],[WQBE_Full_Description]], LEN(Table4[[#This Row],[WQBE_Full_Description]])-5)</f>
        <v>02A_Bioretention Planter on Property</v>
      </c>
      <c r="K3">
        <v>16</v>
      </c>
      <c r="L3" t="s">
        <v>98</v>
      </c>
    </row>
    <row r="4" spans="1:12" x14ac:dyDescent="0.25">
      <c r="A4" t="s">
        <v>14</v>
      </c>
      <c r="B4" t="str">
        <f>LEFT(Table4[[#This Row],[_drop_wqbe]],FIND("_",Table4[[#This Row],[_drop_wqbe]])-1)</f>
        <v>02B</v>
      </c>
      <c r="C4" t="str">
        <f>RIGHT(Table4[[#This Row],[_drop_wqbe]],LEN(Table4[[#This Row],[_drop_wqbe]])-FIND("_",Table4[[#This Row],[_drop_wqbe]]))</f>
        <v>Bioretention Planter in ROW</v>
      </c>
      <c r="D4" t="s">
        <v>12</v>
      </c>
      <c r="E4" t="s">
        <v>8</v>
      </c>
      <c r="F4" t="s">
        <v>90</v>
      </c>
      <c r="G4" t="str">
        <f>RIGHT(Table4[[#This Row],[WQBE_Full_Description]], LEN(Table4[[#This Row],[WQBE_Full_Description]])-5)</f>
        <v>02B_Bioretention Planter in ROW</v>
      </c>
      <c r="K4">
        <v>18</v>
      </c>
      <c r="L4" t="s">
        <v>100</v>
      </c>
    </row>
    <row r="5" spans="1:12" x14ac:dyDescent="0.25">
      <c r="A5" t="s">
        <v>15</v>
      </c>
      <c r="B5" t="str">
        <f>LEFT(Table4[[#This Row],[_drop_wqbe]],FIND("_",Table4[[#This Row],[_drop_wqbe]])-1)</f>
        <v>02C</v>
      </c>
      <c r="C5" t="str">
        <f>RIGHT(Table4[[#This Row],[_drop_wqbe]],LEN(Table4[[#This Row],[_drop_wqbe]])-FIND("_",Table4[[#This Row],[_drop_wqbe]]))</f>
        <v>Bioretention Planter with Property Cost</v>
      </c>
      <c r="D5" t="s">
        <v>12</v>
      </c>
      <c r="E5" t="s">
        <v>8</v>
      </c>
      <c r="F5" t="s">
        <v>90</v>
      </c>
      <c r="G5" t="str">
        <f>RIGHT(Table4[[#This Row],[WQBE_Full_Description]], LEN(Table4[[#This Row],[WQBE_Full_Description]])-5)</f>
        <v>02C_Bioretention Planter with Property Cost</v>
      </c>
      <c r="K5">
        <v>2</v>
      </c>
      <c r="L5" t="s">
        <v>78</v>
      </c>
    </row>
    <row r="6" spans="1:12" x14ac:dyDescent="0.25">
      <c r="A6" t="s">
        <v>17</v>
      </c>
      <c r="B6" t="str">
        <f>LEFT(Table4[[#This Row],[_drop_wqbe]],FIND("_",Table4[[#This Row],[_drop_wqbe]])-1)</f>
        <v>03A</v>
      </c>
      <c r="C6" t="str">
        <f>RIGHT(Table4[[#This Row],[_drop_wqbe]],LEN(Table4[[#This Row],[_drop_wqbe]])-FIND("_",Table4[[#This Row],[_drop_wqbe]]))</f>
        <v>Bioretention Underdrain on Property</v>
      </c>
      <c r="D6" t="s">
        <v>16</v>
      </c>
      <c r="E6" t="s">
        <v>8</v>
      </c>
      <c r="F6" t="s">
        <v>77</v>
      </c>
      <c r="G6" t="str">
        <f>RIGHT(Table4[[#This Row],[WQBE_Full_Description]], LEN(Table4[[#This Row],[WQBE_Full_Description]])-5)</f>
        <v>03A_Bioretention Underdrain on Property</v>
      </c>
      <c r="K6">
        <v>19</v>
      </c>
      <c r="L6" t="s">
        <v>102</v>
      </c>
    </row>
    <row r="7" spans="1:12" x14ac:dyDescent="0.25">
      <c r="A7" t="s">
        <v>19</v>
      </c>
      <c r="B7" t="str">
        <f>LEFT(Table4[[#This Row],[_drop_wqbe]],FIND("_",Table4[[#This Row],[_drop_wqbe]])-1)</f>
        <v>03Aa</v>
      </c>
      <c r="C7" t="str">
        <f>RIGHT(Table4[[#This Row],[_drop_wqbe]],LEN(Table4[[#This Row],[_drop_wqbe]])-FIND("_",Table4[[#This Row],[_drop_wqbe]]))</f>
        <v>Bioretention Underdrain with Property Cost</v>
      </c>
      <c r="D7" t="s">
        <v>16</v>
      </c>
      <c r="E7" t="s">
        <v>8</v>
      </c>
      <c r="F7" t="s">
        <v>77</v>
      </c>
      <c r="G7" t="str">
        <f>RIGHT(Table4[[#This Row],[WQBE_Full_Description]], LEN(Table4[[#This Row],[WQBE_Full_Description]])-5)</f>
        <v>03Aa_Bioretention Underdrain with Property Cost</v>
      </c>
      <c r="K7">
        <v>11</v>
      </c>
      <c r="L7" t="s">
        <v>79</v>
      </c>
    </row>
    <row r="8" spans="1:12" x14ac:dyDescent="0.25">
      <c r="A8" t="s">
        <v>20</v>
      </c>
      <c r="B8" t="str">
        <f>LEFT(Table4[[#This Row],[_drop_wqbe]],FIND("_",Table4[[#This Row],[_drop_wqbe]])-1)</f>
        <v>03B</v>
      </c>
      <c r="C8" t="str">
        <f>RIGHT(Table4[[#This Row],[_drop_wqbe]],LEN(Table4[[#This Row],[_drop_wqbe]])-FIND("_",Table4[[#This Row],[_drop_wqbe]]))</f>
        <v>Bioretention No Underdrain on Property</v>
      </c>
      <c r="D8" t="s">
        <v>16</v>
      </c>
      <c r="E8" t="s">
        <v>8</v>
      </c>
      <c r="F8" t="s">
        <v>77</v>
      </c>
      <c r="G8" t="str">
        <f>RIGHT(Table4[[#This Row],[WQBE_Full_Description]], LEN(Table4[[#This Row],[WQBE_Full_Description]])-5)</f>
        <v>03B_Bioretention No Underdrain on Property</v>
      </c>
      <c r="K8">
        <v>12</v>
      </c>
      <c r="L8" t="s">
        <v>80</v>
      </c>
    </row>
    <row r="9" spans="1:12" x14ac:dyDescent="0.25">
      <c r="A9" t="s">
        <v>21</v>
      </c>
      <c r="B9" t="str">
        <f>LEFT(Table4[[#This Row],[_drop_wqbe]],FIND("_",Table4[[#This Row],[_drop_wqbe]])-1)</f>
        <v>03Bb</v>
      </c>
      <c r="C9" t="str">
        <f>RIGHT(Table4[[#This Row],[_drop_wqbe]],LEN(Table4[[#This Row],[_drop_wqbe]])-FIND("_",Table4[[#This Row],[_drop_wqbe]]))</f>
        <v>Bioretention No Underdrain with Property Cost</v>
      </c>
      <c r="D9" t="s">
        <v>16</v>
      </c>
      <c r="E9" t="s">
        <v>8</v>
      </c>
      <c r="F9" t="s">
        <v>77</v>
      </c>
      <c r="G9" t="str">
        <f>RIGHT(Table4[[#This Row],[WQBE_Full_Description]], LEN(Table4[[#This Row],[WQBE_Full_Description]])-5)</f>
        <v>03Bb_Bioretention No Underdrain with Property Cost</v>
      </c>
      <c r="K9">
        <v>3</v>
      </c>
      <c r="L9" t="s">
        <v>81</v>
      </c>
    </row>
    <row r="10" spans="1:12" x14ac:dyDescent="0.25">
      <c r="A10" t="s">
        <v>22</v>
      </c>
      <c r="B10" t="str">
        <f>LEFT(Table4[[#This Row],[_drop_wqbe]],FIND("_",Table4[[#This Row],[_drop_wqbe]])-1)</f>
        <v>03C</v>
      </c>
      <c r="C10" t="str">
        <f>RIGHT(Table4[[#This Row],[_drop_wqbe]],LEN(Table4[[#This Row],[_drop_wqbe]])-FIND("_",Table4[[#This Row],[_drop_wqbe]]))</f>
        <v>Bioretention Underdrain in ROW</v>
      </c>
      <c r="D10" t="s">
        <v>16</v>
      </c>
      <c r="E10" t="s">
        <v>8</v>
      </c>
      <c r="F10" t="s">
        <v>77</v>
      </c>
      <c r="G10" t="str">
        <f>RIGHT(Table4[[#This Row],[WQBE_Full_Description]], LEN(Table4[[#This Row],[WQBE_Full_Description]])-5)</f>
        <v>03C_Bioretention Underdrain in ROW</v>
      </c>
      <c r="K10">
        <v>4</v>
      </c>
      <c r="L10" t="s">
        <v>82</v>
      </c>
    </row>
    <row r="11" spans="1:12" x14ac:dyDescent="0.25">
      <c r="A11" t="s">
        <v>23</v>
      </c>
      <c r="B11" t="str">
        <f>LEFT(Table4[[#This Row],[_drop_wqbe]],FIND("_",Table4[[#This Row],[_drop_wqbe]])-1)</f>
        <v>03D</v>
      </c>
      <c r="C11" t="str">
        <f>RIGHT(Table4[[#This Row],[_drop_wqbe]],LEN(Table4[[#This Row],[_drop_wqbe]])-FIND("_",Table4[[#This Row],[_drop_wqbe]]))</f>
        <v>Bioretention No Underdrain in ROW</v>
      </c>
      <c r="D11" t="s">
        <v>16</v>
      </c>
      <c r="E11" t="s">
        <v>8</v>
      </c>
      <c r="F11" t="s">
        <v>77</v>
      </c>
      <c r="G11" t="str">
        <f>RIGHT(Table4[[#This Row],[WQBE_Full_Description]], LEN(Table4[[#This Row],[WQBE_Full_Description]])-5)</f>
        <v>03D_Bioretention No Underdrain in ROW</v>
      </c>
      <c r="K11">
        <v>15</v>
      </c>
      <c r="L11" t="s">
        <v>83</v>
      </c>
    </row>
    <row r="12" spans="1:12" x14ac:dyDescent="0.25">
      <c r="A12" t="s">
        <v>25</v>
      </c>
      <c r="B12" t="str">
        <f>LEFT(Table4[[#This Row],[_drop_wqbe]],FIND("_",Table4[[#This Row],[_drop_wqbe]])-1)</f>
        <v>04A</v>
      </c>
      <c r="C12" t="str">
        <f>RIGHT(Table4[[#This Row],[_drop_wqbe]],LEN(Table4[[#This Row],[_drop_wqbe]])-FIND("_",Table4[[#This Row],[_drop_wqbe]]))</f>
        <v>Bioswale in ROW</v>
      </c>
      <c r="D12" t="s">
        <v>24</v>
      </c>
      <c r="E12" t="s">
        <v>8</v>
      </c>
      <c r="F12" t="s">
        <v>85</v>
      </c>
      <c r="G12" t="str">
        <f>RIGHT(Table4[[#This Row],[WQBE_Full_Description]], LEN(Table4[[#This Row],[WQBE_Full_Description]])-5)</f>
        <v>04A_Bioswale in ROW</v>
      </c>
      <c r="K12">
        <v>13</v>
      </c>
      <c r="L12" t="s">
        <v>84</v>
      </c>
    </row>
    <row r="13" spans="1:12" x14ac:dyDescent="0.25">
      <c r="A13" t="s">
        <v>27</v>
      </c>
      <c r="B13" t="str">
        <f>LEFT(Table4[[#This Row],[_drop_wqbe]],FIND("_",Table4[[#This Row],[_drop_wqbe]])-1)</f>
        <v>04B</v>
      </c>
      <c r="C13" t="str">
        <f>RIGHT(Table4[[#This Row],[_drop_wqbe]],LEN(Table4[[#This Row],[_drop_wqbe]])-FIND("_",Table4[[#This Row],[_drop_wqbe]]))</f>
        <v>Bioswale on Public Property</v>
      </c>
      <c r="D13" t="s">
        <v>24</v>
      </c>
      <c r="E13" t="s">
        <v>8</v>
      </c>
      <c r="F13" t="s">
        <v>85</v>
      </c>
      <c r="G13" t="str">
        <f>RIGHT(Table4[[#This Row],[WQBE_Full_Description]], LEN(Table4[[#This Row],[WQBE_Full_Description]])-5)</f>
        <v>04B_Bioswale on Public Property</v>
      </c>
      <c r="K13">
        <v>6</v>
      </c>
      <c r="L13" t="s">
        <v>85</v>
      </c>
    </row>
    <row r="14" spans="1:12" x14ac:dyDescent="0.25">
      <c r="A14" t="s">
        <v>28</v>
      </c>
      <c r="B14" t="str">
        <f>LEFT(Table4[[#This Row],[_drop_wqbe]],FIND("_",Table4[[#This Row],[_drop_wqbe]])-1)</f>
        <v>04C</v>
      </c>
      <c r="C14" t="str">
        <f>RIGHT(Table4[[#This Row],[_drop_wqbe]],LEN(Table4[[#This Row],[_drop_wqbe]])-FIND("_",Table4[[#This Row],[_drop_wqbe]]))</f>
        <v>Bioswale with Property Cost</v>
      </c>
      <c r="D14" t="s">
        <v>24</v>
      </c>
      <c r="E14" t="s">
        <v>8</v>
      </c>
      <c r="F14" t="s">
        <v>85</v>
      </c>
      <c r="G14" t="str">
        <f>RIGHT(Table4[[#This Row],[WQBE_Full_Description]], LEN(Table4[[#This Row],[WQBE_Full_Description]])-5)</f>
        <v>04C_Bioswale with Property Cost</v>
      </c>
      <c r="K14">
        <v>14</v>
      </c>
      <c r="L14" t="s">
        <v>86</v>
      </c>
    </row>
    <row r="15" spans="1:12" x14ac:dyDescent="0.25">
      <c r="A15" t="s">
        <v>30</v>
      </c>
      <c r="B15" t="str">
        <f>LEFT(Table4[[#This Row],[_drop_wqbe]],FIND("_",Table4[[#This Row],[_drop_wqbe]])-1)</f>
        <v>05A</v>
      </c>
      <c r="C15" t="str">
        <f>RIGHT(Table4[[#This Row],[_drop_wqbe]],LEN(Table4[[#This Row],[_drop_wqbe]])-FIND("_",Table4[[#This Row],[_drop_wqbe]]))</f>
        <v>Media Filter Drain Underdrain</v>
      </c>
      <c r="D15" t="s">
        <v>29</v>
      </c>
      <c r="E15" t="s">
        <v>8</v>
      </c>
      <c r="F15" t="s">
        <v>79</v>
      </c>
      <c r="G15" t="str">
        <f>RIGHT(Table4[[#This Row],[WQBE_Full_Description]], LEN(Table4[[#This Row],[WQBE_Full_Description]])-5)</f>
        <v>05A_Media Filter Drain Underdrain</v>
      </c>
      <c r="K15">
        <v>7</v>
      </c>
      <c r="L15" t="s">
        <v>87</v>
      </c>
    </row>
    <row r="16" spans="1:12" x14ac:dyDescent="0.25">
      <c r="A16" t="s">
        <v>31</v>
      </c>
      <c r="B16" t="str">
        <f>LEFT(Table4[[#This Row],[_drop_wqbe]],FIND("_",Table4[[#This Row],[_drop_wqbe]])-1)</f>
        <v>05B</v>
      </c>
      <c r="C16" t="str">
        <f>RIGHT(Table4[[#This Row],[_drop_wqbe]],LEN(Table4[[#This Row],[_drop_wqbe]])-FIND("_",Table4[[#This Row],[_drop_wqbe]]))</f>
        <v>Media Filter Drain No Underdrain</v>
      </c>
      <c r="D16" t="s">
        <v>29</v>
      </c>
      <c r="E16" t="s">
        <v>8</v>
      </c>
      <c r="F16" t="s">
        <v>79</v>
      </c>
      <c r="G16" t="str">
        <f>RIGHT(Table4[[#This Row],[WQBE_Full_Description]], LEN(Table4[[#This Row],[WQBE_Full_Description]])-5)</f>
        <v>05B_Media Filter Drain No Underdrain</v>
      </c>
      <c r="K16">
        <v>99</v>
      </c>
      <c r="L16" t="s">
        <v>101</v>
      </c>
    </row>
    <row r="17" spans="1:12" x14ac:dyDescent="0.25">
      <c r="A17" t="s">
        <v>33</v>
      </c>
      <c r="B17" t="str">
        <f>LEFT(Table4[[#This Row],[_drop_wqbe]],FIND("_",Table4[[#This Row],[_drop_wqbe]])-1)</f>
        <v>06</v>
      </c>
      <c r="C17" t="str">
        <f>RIGHT(Table4[[#This Row],[_drop_wqbe]],LEN(Table4[[#This Row],[_drop_wqbe]])-FIND("_",Table4[[#This Row],[_drop_wqbe]]))</f>
        <v>Drywell on Property</v>
      </c>
      <c r="D17" t="s">
        <v>32</v>
      </c>
      <c r="E17" t="s">
        <v>8</v>
      </c>
      <c r="F17" t="s">
        <v>103</v>
      </c>
      <c r="G17" t="str">
        <f>RIGHT(Table4[[#This Row],[WQBE_Full_Description]], LEN(Table4[[#This Row],[WQBE_Full_Description]])-5)</f>
        <v>06_Drywell on Property</v>
      </c>
      <c r="K17">
        <v>17</v>
      </c>
      <c r="L17" t="s">
        <v>99</v>
      </c>
    </row>
    <row r="18" spans="1:12" x14ac:dyDescent="0.25">
      <c r="A18" t="s">
        <v>35</v>
      </c>
      <c r="B18" t="str">
        <f>LEFT(Table4[[#This Row],[_drop_wqbe]],FIND("_",Table4[[#This Row],[_drop_wqbe]])-1)</f>
        <v>06B</v>
      </c>
      <c r="C18" t="str">
        <f>RIGHT(Table4[[#This Row],[_drop_wqbe]],LEN(Table4[[#This Row],[_drop_wqbe]])-FIND("_",Table4[[#This Row],[_drop_wqbe]]))</f>
        <v>Drywell with Bioretention Planter on Property</v>
      </c>
      <c r="D18" t="s">
        <v>32</v>
      </c>
      <c r="E18" t="s">
        <v>8</v>
      </c>
      <c r="F18" t="s">
        <v>103</v>
      </c>
      <c r="G18" t="str">
        <f>RIGHT(Table4[[#This Row],[WQBE_Full_Description]], LEN(Table4[[#This Row],[WQBE_Full_Description]])-5)</f>
        <v>06B_Drywell with Bioretention Planter on Property</v>
      </c>
      <c r="K18">
        <v>8</v>
      </c>
      <c r="L18" t="s">
        <v>88</v>
      </c>
    </row>
    <row r="19" spans="1:12" x14ac:dyDescent="0.25">
      <c r="A19" t="s">
        <v>37</v>
      </c>
      <c r="B19" t="str">
        <f>LEFT(Table4[[#This Row],[_drop_wqbe]],FIND("_",Table4[[#This Row],[_drop_wqbe]])-1)</f>
        <v>07A</v>
      </c>
      <c r="C19" t="str">
        <f>RIGHT(Table4[[#This Row],[_drop_wqbe]],LEN(Table4[[#This Row],[_drop_wqbe]])-FIND("_",Table4[[#This Row],[_drop_wqbe]]))</f>
        <v>Deep UIC Well on Property</v>
      </c>
      <c r="D19" t="s">
        <v>36</v>
      </c>
      <c r="E19" t="s">
        <v>8</v>
      </c>
      <c r="F19" t="s">
        <v>103</v>
      </c>
      <c r="G19" t="str">
        <f>RIGHT(Table4[[#This Row],[WQBE_Full_Description]], LEN(Table4[[#This Row],[WQBE_Full_Description]])-5)</f>
        <v>07A_Deep UIC Well on Property</v>
      </c>
      <c r="K19">
        <v>9</v>
      </c>
      <c r="L19" t="s">
        <v>89</v>
      </c>
    </row>
    <row r="20" spans="1:12" x14ac:dyDescent="0.25">
      <c r="A20" t="s">
        <v>38</v>
      </c>
      <c r="B20" t="str">
        <f>LEFT(Table4[[#This Row],[_drop_wqbe]],FIND("_",Table4[[#This Row],[_drop_wqbe]])-1)</f>
        <v>07B</v>
      </c>
      <c r="C20" t="str">
        <f>RIGHT(Table4[[#This Row],[_drop_wqbe]],LEN(Table4[[#This Row],[_drop_wqbe]])-FIND("_",Table4[[#This Row],[_drop_wqbe]]))</f>
        <v>Deep UIC Well in ROW</v>
      </c>
      <c r="D20" t="s">
        <v>36</v>
      </c>
      <c r="E20" t="s">
        <v>8</v>
      </c>
      <c r="F20" t="s">
        <v>103</v>
      </c>
      <c r="G20" t="str">
        <f>RIGHT(Table4[[#This Row],[WQBE_Full_Description]], LEN(Table4[[#This Row],[WQBE_Full_Description]])-5)</f>
        <v>07B_Deep UIC Well in ROW</v>
      </c>
      <c r="K20">
        <v>10</v>
      </c>
      <c r="L20" t="s">
        <v>90</v>
      </c>
    </row>
    <row r="21" spans="1:12" x14ac:dyDescent="0.25">
      <c r="A21" t="s">
        <v>39</v>
      </c>
      <c r="B21" t="str">
        <f>LEFT(Table4[[#This Row],[_drop_wqbe]],FIND("_",Table4[[#This Row],[_drop_wqbe]])-1)</f>
        <v>07C</v>
      </c>
      <c r="C21" t="str">
        <f>RIGHT(Table4[[#This Row],[_drop_wqbe]],LEN(Table4[[#This Row],[_drop_wqbe]])-FIND("_",Table4[[#This Row],[_drop_wqbe]]))</f>
        <v>Deep UIC Well with Property Cost</v>
      </c>
      <c r="D21" t="s">
        <v>36</v>
      </c>
      <c r="E21" t="s">
        <v>8</v>
      </c>
      <c r="F21" t="s">
        <v>103</v>
      </c>
      <c r="G21" t="str">
        <f>RIGHT(Table4[[#This Row],[WQBE_Full_Description]], LEN(Table4[[#This Row],[WQBE_Full_Description]])-5)</f>
        <v>07C_Deep UIC Well with Property Cost</v>
      </c>
      <c r="L21" t="s">
        <v>103</v>
      </c>
    </row>
    <row r="22" spans="1:12" x14ac:dyDescent="0.25">
      <c r="A22" t="s">
        <v>40</v>
      </c>
      <c r="B22" t="str">
        <f>LEFT(Table4[[#This Row],[_drop_wqbe]],FIND("_",Table4[[#This Row],[_drop_wqbe]])-1)</f>
        <v>07D</v>
      </c>
      <c r="C22" t="str">
        <f>RIGHT(Table4[[#This Row],[_drop_wqbe]],LEN(Table4[[#This Row],[_drop_wqbe]])-FIND("_",Table4[[#This Row],[_drop_wqbe]]))</f>
        <v>Deep UIC Well with Filter in ROW</v>
      </c>
      <c r="D22" t="s">
        <v>36</v>
      </c>
      <c r="E22" t="s">
        <v>8</v>
      </c>
      <c r="F22" t="s">
        <v>103</v>
      </c>
      <c r="G22" t="str">
        <f>RIGHT(Table4[[#This Row],[WQBE_Full_Description]], LEN(Table4[[#This Row],[WQBE_Full_Description]])-5)</f>
        <v>07D_Deep UIC Well with Filter in ROW</v>
      </c>
    </row>
    <row r="23" spans="1:12" x14ac:dyDescent="0.25">
      <c r="A23" t="s">
        <v>41</v>
      </c>
      <c r="B23" t="str">
        <f>LEFT(Table4[[#This Row],[_drop_wqbe]],FIND("_",Table4[[#This Row],[_drop_wqbe]])-1)</f>
        <v>07E</v>
      </c>
      <c r="C23" t="str">
        <f>RIGHT(Table4[[#This Row],[_drop_wqbe]],LEN(Table4[[#This Row],[_drop_wqbe]])-FIND("_",Table4[[#This Row],[_drop_wqbe]]))</f>
        <v>Deep UIC Well with Bioretention Planter in ROW</v>
      </c>
      <c r="D23" t="s">
        <v>36</v>
      </c>
      <c r="E23" t="s">
        <v>8</v>
      </c>
      <c r="F23" t="s">
        <v>103</v>
      </c>
      <c r="G23" t="str">
        <f>RIGHT(Table4[[#This Row],[WQBE_Full_Description]], LEN(Table4[[#This Row],[WQBE_Full_Description]])-5)</f>
        <v>07E_Deep UIC Well with Bioretention Planter in ROW</v>
      </c>
    </row>
    <row r="24" spans="1:12" x14ac:dyDescent="0.25">
      <c r="A24" t="s">
        <v>42</v>
      </c>
      <c r="B24" t="str">
        <f>LEFT(Table4[[#This Row],[_drop_wqbe]],FIND("_",Table4[[#This Row],[_drop_wqbe]])-1)</f>
        <v>07F</v>
      </c>
      <c r="C24" t="str">
        <f>RIGHT(Table4[[#This Row],[_drop_wqbe]],LEN(Table4[[#This Row],[_drop_wqbe]])-FIND("_",Table4[[#This Row],[_drop_wqbe]]))</f>
        <v>Deep UIC Well with Bioretention Planter on Property</v>
      </c>
      <c r="D24" t="s">
        <v>36</v>
      </c>
      <c r="E24" t="s">
        <v>8</v>
      </c>
      <c r="F24" t="s">
        <v>103</v>
      </c>
      <c r="G24" t="str">
        <f>RIGHT(Table4[[#This Row],[WQBE_Full_Description]], LEN(Table4[[#This Row],[WQBE_Full_Description]])-5)</f>
        <v>07F_Deep UIC Well with Bioretention Planter on Property</v>
      </c>
    </row>
    <row r="25" spans="1:12" x14ac:dyDescent="0.25">
      <c r="A25" t="s">
        <v>44</v>
      </c>
      <c r="B25" t="str">
        <f>LEFT(Table4[[#This Row],[_drop_wqbe]],FIND("_",Table4[[#This Row],[_drop_wqbe]])-1)</f>
        <v>08A</v>
      </c>
      <c r="C25" t="str">
        <f>RIGHT(Table4[[#This Row],[_drop_wqbe]],LEN(Table4[[#This Row],[_drop_wqbe]])-FIND("_",Table4[[#This Row],[_drop_wqbe]]))</f>
        <v>Pervious Concrete Sidewalk (no sand layer)</v>
      </c>
      <c r="D25" t="s">
        <v>43</v>
      </c>
      <c r="E25" t="s">
        <v>8</v>
      </c>
      <c r="F25" t="s">
        <v>81</v>
      </c>
      <c r="G25" t="str">
        <f>RIGHT(Table4[[#This Row],[WQBE_Full_Description]], LEN(Table4[[#This Row],[WQBE_Full_Description]])-5)</f>
        <v>08A_Pervious Concrete Sidewalk (no sand layer)</v>
      </c>
    </row>
    <row r="26" spans="1:12" x14ac:dyDescent="0.25">
      <c r="A26" t="s">
        <v>45</v>
      </c>
      <c r="B26" t="str">
        <f>LEFT(Table4[[#This Row],[_drop_wqbe]],FIND("_",Table4[[#This Row],[_drop_wqbe]])-1)</f>
        <v>08B</v>
      </c>
      <c r="C26" t="str">
        <f>RIGHT(Table4[[#This Row],[_drop_wqbe]],LEN(Table4[[#This Row],[_drop_wqbe]])-FIND("_",Table4[[#This Row],[_drop_wqbe]]))</f>
        <v>Porous Asphalt Driveway (with sand layer)</v>
      </c>
      <c r="D26" t="s">
        <v>43</v>
      </c>
      <c r="E26" t="s">
        <v>8</v>
      </c>
      <c r="F26" t="s">
        <v>81</v>
      </c>
      <c r="G26" t="str">
        <f>RIGHT(Table4[[#This Row],[WQBE_Full_Description]], LEN(Table4[[#This Row],[WQBE_Full_Description]])-5)</f>
        <v>08B_Porous Asphalt Driveway (with sand layer)</v>
      </c>
    </row>
    <row r="27" spans="1:12" x14ac:dyDescent="0.25">
      <c r="A27" t="s">
        <v>46</v>
      </c>
      <c r="B27" t="str">
        <f>LEFT(Table4[[#This Row],[_drop_wqbe]],FIND("_",Table4[[#This Row],[_drop_wqbe]])-1)</f>
        <v>08C</v>
      </c>
      <c r="C27" t="str">
        <f>RIGHT(Table4[[#This Row],[_drop_wqbe]],LEN(Table4[[#This Row],[_drop_wqbe]])-FIND("_",Table4[[#This Row],[_drop_wqbe]]))</f>
        <v>Permeable Paver Driveway (with sand layer)</v>
      </c>
      <c r="D27" t="s">
        <v>43</v>
      </c>
      <c r="E27" t="s">
        <v>8</v>
      </c>
      <c r="F27" t="s">
        <v>81</v>
      </c>
      <c r="G27" t="str">
        <f>RIGHT(Table4[[#This Row],[WQBE_Full_Description]], LEN(Table4[[#This Row],[WQBE_Full_Description]])-5)</f>
        <v>08C_Permeable Paver Driveway (with sand layer)</v>
      </c>
    </row>
    <row r="28" spans="1:12" x14ac:dyDescent="0.25">
      <c r="A28" t="s">
        <v>47</v>
      </c>
      <c r="B28" t="str">
        <f>LEFT(Table4[[#This Row],[_drop_wqbe]],FIND("_",Table4[[#This Row],[_drop_wqbe]])-1)</f>
        <v>08D</v>
      </c>
      <c r="C28" t="str">
        <f>RIGHT(Table4[[#This Row],[_drop_wqbe]],LEN(Table4[[#This Row],[_drop_wqbe]])-FIND("_",Table4[[#This Row],[_drop_wqbe]]))</f>
        <v>Permeable Paver Plaza (no sand layer)</v>
      </c>
      <c r="D28" t="s">
        <v>43</v>
      </c>
      <c r="E28" t="s">
        <v>8</v>
      </c>
      <c r="F28" t="s">
        <v>81</v>
      </c>
      <c r="G28" t="str">
        <f>RIGHT(Table4[[#This Row],[WQBE_Full_Description]], LEN(Table4[[#This Row],[WQBE_Full_Description]])-5)</f>
        <v>08D_Permeable Paver Plaza (no sand layer)</v>
      </c>
    </row>
    <row r="29" spans="1:12" x14ac:dyDescent="0.25">
      <c r="A29" t="s">
        <v>54</v>
      </c>
      <c r="B29" t="str">
        <f>LEFT(Table4[[#This Row],[_drop_wqbe]],FIND("_",Table4[[#This Row],[_drop_wqbe]])-1)</f>
        <v>11A</v>
      </c>
      <c r="C29" t="str">
        <f>RIGHT(Table4[[#This Row],[_drop_wqbe]],LEN(Table4[[#This Row],[_drop_wqbe]])-FIND("_",Table4[[#This Row],[_drop_wqbe]]))</f>
        <v>Detention Vault on Public Property</v>
      </c>
      <c r="D29" t="s">
        <v>53</v>
      </c>
      <c r="E29" t="s">
        <v>52</v>
      </c>
      <c r="F29" t="s">
        <v>87</v>
      </c>
      <c r="G29" t="str">
        <f>RIGHT(Table4[[#This Row],[WQBE_Full_Description]], LEN(Table4[[#This Row],[WQBE_Full_Description]])-5)</f>
        <v>11A_Detention Vault on Public Property</v>
      </c>
    </row>
    <row r="30" spans="1:12" x14ac:dyDescent="0.25">
      <c r="A30" t="s">
        <v>55</v>
      </c>
      <c r="B30" t="str">
        <f>LEFT(Table4[[#This Row],[_drop_wqbe]],FIND("_",Table4[[#This Row],[_drop_wqbe]])-1)</f>
        <v>11B</v>
      </c>
      <c r="C30" t="str">
        <f>RIGHT(Table4[[#This Row],[_drop_wqbe]],LEN(Table4[[#This Row],[_drop_wqbe]])-FIND("_",Table4[[#This Row],[_drop_wqbe]]))</f>
        <v>Detention Vault in ROW</v>
      </c>
      <c r="D30" t="s">
        <v>53</v>
      </c>
      <c r="E30" t="s">
        <v>52</v>
      </c>
      <c r="F30" t="s">
        <v>87</v>
      </c>
      <c r="G30" t="str">
        <f>RIGHT(Table4[[#This Row],[WQBE_Full_Description]], LEN(Table4[[#This Row],[WQBE_Full_Description]])-5)</f>
        <v>11B_Detention Vault in ROW</v>
      </c>
    </row>
    <row r="31" spans="1:12" x14ac:dyDescent="0.25">
      <c r="A31" t="s">
        <v>56</v>
      </c>
      <c r="B31" t="str">
        <f>LEFT(Table4[[#This Row],[_drop_wqbe]],FIND("_",Table4[[#This Row],[_drop_wqbe]])-1)</f>
        <v>11C</v>
      </c>
      <c r="C31" t="str">
        <f>RIGHT(Table4[[#This Row],[_drop_wqbe]],LEN(Table4[[#This Row],[_drop_wqbe]])-FIND("_",Table4[[#This Row],[_drop_wqbe]]))</f>
        <v>Detention Vault with Property Cost</v>
      </c>
      <c r="D31" t="s">
        <v>53</v>
      </c>
      <c r="E31" t="s">
        <v>52</v>
      </c>
      <c r="F31" t="s">
        <v>87</v>
      </c>
      <c r="G31" t="str">
        <f>RIGHT(Table4[[#This Row],[WQBE_Full_Description]], LEN(Table4[[#This Row],[WQBE_Full_Description]])-5)</f>
        <v>11C_Detention Vault with Property Cost</v>
      </c>
    </row>
    <row r="32" spans="1:12" x14ac:dyDescent="0.25">
      <c r="A32" t="s">
        <v>58</v>
      </c>
      <c r="B32" t="str">
        <f>LEFT(Table4[[#This Row],[_drop_wqbe]],FIND("_",Table4[[#This Row],[_drop_wqbe]])-1)</f>
        <v>12A</v>
      </c>
      <c r="C32" t="str">
        <f>RIGHT(Table4[[#This Row],[_drop_wqbe]],LEN(Table4[[#This Row],[_drop_wqbe]])-FIND("_",Table4[[#This Row],[_drop_wqbe]]))</f>
        <v>Detention Pond on Public Property</v>
      </c>
      <c r="D32" t="s">
        <v>57</v>
      </c>
      <c r="E32" t="s">
        <v>52</v>
      </c>
      <c r="F32" t="s">
        <v>78</v>
      </c>
      <c r="G32" t="str">
        <f>RIGHT(Table4[[#This Row],[WQBE_Full_Description]], LEN(Table4[[#This Row],[WQBE_Full_Description]])-5)</f>
        <v>12A_Detention Pond on Public Property</v>
      </c>
    </row>
    <row r="33" spans="1:7" x14ac:dyDescent="0.25">
      <c r="A33" t="s">
        <v>59</v>
      </c>
      <c r="B33" t="str">
        <f>LEFT(Table4[[#This Row],[_drop_wqbe]],FIND("_",Table4[[#This Row],[_drop_wqbe]])-1)</f>
        <v>12B</v>
      </c>
      <c r="C33" t="str">
        <f>RIGHT(Table4[[#This Row],[_drop_wqbe]],LEN(Table4[[#This Row],[_drop_wqbe]])-FIND("_",Table4[[#This Row],[_drop_wqbe]]))</f>
        <v>Detention Pond with Property Cost</v>
      </c>
      <c r="D33" t="s">
        <v>57</v>
      </c>
      <c r="E33" t="s">
        <v>52</v>
      </c>
      <c r="F33" t="s">
        <v>78</v>
      </c>
      <c r="G33" t="str">
        <f>RIGHT(Table4[[#This Row],[WQBE_Full_Description]], LEN(Table4[[#This Row],[WQBE_Full_Description]])-5)</f>
        <v>12B_Detention Pond with Property Cost</v>
      </c>
    </row>
    <row r="34" spans="1:7" x14ac:dyDescent="0.25">
      <c r="A34" t="s">
        <v>61</v>
      </c>
      <c r="B34" t="str">
        <f>LEFT(Table4[[#This Row],[_drop_wqbe]],FIND("_",Table4[[#This Row],[_drop_wqbe]])-1)</f>
        <v>13A</v>
      </c>
      <c r="C34" t="str">
        <f>RIGHT(Table4[[#This Row],[_drop_wqbe]],LEN(Table4[[#This Row],[_drop_wqbe]])-FIND("_",Table4[[#This Row],[_drop_wqbe]]))</f>
        <v>Infiltration Pond Till Soil on Public Property</v>
      </c>
      <c r="D34" t="s">
        <v>60</v>
      </c>
      <c r="E34" t="s">
        <v>52</v>
      </c>
      <c r="F34" t="s">
        <v>82</v>
      </c>
      <c r="G34" t="str">
        <f>RIGHT(Table4[[#This Row],[WQBE_Full_Description]], LEN(Table4[[#This Row],[WQBE_Full_Description]])-5)</f>
        <v>13A_Infiltration Pond Till Soil on Public Property</v>
      </c>
    </row>
    <row r="35" spans="1:7" x14ac:dyDescent="0.25">
      <c r="A35" t="s">
        <v>62</v>
      </c>
      <c r="B35" t="str">
        <f>LEFT(Table4[[#This Row],[_drop_wqbe]],FIND("_",Table4[[#This Row],[_drop_wqbe]])-1)</f>
        <v>13B</v>
      </c>
      <c r="C35" t="str">
        <f>RIGHT(Table4[[#This Row],[_drop_wqbe]],LEN(Table4[[#This Row],[_drop_wqbe]])-FIND("_",Table4[[#This Row],[_drop_wqbe]]))</f>
        <v>Infiltration Pond Outwash Soil on Public Property</v>
      </c>
      <c r="D35" t="s">
        <v>60</v>
      </c>
      <c r="E35" t="s">
        <v>52</v>
      </c>
      <c r="F35" t="s">
        <v>82</v>
      </c>
      <c r="G35" t="str">
        <f>RIGHT(Table4[[#This Row],[WQBE_Full_Description]], LEN(Table4[[#This Row],[WQBE_Full_Description]])-5)</f>
        <v>13B_Infiltration Pond Outwash Soil on Public Property</v>
      </c>
    </row>
    <row r="36" spans="1:7" x14ac:dyDescent="0.25">
      <c r="A36" t="s">
        <v>63</v>
      </c>
      <c r="B36" t="str">
        <f>LEFT(Table4[[#This Row],[_drop_wqbe]],FIND("_",Table4[[#This Row],[_drop_wqbe]])-1)</f>
        <v>13C</v>
      </c>
      <c r="C36" t="str">
        <f>RIGHT(Table4[[#This Row],[_drop_wqbe]],LEN(Table4[[#This Row],[_drop_wqbe]])-FIND("_",Table4[[#This Row],[_drop_wqbe]]))</f>
        <v>Infiltration Pond Till Soil with Property Cost</v>
      </c>
      <c r="D36" t="s">
        <v>60</v>
      </c>
      <c r="E36" t="s">
        <v>52</v>
      </c>
      <c r="F36" t="s">
        <v>82</v>
      </c>
      <c r="G36" t="str">
        <f>RIGHT(Table4[[#This Row],[WQBE_Full_Description]], LEN(Table4[[#This Row],[WQBE_Full_Description]])-5)</f>
        <v>13C_Infiltration Pond Till Soil with Property Cost</v>
      </c>
    </row>
    <row r="37" spans="1:7" x14ac:dyDescent="0.25">
      <c r="A37" t="s">
        <v>64</v>
      </c>
      <c r="B37" t="str">
        <f>LEFT(Table4[[#This Row],[_drop_wqbe]],FIND("_",Table4[[#This Row],[_drop_wqbe]])-1)</f>
        <v>13D</v>
      </c>
      <c r="C37" t="str">
        <f>RIGHT(Table4[[#This Row],[_drop_wqbe]],LEN(Table4[[#This Row],[_drop_wqbe]])-FIND("_",Table4[[#This Row],[_drop_wqbe]]))</f>
        <v>Infiltration Pond Outwash Soil with Property Cost</v>
      </c>
      <c r="D37" t="s">
        <v>60</v>
      </c>
      <c r="E37" t="s">
        <v>52</v>
      </c>
      <c r="F37" t="s">
        <v>82</v>
      </c>
      <c r="G37" t="str">
        <f>RIGHT(Table4[[#This Row],[WQBE_Full_Description]], LEN(Table4[[#This Row],[WQBE_Full_Description]])-5)</f>
        <v>13D_Infiltration Pond Outwash Soil with Property Cost</v>
      </c>
    </row>
    <row r="38" spans="1:7" x14ac:dyDescent="0.25">
      <c r="A38" t="s">
        <v>65</v>
      </c>
      <c r="B38" t="str">
        <f>LEFT(Table4[[#This Row],[_drop_wqbe]],FIND("_",Table4[[#This Row],[_drop_wqbe]])-1)</f>
        <v>13E</v>
      </c>
      <c r="C38" t="str">
        <f>RIGHT(Table4[[#This Row],[_drop_wqbe]],LEN(Table4[[#This Row],[_drop_wqbe]])-FIND("_",Table4[[#This Row],[_drop_wqbe]]))</f>
        <v>Infiltration Pond Outwash Soil with High Rate Underground Filter System on Public Property</v>
      </c>
      <c r="D38" t="s">
        <v>60</v>
      </c>
      <c r="E38" t="s">
        <v>52</v>
      </c>
      <c r="F38" t="s">
        <v>82</v>
      </c>
      <c r="G38" t="str">
        <f>RIGHT(Table4[[#This Row],[WQBE_Full_Description]], LEN(Table4[[#This Row],[WQBE_Full_Description]])-5)</f>
        <v>13E_Infiltration Pond Outwash Soil with High Rate Underground Filter System on Public Property</v>
      </c>
    </row>
    <row r="39" spans="1:7" x14ac:dyDescent="0.25">
      <c r="A39" t="s">
        <v>67</v>
      </c>
      <c r="B39" t="str">
        <f>LEFT(Table4[[#This Row],[_drop_wqbe]],FIND("_",Table4[[#This Row],[_drop_wqbe]])-1)</f>
        <v>14A</v>
      </c>
      <c r="C39" t="str">
        <f>RIGHT(Table4[[#This Row],[_drop_wqbe]],LEN(Table4[[#This Row],[_drop_wqbe]])-FIND("_",Table4[[#This Row],[_drop_wqbe]]))</f>
        <v>Infiltration Vault Till Soil on Public Property</v>
      </c>
      <c r="D39" t="s">
        <v>66</v>
      </c>
      <c r="E39" t="s">
        <v>52</v>
      </c>
      <c r="F39" t="s">
        <v>89</v>
      </c>
      <c r="G39" t="str">
        <f>RIGHT(Table4[[#This Row],[WQBE_Full_Description]], LEN(Table4[[#This Row],[WQBE_Full_Description]])-5)</f>
        <v>14A_Infiltration Vault Till Soil on Public Property</v>
      </c>
    </row>
    <row r="40" spans="1:7" x14ac:dyDescent="0.25">
      <c r="A40" t="s">
        <v>68</v>
      </c>
      <c r="B40" t="str">
        <f>LEFT(Table4[[#This Row],[_drop_wqbe]],FIND("_",Table4[[#This Row],[_drop_wqbe]])-1)</f>
        <v>14B</v>
      </c>
      <c r="C40" t="str">
        <f>RIGHT(Table4[[#This Row],[_drop_wqbe]],LEN(Table4[[#This Row],[_drop_wqbe]])-FIND("_",Table4[[#This Row],[_drop_wqbe]]))</f>
        <v>Infiltration Vault Outwash Soil on Public Property</v>
      </c>
      <c r="D40" t="s">
        <v>66</v>
      </c>
      <c r="E40" t="s">
        <v>52</v>
      </c>
      <c r="F40" t="s">
        <v>89</v>
      </c>
      <c r="G40" t="str">
        <f>RIGHT(Table4[[#This Row],[WQBE_Full_Description]], LEN(Table4[[#This Row],[WQBE_Full_Description]])-5)</f>
        <v>14B_Infiltration Vault Outwash Soil on Public Property</v>
      </c>
    </row>
    <row r="41" spans="1:7" x14ac:dyDescent="0.25">
      <c r="A41" t="s">
        <v>69</v>
      </c>
      <c r="B41" t="str">
        <f>LEFT(Table4[[#This Row],[_drop_wqbe]],FIND("_",Table4[[#This Row],[_drop_wqbe]])-1)</f>
        <v>14C</v>
      </c>
      <c r="C41" t="str">
        <f>RIGHT(Table4[[#This Row],[_drop_wqbe]],LEN(Table4[[#This Row],[_drop_wqbe]])-FIND("_",Table4[[#This Row],[_drop_wqbe]]))</f>
        <v>Infiltration Vault Till Soil in ROW</v>
      </c>
      <c r="D41" t="s">
        <v>66</v>
      </c>
      <c r="E41" t="s">
        <v>52</v>
      </c>
      <c r="F41" t="s">
        <v>89</v>
      </c>
      <c r="G41" t="str">
        <f>RIGHT(Table4[[#This Row],[WQBE_Full_Description]], LEN(Table4[[#This Row],[WQBE_Full_Description]])-5)</f>
        <v>14C_Infiltration Vault Till Soil in ROW</v>
      </c>
    </row>
    <row r="42" spans="1:7" x14ac:dyDescent="0.25">
      <c r="A42" t="s">
        <v>70</v>
      </c>
      <c r="B42" t="str">
        <f>LEFT(Table4[[#This Row],[_drop_wqbe]],FIND("_",Table4[[#This Row],[_drop_wqbe]])-1)</f>
        <v>14D</v>
      </c>
      <c r="C42" t="str">
        <f>RIGHT(Table4[[#This Row],[_drop_wqbe]],LEN(Table4[[#This Row],[_drop_wqbe]])-FIND("_",Table4[[#This Row],[_drop_wqbe]]))</f>
        <v>Infiltration Vault Outwash Soil in ROW</v>
      </c>
      <c r="D42" t="s">
        <v>66</v>
      </c>
      <c r="E42" t="s">
        <v>52</v>
      </c>
      <c r="F42" t="s">
        <v>89</v>
      </c>
      <c r="G42" t="str">
        <f>RIGHT(Table4[[#This Row],[WQBE_Full_Description]], LEN(Table4[[#This Row],[WQBE_Full_Description]])-5)</f>
        <v>14D_Infiltration Vault Outwash Soil in ROW</v>
      </c>
    </row>
    <row r="43" spans="1:7" x14ac:dyDescent="0.25">
      <c r="A43" t="s">
        <v>71</v>
      </c>
      <c r="B43" t="str">
        <f>LEFT(Table4[[#This Row],[_drop_wqbe]],FIND("_",Table4[[#This Row],[_drop_wqbe]])-1)</f>
        <v>14E</v>
      </c>
      <c r="C43" t="str">
        <f>RIGHT(Table4[[#This Row],[_drop_wqbe]],LEN(Table4[[#This Row],[_drop_wqbe]])-FIND("_",Table4[[#This Row],[_drop_wqbe]]))</f>
        <v>Infiltration Vault Till Soil with Property Cost</v>
      </c>
      <c r="D43" t="s">
        <v>66</v>
      </c>
      <c r="E43" t="s">
        <v>52</v>
      </c>
      <c r="F43" t="s">
        <v>89</v>
      </c>
      <c r="G43" t="str">
        <f>RIGHT(Table4[[#This Row],[WQBE_Full_Description]], LEN(Table4[[#This Row],[WQBE_Full_Description]])-5)</f>
        <v>14E_Infiltration Vault Till Soil with Property Cost</v>
      </c>
    </row>
    <row r="44" spans="1:7" x14ac:dyDescent="0.25">
      <c r="A44" t="s">
        <v>72</v>
      </c>
      <c r="B44" t="str">
        <f>LEFT(Table4[[#This Row],[_drop_wqbe]],FIND("_",Table4[[#This Row],[_drop_wqbe]])-1)</f>
        <v>14F</v>
      </c>
      <c r="C44" t="str">
        <f>RIGHT(Table4[[#This Row],[_drop_wqbe]],LEN(Table4[[#This Row],[_drop_wqbe]])-FIND("_",Table4[[#This Row],[_drop_wqbe]]))</f>
        <v>Infiltration Vault Outwash Soil with Property Cost</v>
      </c>
      <c r="D44" t="s">
        <v>66</v>
      </c>
      <c r="E44" t="s">
        <v>52</v>
      </c>
      <c r="F44" t="s">
        <v>89</v>
      </c>
      <c r="G44" t="str">
        <f>RIGHT(Table4[[#This Row],[WQBE_Full_Description]], LEN(Table4[[#This Row],[WQBE_Full_Description]])-5)</f>
        <v>14F_Infiltration Vault Outwash Soil with Property Cost</v>
      </c>
    </row>
    <row r="45" spans="1:7" x14ac:dyDescent="0.25">
      <c r="A45" t="s">
        <v>73</v>
      </c>
      <c r="B45" t="str">
        <f>LEFT(Table4[[#This Row],[_drop_wqbe]],FIND("_",Table4[[#This Row],[_drop_wqbe]])-1)</f>
        <v>14G</v>
      </c>
      <c r="C45" t="str">
        <f>RIGHT(Table4[[#This Row],[_drop_wqbe]],LEN(Table4[[#This Row],[_drop_wqbe]])-FIND("_",Table4[[#This Row],[_drop_wqbe]]))</f>
        <v>Infiltration Vault Outwash Soil with High Rate Underground Filter System in ROW</v>
      </c>
      <c r="D45" t="s">
        <v>66</v>
      </c>
      <c r="E45" t="s">
        <v>52</v>
      </c>
      <c r="F45" t="s">
        <v>89</v>
      </c>
      <c r="G45" t="str">
        <f>RIGHT(Table4[[#This Row],[WQBE_Full_Description]], LEN(Table4[[#This Row],[WQBE_Full_Description]])-5)</f>
        <v>14G_Infiltration Vault Outwash Soil with High Rate Underground Filter System in ROW</v>
      </c>
    </row>
    <row r="46" spans="1:7" x14ac:dyDescent="0.25">
      <c r="A46" t="s">
        <v>75</v>
      </c>
      <c r="B46" t="str">
        <f>LEFT(Table4[[#This Row],[_drop_wqbe]],FIND("_",Table4[[#This Row],[_drop_wqbe]])-1)</f>
        <v>16</v>
      </c>
      <c r="C46" t="str">
        <f>RIGHT(Table4[[#This Row],[_drop_wqbe]],LEN(Table4[[#This Row],[_drop_wqbe]])-FIND("_",Table4[[#This Row],[_drop_wqbe]]))</f>
        <v>Cistern on Property</v>
      </c>
      <c r="D46" t="s">
        <v>74</v>
      </c>
      <c r="E46" t="s">
        <v>52</v>
      </c>
      <c r="F46" t="s">
        <v>87</v>
      </c>
      <c r="G46" t="str">
        <f>RIGHT(Table4[[#This Row],[WQBE_Full_Description]], LEN(Table4[[#This Row],[WQBE_Full_Description]])-5)</f>
        <v>16_Cistern on Property</v>
      </c>
    </row>
    <row r="47" spans="1:7" x14ac:dyDescent="0.25">
      <c r="A47" t="s">
        <v>49</v>
      </c>
      <c r="B47" t="str">
        <f>LEFT(Table4[[#This Row],[_drop_wqbe]],FIND("_",Table4[[#This Row],[_drop_wqbe]])-1)</f>
        <v>9A</v>
      </c>
      <c r="C47" t="str">
        <f>RIGHT(Table4[[#This Row],[_drop_wqbe]],LEN(Table4[[#This Row],[_drop_wqbe]])-FIND("_",Table4[[#This Row],[_drop_wqbe]]))</f>
        <v>Removal of Impervious Surfaces on Property (wheel strips)</v>
      </c>
      <c r="D47" t="s">
        <v>48</v>
      </c>
      <c r="E47" t="s">
        <v>8</v>
      </c>
      <c r="F47" t="s">
        <v>103</v>
      </c>
      <c r="G47" t="str">
        <f>RIGHT(Table4[[#This Row],[WQBE_Full_Description]], LEN(Table4[[#This Row],[WQBE_Full_Description]])-5)</f>
        <v>9A_Removal of Impervious Surfaces on Property (wheel strips)</v>
      </c>
    </row>
    <row r="48" spans="1:7" x14ac:dyDescent="0.25">
      <c r="A48" t="s">
        <v>51</v>
      </c>
      <c r="B48" t="str">
        <f>LEFT(Table4[[#This Row],[_drop_wqbe]],FIND("_",Table4[[#This Row],[_drop_wqbe]])-1)</f>
        <v>9B</v>
      </c>
      <c r="C48" t="str">
        <f>RIGHT(Table4[[#This Row],[_drop_wqbe]],LEN(Table4[[#This Row],[_drop_wqbe]])-FIND("_",Table4[[#This Row],[_drop_wqbe]]))</f>
        <v>Removal of Impervious Surfaces on Property (no wheel strips)</v>
      </c>
      <c r="D48" t="s">
        <v>48</v>
      </c>
      <c r="E48" t="s">
        <v>8</v>
      </c>
      <c r="F48" t="s">
        <v>103</v>
      </c>
      <c r="G48" t="str">
        <f>RIGHT(Table4[[#This Row],[WQBE_Full_Description]], LEN(Table4[[#This Row],[WQBE_Full_Description]])-5)</f>
        <v>9B_Removal of Impervious Surfaces on Property (no wheel strips)</v>
      </c>
    </row>
  </sheetData>
  <sortState xmlns:xlrd2="http://schemas.microsoft.com/office/spreadsheetml/2017/richdata2" ref="K2:L20">
    <sortCondition ref="L2:L20"/>
  </sortState>
  <dataValidations count="1">
    <dataValidation type="list" allowBlank="1" showInputMessage="1" showErrorMessage="1" sqref="F3:F48" xr:uid="{093A0736-A1C7-0F4F-8033-48811D0AF820}">
      <formula1>$L$2:$L$21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16568-5445-AD44-810F-9AE9BFF49B8A}">
  <dimension ref="A1:C16"/>
  <sheetViews>
    <sheetView workbookViewId="0">
      <selection activeCell="C6" sqref="C6"/>
    </sheetView>
  </sheetViews>
  <sheetFormatPr defaultColWidth="11" defaultRowHeight="15.75" x14ac:dyDescent="0.25"/>
  <cols>
    <col min="1" max="1" width="22.5" bestFit="1" customWidth="1"/>
    <col min="2" max="2" width="27.875" bestFit="1" customWidth="1"/>
    <col min="3" max="3" width="32.375" customWidth="1"/>
    <col min="5" max="5" width="41" bestFit="1" customWidth="1"/>
  </cols>
  <sheetData>
    <row r="1" spans="1:3" x14ac:dyDescent="0.25">
      <c r="A1" t="s">
        <v>91</v>
      </c>
      <c r="B1" t="s">
        <v>92</v>
      </c>
      <c r="C1" t="s">
        <v>105</v>
      </c>
    </row>
    <row r="2" spans="1:3" x14ac:dyDescent="0.25">
      <c r="A2" t="s">
        <v>77</v>
      </c>
      <c r="B2" t="s">
        <v>16</v>
      </c>
      <c r="C2" t="str">
        <f t="shared" ref="C2:C16" si="0">A2</f>
        <v>Bioretention</v>
      </c>
    </row>
    <row r="3" spans="1:3" x14ac:dyDescent="0.25">
      <c r="A3" t="s">
        <v>78</v>
      </c>
      <c r="B3" t="s">
        <v>57</v>
      </c>
      <c r="C3" t="str">
        <f t="shared" si="0"/>
        <v>Holding Basin</v>
      </c>
    </row>
    <row r="4" spans="1:3" x14ac:dyDescent="0.25">
      <c r="A4" t="s">
        <v>79</v>
      </c>
      <c r="B4" t="s">
        <v>29</v>
      </c>
      <c r="C4" t="str">
        <f t="shared" si="0"/>
        <v>Media Filter</v>
      </c>
    </row>
    <row r="5" spans="1:3" x14ac:dyDescent="0.25">
      <c r="A5" t="s">
        <v>80</v>
      </c>
      <c r="C5" t="str">
        <f t="shared" si="0"/>
        <v>Oil Water Separator</v>
      </c>
    </row>
    <row r="6" spans="1:3" x14ac:dyDescent="0.25">
      <c r="A6" t="s">
        <v>81</v>
      </c>
      <c r="B6" t="s">
        <v>43</v>
      </c>
      <c r="C6" t="str">
        <f t="shared" si="0"/>
        <v>Pervious Pavement</v>
      </c>
    </row>
    <row r="7" spans="1:3" x14ac:dyDescent="0.25">
      <c r="A7" t="s">
        <v>82</v>
      </c>
      <c r="B7" t="s">
        <v>57</v>
      </c>
      <c r="C7" t="str">
        <f t="shared" si="0"/>
        <v>Pond</v>
      </c>
    </row>
    <row r="8" spans="1:3" x14ac:dyDescent="0.25">
      <c r="A8" t="s">
        <v>83</v>
      </c>
      <c r="C8" t="str">
        <f t="shared" si="0"/>
        <v>Pump Station</v>
      </c>
    </row>
    <row r="9" spans="1:3" x14ac:dyDescent="0.25">
      <c r="A9" t="s">
        <v>84</v>
      </c>
      <c r="B9" t="s">
        <v>29</v>
      </c>
      <c r="C9" t="str">
        <f t="shared" si="0"/>
        <v>Sand Filter</v>
      </c>
    </row>
    <row r="10" spans="1:3" x14ac:dyDescent="0.25">
      <c r="A10" t="s">
        <v>85</v>
      </c>
      <c r="B10" t="s">
        <v>24</v>
      </c>
      <c r="C10" t="str">
        <f t="shared" si="0"/>
        <v>Swale</v>
      </c>
    </row>
    <row r="11" spans="1:3" x14ac:dyDescent="0.25">
      <c r="A11" t="s">
        <v>86</v>
      </c>
      <c r="C11" t="str">
        <f t="shared" si="0"/>
        <v>Swirl Separator</v>
      </c>
    </row>
    <row r="12" spans="1:3" x14ac:dyDescent="0.25">
      <c r="A12" t="s">
        <v>87</v>
      </c>
      <c r="B12" t="s">
        <v>53</v>
      </c>
      <c r="C12" t="str">
        <f t="shared" si="0"/>
        <v>Tank</v>
      </c>
    </row>
    <row r="13" spans="1:3" x14ac:dyDescent="0.25">
      <c r="A13" t="s">
        <v>88</v>
      </c>
      <c r="C13" t="str">
        <f t="shared" si="0"/>
        <v>Trench</v>
      </c>
    </row>
    <row r="14" spans="1:3" x14ac:dyDescent="0.25">
      <c r="A14" t="s">
        <v>89</v>
      </c>
      <c r="B14" t="s">
        <v>66</v>
      </c>
      <c r="C14" t="str">
        <f t="shared" si="0"/>
        <v>Vault</v>
      </c>
    </row>
    <row r="15" spans="1:3" x14ac:dyDescent="0.25">
      <c r="A15" t="s">
        <v>90</v>
      </c>
      <c r="B15" t="s">
        <v>12</v>
      </c>
      <c r="C15" t="str">
        <f t="shared" si="0"/>
        <v>Vegetated Box</v>
      </c>
    </row>
    <row r="16" spans="1:3" x14ac:dyDescent="0.25">
      <c r="A16" t="s">
        <v>104</v>
      </c>
      <c r="B16" t="s">
        <v>104</v>
      </c>
      <c r="C16" t="str">
        <f t="shared" si="0"/>
        <v>Select BMP Type</v>
      </c>
    </row>
  </sheetData>
  <sortState xmlns:xlrd2="http://schemas.microsoft.com/office/spreadsheetml/2017/richdata2" ref="E2:E23">
    <sortCondition ref="E23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KingCoReferences</vt:lpstr>
      <vt:lpstr>BMP Crosswalk</vt:lpstr>
      <vt:lpstr>Lookup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Austin Orr</cp:lastModifiedBy>
  <dcterms:created xsi:type="dcterms:W3CDTF">2023-01-25T01:31:07Z</dcterms:created>
  <dcterms:modified xsi:type="dcterms:W3CDTF">2023-05-08T18:00:36Z</dcterms:modified>
  <cp:category/>
</cp:coreProperties>
</file>