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mc:AlternateContent xmlns:mc="http://schemas.openxmlformats.org/markup-compatibility/2006">
    <mc:Choice Requires="x15">
      <x15ac:absPath xmlns:x15ac="http://schemas.microsoft.com/office/spreadsheetml/2010/11/ac" url="C:\Users\Irene\Dropbox (Personal)\PhD\Data-Analysis\PwrCap-PowerDensity-Public-GITREPO\docs\"/>
    </mc:Choice>
  </mc:AlternateContent>
  <xr:revisionPtr revIDLastSave="0" documentId="13_ncr:1_{F16B7AAF-5BCC-4DE0-AFC1-A42DEE3AA0E2}" xr6:coauthVersionLast="47" xr6:coauthVersionMax="47" xr10:uidLastSave="{00000000-0000-0000-0000-000000000000}"/>
  <bookViews>
    <workbookView xWindow="45972" yWindow="-12" windowWidth="30936" windowHeight="16896" activeTab="1" xr2:uid="{00000000-000D-0000-FFFF-FFFF00000000}"/>
  </bookViews>
  <sheets>
    <sheet name="1. Lognormal MWe from Area" sheetId="5" r:id="rId1"/>
    <sheet name="2. Tree-Capacity" sheetId="1" r:id="rId2"/>
    <sheet name="Explanation" sheetId="6" r:id="rId3"/>
  </sheets>
  <definedNames>
    <definedName name="_xlnm.Print_Area" localSheetId="0">'1. Lognormal MWe from Area'!$A$1:$N$61</definedName>
    <definedName name="_xlnm.Print_Area" localSheetId="1">'2. Tree-Capacity'!$A$1:$N$68</definedName>
    <definedName name="_xlnm.Print_Area" localSheetId="2">Explanation!$A$1:$A$269</definedName>
    <definedName name="Prob_of_Base_Case">#REF!</definedName>
    <definedName name="Prob_of_Downside">#REF!</definedName>
    <definedName name="Prob_of_Upside">#REF!</definedName>
    <definedName name="Z_244A635C_1FC6_4F5E_A619_9E947BA21B2B_.wvu.PrintArea" localSheetId="0" hidden="1">'1. Lognormal MWe from Area'!$A$1:$N$61</definedName>
    <definedName name="Z_79A97261_3DC7_4D19_A3DF_02993B73D3BA_.wvu.PrintArea" localSheetId="1" hidden="1">'2. Tree-Capacity'!$A$48:$O$68</definedName>
  </definedNames>
  <calcPr calcId="191029"/>
  <customWorkbookViews>
    <customWorkbookView name="WBC - Personal View" guid="{79A97261-3DC7-4D19-A3DF-02993B73D3BA}" mergeInterval="0" personalView="1" maximized="1" windowWidth="931" windowHeight="61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3" i="1" l="1"/>
  <c r="L64" i="1"/>
  <c r="M60" i="1" s="1"/>
  <c r="L60" i="1"/>
  <c r="M56" i="1" s="1"/>
  <c r="Q71" i="5"/>
  <c r="Q72" i="5"/>
  <c r="Q73" i="5"/>
  <c r="Q74" i="5"/>
  <c r="Q75" i="5"/>
  <c r="Q76" i="5"/>
  <c r="Q77" i="5"/>
  <c r="Q78" i="5"/>
  <c r="Q79" i="5"/>
  <c r="Q80" i="5"/>
  <c r="Q81" i="5"/>
  <c r="Q82" i="5"/>
  <c r="Q84" i="5"/>
  <c r="Q85" i="5"/>
  <c r="Q86" i="5"/>
  <c r="Q87" i="5"/>
  <c r="Q88" i="5"/>
  <c r="Q89" i="5"/>
  <c r="Q90" i="5"/>
  <c r="Q91" i="5"/>
  <c r="Q92" i="5"/>
  <c r="Q93" i="5"/>
  <c r="Q94" i="5"/>
  <c r="Q95" i="5"/>
  <c r="Q96" i="5"/>
  <c r="Q97" i="5"/>
  <c r="D31" i="1"/>
  <c r="L56" i="1"/>
  <c r="H53" i="1" s="1"/>
  <c r="G50" i="1"/>
  <c r="K64" i="1"/>
  <c r="K60" i="1"/>
  <c r="E51" i="1"/>
  <c r="E56" i="1" s="1"/>
  <c r="G54" i="1"/>
  <c r="G59" i="1" s="1"/>
  <c r="J19" i="5"/>
  <c r="F19" i="5"/>
  <c r="H16" i="5"/>
  <c r="L25" i="5"/>
  <c r="L26" i="5"/>
  <c r="M25" i="5"/>
  <c r="M26" i="5"/>
  <c r="H24" i="5"/>
  <c r="F24" i="5"/>
  <c r="L11" i="5"/>
  <c r="J20" i="1" s="1"/>
  <c r="B25" i="5"/>
  <c r="B2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M31" i="1"/>
  <c r="K57" i="1" l="1"/>
  <c r="D55" i="1" s="1"/>
  <c r="D57" i="1"/>
  <c r="M28" i="5"/>
  <c r="I26" i="5"/>
  <c r="K26" i="5"/>
  <c r="E25" i="5"/>
  <c r="L28" i="5"/>
  <c r="G28" i="5" s="1"/>
  <c r="C33" i="5" s="1"/>
  <c r="H60" i="1"/>
  <c r="J25" i="5"/>
  <c r="G25" i="5"/>
  <c r="K25" i="5"/>
  <c r="D25" i="5"/>
  <c r="I25" i="5"/>
  <c r="J26" i="5"/>
  <c r="D26" i="5"/>
  <c r="G26" i="5"/>
  <c r="E26" i="5"/>
  <c r="D52" i="1" l="1"/>
  <c r="D54" i="1"/>
  <c r="D58" i="1"/>
  <c r="P53" i="5"/>
  <c r="P95" i="5"/>
  <c r="R122" i="5"/>
  <c r="R90" i="5"/>
  <c r="J42" i="1"/>
  <c r="J36" i="1" s="1"/>
  <c r="J31" i="1" s="1"/>
  <c r="P136" i="5"/>
  <c r="P103" i="5"/>
  <c r="P128" i="5"/>
  <c r="R40" i="5"/>
  <c r="P108" i="5"/>
  <c r="R86" i="5"/>
  <c r="R48" i="5"/>
  <c r="P122" i="5"/>
  <c r="R128" i="5"/>
  <c r="R63" i="5"/>
  <c r="P57" i="5"/>
  <c r="P134" i="5"/>
  <c r="P115" i="5"/>
  <c r="E28" i="5"/>
  <c r="R111" i="5"/>
  <c r="P37" i="5"/>
  <c r="R133" i="5"/>
  <c r="P81" i="5"/>
  <c r="R72" i="5"/>
  <c r="P62" i="5"/>
  <c r="R67" i="5"/>
  <c r="P40" i="5"/>
  <c r="I28" i="5"/>
  <c r="R71" i="5"/>
  <c r="R96" i="5"/>
  <c r="R106" i="5"/>
  <c r="P138" i="5"/>
  <c r="R78" i="5"/>
  <c r="R125" i="5"/>
  <c r="P78" i="5"/>
  <c r="R59" i="5"/>
  <c r="R103" i="5"/>
  <c r="R79" i="5"/>
  <c r="P56" i="5"/>
  <c r="R142" i="5"/>
  <c r="J26" i="1"/>
  <c r="P99" i="5"/>
  <c r="P49" i="5"/>
  <c r="R100" i="5"/>
  <c r="P55" i="5"/>
  <c r="P142" i="5"/>
  <c r="P92" i="5"/>
  <c r="R39" i="5"/>
  <c r="P97" i="5"/>
  <c r="P58" i="5"/>
  <c r="R37" i="5"/>
  <c r="P91" i="5"/>
  <c r="P44" i="5"/>
  <c r="P46" i="5"/>
  <c r="P43" i="5"/>
  <c r="P54" i="5"/>
  <c r="R131" i="5"/>
  <c r="R84" i="5"/>
  <c r="P45" i="5"/>
  <c r="R87" i="5"/>
  <c r="R115" i="5"/>
  <c r="P111" i="5"/>
  <c r="R92" i="5"/>
  <c r="R58" i="5"/>
  <c r="P120" i="5"/>
  <c r="R81" i="5"/>
  <c r="R136" i="5"/>
  <c r="R49" i="5"/>
  <c r="R130" i="5"/>
  <c r="R80" i="5"/>
  <c r="H28" i="5"/>
  <c r="P93" i="5"/>
  <c r="R109" i="5"/>
  <c r="P77" i="5"/>
  <c r="P74" i="5"/>
  <c r="F28" i="5"/>
  <c r="R57" i="5"/>
  <c r="R139" i="5"/>
  <c r="J28" i="5"/>
  <c r="R61" i="5"/>
  <c r="R135" i="5"/>
  <c r="R91" i="5"/>
  <c r="P107" i="5"/>
  <c r="R42" i="5"/>
  <c r="P116" i="5"/>
  <c r="P133" i="5"/>
  <c r="P63" i="5"/>
  <c r="P129" i="5"/>
  <c r="P126" i="5"/>
  <c r="R62" i="5"/>
  <c r="R140" i="5"/>
  <c r="P75" i="5"/>
  <c r="P38" i="5"/>
  <c r="R137" i="5"/>
  <c r="R88" i="5"/>
  <c r="P94" i="5"/>
  <c r="R82" i="5"/>
  <c r="P82" i="5"/>
  <c r="P137" i="5"/>
  <c r="R107" i="5"/>
  <c r="P52" i="5"/>
  <c r="R50" i="5"/>
  <c r="P131" i="5"/>
  <c r="P61" i="5"/>
  <c r="P109" i="5"/>
  <c r="R143" i="5"/>
  <c r="P41" i="5"/>
  <c r="R127" i="5"/>
  <c r="R113" i="5"/>
  <c r="P110" i="5"/>
  <c r="P90" i="5"/>
  <c r="R94" i="5"/>
  <c r="P67" i="5"/>
  <c r="P135" i="5"/>
  <c r="R102" i="5"/>
  <c r="P39" i="5"/>
  <c r="P89" i="5"/>
  <c r="P124" i="5"/>
  <c r="R110" i="5"/>
  <c r="R118" i="5"/>
  <c r="R44" i="5"/>
  <c r="P118" i="5"/>
  <c r="P132" i="5"/>
  <c r="R38" i="5"/>
  <c r="R123" i="5"/>
  <c r="P72" i="5"/>
  <c r="P139" i="5"/>
  <c r="P85" i="5"/>
  <c r="R60" i="5"/>
  <c r="R141" i="5"/>
  <c r="P100" i="5"/>
  <c r="R117" i="5"/>
  <c r="P140" i="5"/>
  <c r="P79" i="5"/>
  <c r="R46" i="5"/>
  <c r="P125" i="5"/>
  <c r="P42" i="5"/>
  <c r="P143" i="5"/>
  <c r="P112" i="5"/>
  <c r="R77" i="5"/>
  <c r="P60" i="5"/>
  <c r="R126" i="5"/>
  <c r="R43" i="5"/>
  <c r="P104" i="5"/>
  <c r="P123" i="5"/>
  <c r="P106" i="5"/>
  <c r="P87" i="5"/>
  <c r="R93" i="5"/>
  <c r="P141" i="5"/>
  <c r="P119" i="5"/>
  <c r="P80" i="5"/>
  <c r="R45" i="5"/>
  <c r="D28" i="5"/>
  <c r="P113" i="5"/>
  <c r="K28" i="5"/>
  <c r="C32" i="5" s="1"/>
  <c r="P50" i="5"/>
  <c r="R41" i="5"/>
  <c r="R97" i="5"/>
  <c r="R101" i="5"/>
  <c r="R98" i="5"/>
  <c r="R104" i="5"/>
  <c r="R116" i="5"/>
  <c r="R129" i="5"/>
  <c r="P48" i="5"/>
  <c r="R51" i="5"/>
  <c r="P101" i="5"/>
  <c r="R56" i="5"/>
  <c r="R138" i="5"/>
  <c r="P88" i="5"/>
  <c r="R120" i="5"/>
  <c r="P47" i="5"/>
  <c r="R121" i="5"/>
  <c r="P73" i="5"/>
  <c r="R53" i="5"/>
  <c r="P98" i="5"/>
  <c r="R74" i="5"/>
  <c r="R114" i="5"/>
  <c r="R124" i="5"/>
  <c r="R134" i="5"/>
  <c r="P130" i="5"/>
  <c r="R54" i="5"/>
  <c r="R52" i="5"/>
  <c r="P127" i="5"/>
  <c r="R112" i="5"/>
  <c r="P59" i="5"/>
  <c r="R75" i="5"/>
  <c r="P84" i="5"/>
  <c r="R99" i="5"/>
  <c r="R105" i="5"/>
  <c r="R55" i="5"/>
  <c r="P105" i="5"/>
  <c r="P114" i="5"/>
  <c r="R119" i="5"/>
  <c r="P96" i="5"/>
  <c r="R108" i="5"/>
  <c r="R73" i="5"/>
  <c r="P121" i="5"/>
  <c r="R47" i="5"/>
  <c r="R76" i="5"/>
  <c r="R95" i="5"/>
  <c r="P76" i="5"/>
  <c r="P51" i="5"/>
  <c r="P102" i="5"/>
  <c r="P117" i="5"/>
  <c r="P71" i="5"/>
  <c r="R89" i="5"/>
  <c r="R85" i="5"/>
  <c r="P86" i="5"/>
  <c r="R132" i="5"/>
</calcChain>
</file>

<file path=xl/sharedStrings.xml><?xml version="1.0" encoding="utf-8"?>
<sst xmlns="http://schemas.openxmlformats.org/spreadsheetml/2006/main" count="364" uniqueCount="342">
  <si>
    <t>The drilled area and capacity of developed fields is commonly published. However, the published statistics require review both for their reliability and their relevance as an analog to the assessment being considered.</t>
  </si>
  <si>
    <t>2) their area and minimum depth, typically constrained by MT resistivity and maybe gradient wells.</t>
  </si>
  <si>
    <t xml:space="preserve">Because there are fewer than 200 geothermal fields and about 100 developed reservoirs to support the estimates, the probabilities are conceptually different than the familiar statistics of large populations. It is more realistic to treat them conceptually as quasi-Bayesian confidence levels.  </t>
  </si>
  <si>
    <t>A tree with fewer outcomes is best, although an assessment team can sometimes remember and explain 10 or more, especially if most are similar. However, 3 would be better and 5 a compromise.</t>
  </si>
  <si>
    <t>Both trees and tables can be very simple, not necessarily the elaborate types of trees mentioned in method (6) above. A simple five branch risk tree that can be used to test resource capacity assessments..</t>
  </si>
  <si>
    <t>Without a well-informed independent expert analysis of uncertainty, this can become a Delphi approach.</t>
  </si>
  <si>
    <t>Analytical reservoir analysis</t>
  </si>
  <si>
    <t xml:space="preserve">Simplified process models or analytical reservoir engineering models that mimic the essential behavior of a reservoir can highlight assumptions that are conceptually unlikely or directly constrain the resource capacity. </t>
  </si>
  <si>
    <t xml:space="preserve">These can be done analytically or using a simulation model with a few elements. It might be feasible to apply stochastic uncertainty assessment methods to such models. </t>
  </si>
  <si>
    <t xml:space="preserve">Examples might include single well or nterference assessments of bulk permebility and/or drawdown and the implications of this for scaling, productivity and similar potentially limiting factors. </t>
  </si>
  <si>
    <t>Therefore, POS for wells must be evaluated for each target. However, for most geothermal reservoirs at the exploration and appraisal stage, wells within the P90 area are likely to have a similar POS. As development proceeds, the assessment may become more complex.</t>
  </si>
  <si>
    <t xml:space="preserve">The stage of development also matters. The probability of success (POS) for a well within the P90 of a discovered resource might be &gt;80%. At the exploration stage, POSexpl will typically be much lower than that. </t>
  </si>
  <si>
    <t xml:space="preserve">Reserves depend not only on geoscience parameters but also on power conversion technology and production and injection plans. When assessing a power density based on analogous reservoirs, these factors can be considered individually or lumped as &lt;, &gt; or ~.  </t>
  </si>
  <si>
    <t>Spreadsheet 1. Resource capacity using lognormal distributions of area and power density</t>
  </si>
  <si>
    <t>The validity of this approach depends on recognizing the degree to which the analogous reservoirs constrain the parameters of the assessed resource.</t>
  </si>
  <si>
    <t>To address this, some geothermal developers have leveraged the limited number of expert geothermal generalists by employing them to provide case history exercises that allow professionals with narrower experience to quickly syntheisize enough conceptual experince to effectively use these spreadsheets.</t>
  </si>
  <si>
    <t xml:space="preserve">1) their minimum temperature inferred from geochemistry and maybe temperature gradient wells; and </t>
  </si>
  <si>
    <t>The minimum temperature and depth should be considered when estimating the power density, although this will also depend on many other factors including type of power plant and production system installed and the type of depletion expected (e.g temperature versus pressure decline).</t>
  </si>
  <si>
    <t>For example, there have probably been 100s of earthquake surveys conducted for geothermal exploration in which too few earthquakes were recorded to reliably inform a decision. They are mentioned in budget summaries and similar reports but full reviews are almost never published.</t>
  </si>
  <si>
    <t xml:space="preserve">Despite a few successes, anomaly hunting has been less cost-effective in a geothermal context. Typical geothermal wells are much more expensive than mining core holes. Hot water has much lower value per unit volume than minerals or petroleum. </t>
  </si>
  <si>
    <t>Direct correlations of measurements, even temperature, with geothermal resource properties are often misleading unless considered in the context of a range of conceptual models that consider uncertainty.</t>
  </si>
  <si>
    <t>Anomaly stacking</t>
  </si>
  <si>
    <t xml:space="preserve">Anomaly stacking is based on the notion that, by combining anomaly correlations from several data sets, risk can be reduced. However, this approach is often less reliable than simple anomaly hunting. </t>
  </si>
  <si>
    <t xml:space="preserve">Less expert reviewers who understand the conceptual basis for applying one data set to geothermal exploration will often greatly increase their confidence due its coincidence with another data set, even if the second data set is likely to be irrelevant in the particular context being considered.  </t>
  </si>
  <si>
    <t>Decision trees and tables</t>
  </si>
  <si>
    <t>Anomaly hunting</t>
  </si>
  <si>
    <t>Opinions of several experts who complete analyses focused only on their disciplines might also be suspect if an expert in cross-disciplinary geothermal resource assessment does not produce an integrated assessment.</t>
  </si>
  <si>
    <t xml:space="preserve">In recent years, the greatest challenge in utilizing expert opinion has been finding a quorum of experts who have suitable time and sufficiently broad geothermal experience to support a thorough assessment and peer review of resource conceptual models and their uncertainty. </t>
  </si>
  <si>
    <t>A decision tree is not a resource assessment method, per se, but a tool commonly used to follow the logic of resource decisions and investments related to a probability weighted range of resource capacity estimates.</t>
  </si>
  <si>
    <t xml:space="preserve">The decision tree in Worksheet 2 is a template designed for the evaluation of exploration projects that can be easily addapted to development. </t>
  </si>
  <si>
    <t>Anomaly hunting has led to many mineral discoveries. The correlation among some metallic ores and anomalous values of magnetic amplitude, IP and resistivity is relatively direct and core drilling shallow mineral zones is relatively low cost.</t>
  </si>
  <si>
    <t>However, when mineral targets are deeper and drilling costs increase, conceptual approaches are given more emphasis than anomaly hunting.</t>
  </si>
  <si>
    <t xml:space="preserve">Although the very poor reporting of failure case histories affects all methods used to assess geothermal fields, it is particularly serious in assessing the reliability of anomaly hunting approaches. </t>
  </si>
  <si>
    <t xml:space="preserve">Its branches include three decision points. The exploration and the appraisal investment stages each have success and failure branches with probabilities. Appraisal success is followed by probabilities for three geothermal development scenarios. </t>
  </si>
  <si>
    <t>The capacity and likelihood are required and can be assessed using any of the methods noted above. The discounted investment and present value are optional.</t>
  </si>
  <si>
    <t>The data compilation and visualization tools used by a few geothermal developers a decade ago have become ubiquitous in the last few years.</t>
  </si>
  <si>
    <t>The crucial distinction between compilation of data and conceptual integration of data is often overlooked and, in many cases, the assessment becomes anomaly huntiing or, with the advent of better compilation tools, anomaly stacking.</t>
  </si>
  <si>
    <t>Data compilation and visualization have been used to promote modern 3D anomaly hunting and anomaly stacking approaches to well targeting and resource capacity estimation.</t>
  </si>
  <si>
    <t xml:space="preserve">Anomaly hunting usually has a conceptual basis but it focuses on targeting a particular pattern or value of data rather than targeting a conceptual geothermal resource model built to be consistent with the data. </t>
  </si>
  <si>
    <t xml:space="preserve">Often, only the person who builds a simulation model is familiar with the conceptual elements that are most important to its production response and capacity. </t>
  </si>
  <si>
    <t>Visualization and data integration tools can facilitate the review of the parameter distributions within models, provided that the reviewer is also familiar with the conceptual thermodynamics of geothermal reservoirs.</t>
  </si>
  <si>
    <t>For example, a classic geothermal example was the correlation of a resistivity profiling contour with Wairakei production that was extended, by analogy, to Ohaaki, resulting in a serious over-estimate (Ussher, 2007, GRC).</t>
  </si>
  <si>
    <t>Ohaaki is an example where a conceptual approach focused on the 3D correlation of low resistivity with the low permeability smectite cap provides improved constraints on the geometry of the geothermal reservoir.</t>
  </si>
  <si>
    <t>One approach to assessing uncertainty in reservoir simulation is the probabilistitic approach of Parini and Riedel (2000, WGC) based on applying Monte Carlo sampling to reservoir simulation sensitivity analyses.</t>
  </si>
  <si>
    <t>Inverse modeling reservoir simulation approaches like iTough automatically adjust the model to fit the numerical matching data set. They provide a cost-effective way of testing the plausibility of numerous scenarios.</t>
  </si>
  <si>
    <t>For example, a particular minimum capacity can be made one of the matching criteria. It is usually possible to adjust a model to fit any plausible minimum capacity and the measured data, although this often requires model parameters that are geologically improbable.</t>
  </si>
  <si>
    <t xml:space="preserve">Numerical reservoir simulation can usefully test the plausibility of exploration scenarios. </t>
  </si>
  <si>
    <t>For example, if two exploration wells have low permeability but high isothermal temperatures, how likely is it that the temperature pattern does not indicate a nearby high permeability zone? Is there room left for a economic reservoir with slightly better permeability?</t>
  </si>
  <si>
    <t>Inverse modeling reservoir simulation</t>
  </si>
  <si>
    <t xml:space="preserve">Analogy </t>
  </si>
  <si>
    <t xml:space="preserve">Analogies are also effective for assessing well targets, although the statistics of well targeting are seldom directly relevant. For example, should a tight well drilled to meet an access requirement be considered a failure. </t>
  </si>
  <si>
    <t xml:space="preserve">A common and effective resource assessment approach is comparison to more or less analogous developed geothermal fields. This is used to validate all other methods. </t>
  </si>
  <si>
    <t>Although analogies always provide an illuminating reality test of other methods, it has a drawback. At least one and preferably several expert generalists with very wide experience are needed. Some other methods do not require an expert on analogies, although their review does.</t>
  </si>
  <si>
    <t>However, all simulation models are non-unique in the sense that many models can fit the numerical constraints.</t>
  </si>
  <si>
    <t>Besides a good numerical fit, the validation of a simulation model for resource capacity assessment depends critically on how its consistency with non-numerical constraints is evaluated.</t>
  </si>
  <si>
    <t>Characterizing which of the non-unique fits to the observed data are most charateristic of capacity and what the variation among these models implies for uncertainty is an important research goal.</t>
  </si>
  <si>
    <t>However, the excellent fit of the model prediction to measurements that can be quickly achieved using an inverse modeling approach is often incorrectly assumed to mean that the scenario is reliably demonstrated.</t>
  </si>
  <si>
    <t>As in any 3D geoscience inversion, the constraints on how the inverse modeling is allowed to change simulation parameters is crucial to producing realistic results.</t>
  </si>
  <si>
    <t xml:space="preserve">Because inverse modeling fits a model to data without anyone becoming familiar with the details of the reservoir property distribution, effective visualization of the resulting model is essential. </t>
  </si>
  <si>
    <t>For example, a common pitfall is to focus on matching initial state and production response data and overlook geologically unlikely distributions of the simulation model parameters.</t>
  </si>
  <si>
    <t>However, a focus on compilation and visualization in resource assessment has pitfalls.</t>
  </si>
  <si>
    <t>Such an emphasis tends to depreciate the role of crucial data sets that do not lend themselves to xyz visualization, such as geochemistry in the context of gethermal resource assessment.</t>
  </si>
  <si>
    <t>Improved visualization will likely play a central role in resolving critical issues in geothermal resource assessment, such as investigating whether the parameter distributions in reservoir simulation models are geologically plausible.</t>
  </si>
  <si>
    <t xml:space="preserve">Spreadsheet 1 could be viewed as a simplified heat-in-place approach that collapses the parameter distributions into a minimum set that can be supported by published reservoir data. </t>
  </si>
  <si>
    <t>With fewer than 150 developed geothermal reservoirs, the statistical support for most parameters is poor.</t>
  </si>
  <si>
    <t>&gt;240°C</t>
  </si>
  <si>
    <t xml:space="preserve">The complete version of this worksheet includes a discussion of issues related to geothermal well targeting and resource capacity assessment and brief descriptions of four spreadseets that illustrate simple decision tools that are commonly used in the geothermal industry to support such assessments. </t>
  </si>
  <si>
    <t>The four spreadsheets that are included in the complete version of this Excel workbook were initially intended to support exercises in a proprietary course. They have been adapted to practical applications at several companies, but when used in applications, the worksheets not used should be deleted.</t>
  </si>
  <si>
    <t>The spreadsheets are intended to be self-documenting. However, the following background notes are supplemented by a few guidelines for each spreadsheet.</t>
  </si>
  <si>
    <t>Trees like this have been adapted by geothermal peer review teams to summarize reports and review capacity estimates based on a wide variety of methods, typically analog comparison, Monte Carlo volumetric, reservoir engineering first principles, and numerical reservoir simulation approaches. These are outlined below.</t>
  </si>
  <si>
    <t xml:space="preserve">Promising geoscience techniques or reservoir assessment methods that may eventually reduce risk as case histories accumulate are sometimes promoted as if a limited test together with the hopes and claims of researchers already demonstrate risk reduction. </t>
  </si>
  <si>
    <t xml:space="preserve">In cases where brittle rocks extend to the surface, for example a rhyolite lava dome, a fault trace with open space permeabillity that is not leaking hot fluid or gas up may be leaking cold water down into a reservoir. </t>
  </si>
  <si>
    <t>For example, although the deep heat source Is important, it is commonly much larger than the overlying hydrothermal system and its reationship to the processes that localized the hydrothermal system may be so indirect that it is considered mainly as background context.</t>
  </si>
  <si>
    <t xml:space="preserve">The natural state temperature pattern illustrated by isotherms is a crucial component of a conceptual model. It constrains the fluid flow (perhaps aided but not replaced by arrows), the thermodynamic consistency of the model with observations, the upflow-outflow elements, and commercial viability. Yet it is often incomplete. </t>
  </si>
  <si>
    <t xml:space="preserve">A common pitfall in geothermal well targeting is the use of inadequate geothermal resource conceptual models. </t>
  </si>
  <si>
    <t xml:space="preserve">Elements of the model with greater uncertainty are often emphasized more than better understood elements with important constraints on geothermal reservoir properties and implications for a commercial reservoir. </t>
  </si>
  <si>
    <t>At least as important are the mechanical properties of the rocks that are fractured. The type of clay and content of clay in rocks often has a profound effect on the tendency of fractures to form open space permeability.</t>
  </si>
  <si>
    <t>Integrating new research and technical methods into resource assessment</t>
  </si>
  <si>
    <t>A serious pitfall in integrating results of geothermal research into risk assessments of well targeting or capacity assessment (or in planning new research) is the very inadequate reporting of research failures. Most of the time, researchers are not aware of previous failures, most research reports do not clearly report failures and limitations, and failure case histories are rare.</t>
  </si>
  <si>
    <t>Another limitation in case history approaches is incomplete information about the context of failures when they are reported. Geoscience programs may point to a low risk target that is inside a park, or requires a costly road, etc, so a higher risk target is drilled. This may be the correct economic choice but it is commonly misleading regarding the reliability of the geoscience methods employed in targeting.</t>
  </si>
  <si>
    <t xml:space="preserve">In contrast, it is a widely understood that almost all geothermal fields capable of economically significant power generation ultimately depend on deep vertical fracturing as a source of heat. </t>
  </si>
  <si>
    <t xml:space="preserve">The importance of long-term cap integrity (usually a smectite clay cap) in maintaining underlying temperature and permeability in a geothermal reservoir is also commonly misunderstood by geothermal investigators. </t>
  </si>
  <si>
    <t xml:space="preserve">These examples of common weaknesses in geothermal conceptual models are intended to illustrate to participants in short courses using this spreadsheet typical sources of uncertainty that they may encounter. Poorer information increases uncertainty, but an assessment is still possible. </t>
  </si>
  <si>
    <t>Data compilation, visualization and conceptual integration</t>
  </si>
  <si>
    <t>after Cumming (2000) and Cumming (2002), Geothermal Resource Decision Tree</t>
  </si>
  <si>
    <t>On the other hand, polling a panel of experts after a cursory review of limited information is often less reliable than a more thorough analysis by a single competent generalist.</t>
  </si>
  <si>
    <t xml:space="preserve">At the exploration stage, geothermal resource capacity is commonly estimated using an adaptation of the USGS volumetric heat-in-place estimation approach with Monte Carlo simulation to accommodate parameter uncertainty. </t>
  </si>
  <si>
    <t>Expert opinion</t>
  </si>
  <si>
    <t>Numerical reservoir simulation</t>
  </si>
  <si>
    <t xml:space="preserve">After initial exploration drilling is completed, many geothermal companies put great faith in geothermal numerical reservoir model simulation, most commonly using Tough2, Tetrad or Star software. </t>
  </si>
  <si>
    <t>Expert opinion based on a realistic assessment of available relevant information may be reliable, but due diligence requires a review of uncertainty by well-informed independent expert(s).</t>
  </si>
  <si>
    <t xml:space="preserve">There are widespread misconceptions about the reliability of this approach in validating reservoir capacity. </t>
  </si>
  <si>
    <t xml:space="preserve">Such simulations are primarily constrained by an integrated resource conceptual model, a natural state temperature model, well test parameters, and pressure and temperature responses to short and longer term production and injection. </t>
  </si>
  <si>
    <t>Compatible capacity assessment approaches</t>
  </si>
  <si>
    <t xml:space="preserve">Reliance on a single expert without independent review is sometimes called a Delphi approach (i.e. the oracle). </t>
  </si>
  <si>
    <t>Interpretations based on improved visualization are commonly misleading if they are not informed by an understanding of the uncertainty in the underlying data and the conceptual properties of geothermal reservoirs.</t>
  </si>
  <si>
    <t>Such tools are more reliable when comparing roughly similar opportunities; e.g. comparing the ENPV of a geothermal resource to the ENPV of mortgage derivative will be questionable.</t>
  </si>
  <si>
    <t>It would be more effective to compare the ENPV of a deep resource with high exploration and appraisal costs to a shallow resource with half the exploration and appraisal cost and less than half the P50 capacity.</t>
  </si>
  <si>
    <t>Redistributions as software must reproduce this copyright notice, these conditions, and the following disclaimer;</t>
  </si>
  <si>
    <t>(adapted from Cumming, 2000, Course notes on geothermal resource assessment uncertainty)</t>
  </si>
  <si>
    <t xml:space="preserve">Prospect </t>
  </si>
  <si>
    <t>Reviewers</t>
  </si>
  <si>
    <t>Date</t>
  </si>
  <si>
    <t>Case</t>
  </si>
  <si>
    <t>MW</t>
  </si>
  <si>
    <t>P10</t>
  </si>
  <si>
    <t>P50</t>
  </si>
  <si>
    <t>Mean</t>
  </si>
  <si>
    <t>P90</t>
  </si>
  <si>
    <t>P99</t>
  </si>
  <si>
    <t>nu</t>
  </si>
  <si>
    <t>sigma</t>
  </si>
  <si>
    <t>EXPLORATION FAILURE</t>
  </si>
  <si>
    <t>Exploration Failure</t>
  </si>
  <si>
    <t>Development</t>
  </si>
  <si>
    <t xml:space="preserve"> wells</t>
  </si>
  <si>
    <t>NPV (millions)</t>
  </si>
  <si>
    <t>Cases</t>
  </si>
  <si>
    <t>Expected NPV (millions)</t>
  </si>
  <si>
    <t>Disc.Invest.</t>
  </si>
  <si>
    <t>Expected Discounted Investment</t>
  </si>
  <si>
    <t xml:space="preserve"> MW</t>
  </si>
  <si>
    <t>Optimistic</t>
  </si>
  <si>
    <t>Pessimistic</t>
  </si>
  <si>
    <t>MWe Capacity</t>
  </si>
  <si>
    <t>Design Temperature</t>
  </si>
  <si>
    <t>Middle</t>
  </si>
  <si>
    <t>Risk Tree Probability</t>
  </si>
  <si>
    <t>SUMMARY OF PROSPECT</t>
  </si>
  <si>
    <t xml:space="preserve">Assume appraisal success in estimating probabilities for the following cases. </t>
  </si>
  <si>
    <t xml:space="preserve">Assume exploration success in estimating probabilities for the following cases. </t>
  </si>
  <si>
    <t>Lognormal Probability =</t>
  </si>
  <si>
    <t>wells</t>
  </si>
  <si>
    <t>Statistical Pfailure=</t>
  </si>
  <si>
    <t>OPTIMISTIC CASE          &gt;</t>
  </si>
  <si>
    <t>\</t>
  </si>
  <si>
    <t>APPRAISAL FAILURE    &lt;</t>
  </si>
  <si>
    <t xml:space="preserve">PESSIMISTIC CASE </t>
  </si>
  <si>
    <t xml:space="preserve">MIDDLE CASE               </t>
  </si>
  <si>
    <t>(includes failure cases)</t>
  </si>
  <si>
    <t>Expected MW</t>
  </si>
  <si>
    <t>Expected Development</t>
  </si>
  <si>
    <t>(includes only development cases)</t>
  </si>
  <si>
    <t>Probabilty of Development</t>
  </si>
  <si>
    <t>CASES used to assign probabilities in the risk tree</t>
  </si>
  <si>
    <t>Results from risk tree</t>
  </si>
  <si>
    <t>Items outlined in red to be provided by Geoscience</t>
  </si>
  <si>
    <t xml:space="preserve">Guide to Scoping Resource Capacity of Geothermal Exploration Prospects </t>
  </si>
  <si>
    <t>Items in blue are economic, not resource</t>
  </si>
  <si>
    <r>
      <t xml:space="preserve">FIVE POINT RISK TREE </t>
    </r>
    <r>
      <rPr>
        <b/>
        <sz val="8"/>
        <rFont val="Arial"/>
        <family val="2"/>
      </rPr>
      <t>(these probabilities are confidence levels assigned based on case descriptions, guided by distributions)</t>
    </r>
  </si>
  <si>
    <t>Meaning of P10, P50 and P90 areas and outlines</t>
  </si>
  <si>
    <t>Meaning of P10, P50 and P90 outlines for drilling risk</t>
  </si>
  <si>
    <t>EXLORATION: Is it there?</t>
  </si>
  <si>
    <t xml:space="preserve">Confidence in temperature. </t>
  </si>
  <si>
    <t>Confidence in permeability. Commercial mDarcy</t>
  </si>
  <si>
    <t>Confidence in chemistry. Not corrosive or scaling</t>
  </si>
  <si>
    <t>Pchemistry</t>
  </si>
  <si>
    <t>Exploration Confidence</t>
  </si>
  <si>
    <t>*</t>
  </si>
  <si>
    <t>=</t>
  </si>
  <si>
    <t>APPRAISAL AND DEVELOPMENT: Assuming it's there, how big is it?</t>
  </si>
  <si>
    <t>Temperature range of permeable reservoir area from resource conceptual model. This should be consistent with assumed power density distribution.</t>
  </si>
  <si>
    <t>°C</t>
  </si>
  <si>
    <t>Nu and Sigma are the mean and variance in log units required for specifying lognormal distributions in tools like @RISK</t>
  </si>
  <si>
    <t>Representative Cases</t>
  </si>
  <si>
    <t xml:space="preserve">Expected Mean Capacity = </t>
  </si>
  <si>
    <t>= [Probability of Exploration Success] * [Mean Capacity of Development Assuming Exploration Success]</t>
  </si>
  <si>
    <t>Expected P50 Capacity=</t>
  </si>
  <si>
    <t>= [Probability of Exploration Success] * [P50 Capacity of Development Assuming Exploration Success]</t>
  </si>
  <si>
    <r>
      <t>P</t>
    </r>
    <r>
      <rPr>
        <b/>
        <sz val="8"/>
        <rFont val="Arial"/>
        <family val="2"/>
      </rPr>
      <t>Temperature</t>
    </r>
  </si>
  <si>
    <r>
      <t>P</t>
    </r>
    <r>
      <rPr>
        <b/>
        <sz val="8"/>
        <rFont val="Arial"/>
        <family val="2"/>
      </rPr>
      <t>Permeability</t>
    </r>
  </si>
  <si>
    <r>
      <t>(km</t>
    </r>
    <r>
      <rPr>
        <b/>
        <vertAlign val="superscript"/>
        <sz val="9"/>
        <rFont val="Arial"/>
        <family val="2"/>
      </rPr>
      <t>2</t>
    </r>
    <r>
      <rPr>
        <b/>
        <sz val="9"/>
        <rFont val="Arial"/>
        <family val="2"/>
      </rPr>
      <t>)</t>
    </r>
  </si>
  <si>
    <r>
      <t>(MWe/km</t>
    </r>
    <r>
      <rPr>
        <b/>
        <vertAlign val="superscript"/>
        <sz val="9"/>
        <rFont val="Arial"/>
        <family val="2"/>
      </rPr>
      <t>2</t>
    </r>
    <r>
      <rPr>
        <b/>
        <sz val="9"/>
        <rFont val="Arial"/>
        <family val="2"/>
      </rPr>
      <t>)</t>
    </r>
  </si>
  <si>
    <r>
      <t xml:space="preserve">EXPECTED POWER CAPACITY RESERVES </t>
    </r>
    <r>
      <rPr>
        <sz val="10"/>
        <rFont val="Arial"/>
        <family val="2"/>
      </rPr>
      <t>(based on analogous reservoirs used to assess confidence in power density and area)</t>
    </r>
  </si>
  <si>
    <t xml:space="preserve">For example, the smallest area may enclose the perimeter of shallow alteration based on resistivity around high geothermometry fumaroles. The middle area might extend this to include the up-domed intensely altered clay cap based on resistivity. </t>
  </si>
  <si>
    <t xml:space="preserve"> wells + access</t>
  </si>
  <si>
    <t xml:space="preserve">The largest area might include the perimeter of the entire zone of intensely altered clay that is consistent with a cap over thermal upflow and updip outflow. </t>
  </si>
  <si>
    <t xml:space="preserve">On the other hand, at least one representative set of P10, P50 and P90 outlines (or P20, P50 and P80 outlines) are usually drawn to illustrate the range of conceptual model(s) in an assessment.   </t>
  </si>
  <si>
    <t xml:space="preserve">In practice, the outlines are developed iteratively. Inital outlines can be generated using ad hoc geoscience criteria that define three nested, conceptually consistent outlines with significantly different levels of confidence. </t>
  </si>
  <si>
    <t xml:space="preserve">The area within the outlines will identify them with specific confidence levels in the lognormal distribution of area. </t>
  </si>
  <si>
    <t>Although the location of the outlines are defined by geoscience assessments of drilling confidence, some ad hoc adjustment may be needed if a developer is restricted from targeting part of the lease.</t>
  </si>
  <si>
    <t>P01</t>
  </si>
  <si>
    <t>Cumulative confidence of representative optimistic case =</t>
  </si>
  <si>
    <t>POSexpl</t>
  </si>
  <si>
    <t>Probability of exploration success</t>
  </si>
  <si>
    <t xml:space="preserve">Statisticians usually define P10 so that it is rarer than P90. For resources,this implies that 10% of outcomes are larger than P10 and 90% are larger than P90, similar to the definition used in this spreadsheet.. </t>
  </si>
  <si>
    <t>Alternative conceptual models may result in several different P90 or P80 outline locations within a single P10 area, especially at the early exploration stage.</t>
  </si>
  <si>
    <t xml:space="preserve">That is, although the P10 area will likely include a higher total production, it will have a lower average production per well, compared to the P90 area. </t>
  </si>
  <si>
    <t>The cumulative probability assumes that P90 is pessimistic and P10 is optimistic; that is, 10% of all cases are larger than P10 and 90% are larger than P90. There is a 90% chance that the P90 reserves exist.</t>
  </si>
  <si>
    <t xml:space="preserve">Although much of the P10 area may deplete and provide important reserves support, that doesn't mean all of it would support high deliverability. Some parts will have much higher risk of poor well deliverability than others. </t>
  </si>
  <si>
    <t xml:space="preserve">This is similar to the standard for cumulative outcome probability used by many risk assessment researchers and most statisticians. </t>
  </si>
  <si>
    <t xml:space="preserve">This conforms with the most common practice of geothermal companies and oil and gas operating companies for defining resource distributions. P90 is the smaller resource and P10 the larger resource. </t>
  </si>
  <si>
    <t xml:space="preserve">However, some geothermal companies, such as MRP and Chevron, use P10 as the smaller (pessimistic) case and P90 as the larger (optimistic) case. As long as the nomenclature is used consistently, it does not matter which approach is used.  </t>
  </si>
  <si>
    <t>Definition of P10 and P90</t>
  </si>
  <si>
    <t xml:space="preserve">Probability versus confidence </t>
  </si>
  <si>
    <t xml:space="preserve">As importantly, “Is what we don’t know about both this prospect and its analogous case histories represented in both the upside and downside estimates?”    </t>
  </si>
  <si>
    <t xml:space="preserve">A lognormal distribution parameter like the P90 value for area can be defined in a way generally accepted in the geothermal industry. </t>
  </si>
  <si>
    <t xml:space="preserve">However, a P90 area used in reserves assessment is just an estimated quantity, not a specific location on a map for that area. A particular outline labeled "P90" on a map is often not consistently defined.  </t>
  </si>
  <si>
    <t xml:space="preserve">One intuitively appealing convention for labeling particular outlines as P90, P50 and P10 is to require that the labeled outlines; </t>
  </si>
  <si>
    <t>1) enclose areas on the map that correspond to the P90, P50, and P10 areas in km^2 from the lognormal distribution; and</t>
  </si>
  <si>
    <t>2) have the highest probability of encountering economic production using optimally designed vertical wells of any P90, P50 or P10 area within the prospect.</t>
  </si>
  <si>
    <t xml:space="preserve">Both the lognormal distribution and the outlines are usually adjusted to be mutually consistent. The outlines are typically adjusted to correspond to either P10, P50, and P90 areas or P20, P50 and P80 areas, although different confidence levels could be chosen. </t>
  </si>
  <si>
    <t>However, this is more psychological than statistical. That is, evaluators who are less experienced in risk analysis seem to be more comfortable with a narrower range.The plausibility of the entire range is usually worth checking.</t>
  </si>
  <si>
    <t xml:space="preserve">Because few geothermal professionals have seen enough geothermal cases to have a feeling for P10 or P90 in a population sense (no one has), some groups prefer to use P20 and P80. </t>
  </si>
  <si>
    <t xml:space="preserve">In geothermal resource assessment, the available information can support neither valid population statistics nor explicit Bayesian estimates of confidence. Confidence is based on a small number of available occurrences and exceptions weighted based on analogies and first principles. </t>
  </si>
  <si>
    <t>It’s always useful to test an assessment by asking a few questions like, “Is this level of confidence consistent with what is actually observed, and not observed?”</t>
  </si>
  <si>
    <t xml:space="preserve">Some users of this spreadsheet have integrated it into their decision making process. Because risk trees and decision tables can improve an assessment team's understanding of a decision, I recommend that they be used as quality assurance tools for decisions. </t>
  </si>
  <si>
    <t>Decision table</t>
  </si>
  <si>
    <t>The most common decision table is more conveniently done as an MS-Word table than as an Excel sheet.</t>
  </si>
  <si>
    <t xml:space="preserve">The second column lists the constraints on the decision, both related to geoscience data (like gas chemistry) and non-geoscience issues (like access cost). </t>
  </si>
  <si>
    <t>Lognorm Probability =</t>
  </si>
  <si>
    <t>Some in this situation attempt to consolidate their geothermal opportunity with those of other companies in order to share expertise and reduce loss exposure, at the expense of somewhat lower present value.</t>
  </si>
  <si>
    <t xml:space="preserve">A common ploy of promotors is to provide only a Monte Carlo distribution for developed reserves, that is, without considering the chance of exploration failure. The difference is illustrated by the graphs in Spreadsheet 1.  </t>
  </si>
  <si>
    <t xml:space="preserve">A comfortably financed company with in-house geothermal experts, several operating fields, several promising prospects and a familiarity with geothermal resource risk assessment may decide to drill Propect "A" with POSexpl of &lt;30% if the expected resource capacity has sufficient present value.  </t>
  </si>
  <si>
    <t xml:space="preserve">A company with the same "A" opportunity but more limited funding, no operating fields, no comparably attractive exploration prospects and few staff with geothermal experience should view the risks differently. </t>
  </si>
  <si>
    <t xml:space="preserve">As mentioned several times elsewhere, practical cross-functional experience with a relevant range of resource case histories is an important component of a effective resource assessment. </t>
  </si>
  <si>
    <t>In my experience, geothermal assessments characterize opportunity and risk much more effectively when they emphasize data sets and interpretation conceptual models in the context of a significant number of success and failure case history analogs that are conceptually relevant to the prospect being assessed.</t>
  </si>
  <si>
    <t xml:space="preserve">The decision and resource risk assessment tools in this worksheet are designed to be compatible with other resource assessment approaches commonly used in the geothermal industry.   </t>
  </si>
  <si>
    <t xml:space="preserve">Decision tables like that in Worksheet 4 organize issues and data sets so their implications for different choices can be compared and ranked. In most cases, the decision is better defined. For a single decision with less than five options, the choice may become obvious. </t>
  </si>
  <si>
    <t xml:space="preserve">To consider multi-stage high-value decisions in which subsequent choices depend on the outcome of the first choice, a table can be supplemented by a tree like that in Worksheet 3. </t>
  </si>
  <si>
    <t xml:space="preserve">The classic application of such decision trees in geothermal and petroleum industries is planning locations and targets for multi-well drilling programs. Even such widely used methods have pitfalls. The logic is a useful guide; the computed economic outcomes should be considered skeptically. </t>
  </si>
  <si>
    <t>If a minimum resource of interest is identified as 90 MW, a tree analysis of a 3 well exploration program like that in Worksheet 3 might imply that the reservoir could evaluated with fewer wells, on average, if the first two wells are spaced far enough from the lowest risk target so that they could disprove a 90 MW option.</t>
  </si>
  <si>
    <t>For example, if the best target has a fumarole with 280C gas geothermometry consistent with a neutral reservoir at the apex in the base of a clay cap imaged with MT, then targeting risk is low based on case histories. In such cases, the highest value stratgey is often to drill the first two wells over 1 km from this low risk target.</t>
  </si>
  <si>
    <t>Experience at companies that use such decision tools has generally been that the wildcat exploration target with the highest probability of success and that is economically accessible should be drilled first.</t>
  </si>
  <si>
    <t xml:space="preserve">An exploration group can usefully apply these tools whether or not they show them to management. When multiple scenarios are required in order to prepare a tree like Worksheet 2, different opinions can be accomodated with less chance of conflict.  </t>
  </si>
  <si>
    <t>Without becoming unreasonably sleptical, reviewers of resource assessments must frequently remind themselves that meaningless coincidence is common and instinctive assessment of coincidence is often misleading, especially in a 3D visualization.</t>
  </si>
  <si>
    <t>Decision trees and tables can organize well targeting and and capacity assessment approaches to provide a more reliable result than anomaly stacking.</t>
  </si>
  <si>
    <t>Inconsistency with first principles usually completely undermines confidence in a conceptual model. Given the importance of first principles, some find it counterintuitive that reliance only on first principles without empirical case history support also implies very low confidence for the purposes of decision making.</t>
  </si>
  <si>
    <t>THIS SOFTWARE IS PROVIDED BY WILLIAM CUMMING ``AS IS'' AND ANY EXPRESS OR IMPLIED WARRANTIES, INCLUDING, BUT NOT LIMITED TO, THE IMPLIED WARRANTIES OF MERCHANTABILITY AND FITNESS FOR A PARTICULAR PURPOSE ARE DISCLAIMED.</t>
  </si>
  <si>
    <t>IN NO EVENT SHALL WILLIAM CUMMING BE LIABLE FOR ANY DIRECT, INDIRECT, INCIDENTAL, SPECIAL, EXEMPLARY, OR CONSEQUENTIAL DAMAGES</t>
  </si>
  <si>
    <t>(INCLUDING, BUT NOT LIMITED TO, PROCUREMENT OF SUBSTITUTE GOODS OR SERVICES; LOSS OF USE, DATA, OR PROFITS; OR BUSINESS INTERRUPTION) HOWEVER CAUSED AND ON ANY THEORY OF LIABILITY, WHETHER IN CONTRACT, STRICT LIABILITY, OR TORT (INCLUDING NEGLIGENCE OR OTHERWISE)</t>
  </si>
  <si>
    <t xml:space="preserve"> ARISING IN ANY WAY OUT OF THE USE OF THIS SOFTWARE, EVEN IF ADVISED OF THE POSSIBILITY OF SUCH DAMAGE.</t>
  </si>
  <si>
    <t>Redistributions must reference this spreadsheet as noted above;</t>
  </si>
  <si>
    <t>Redistribution and use, with or without modification, as text or as software, are permitted provided that the following conditions are met:</t>
  </si>
  <si>
    <t>Assuming a likely exploration geoscience program and drilling program, what is the percent confidence that at least one well is commercial</t>
  </si>
  <si>
    <t>This spreadsheet is used to constrain geothermal resource capacity assessments based on analogies to the area and power density of developed fields.</t>
  </si>
  <si>
    <t xml:space="preserve">In this spreadsheet, 90% of all cases are larger than P90 and 10% are larger than P10. That is, P90 is the smaller number and P10 is larger. </t>
  </si>
  <si>
    <r>
      <t xml:space="preserve">Geothermal Power Capacity Reserve Estimation: </t>
    </r>
    <r>
      <rPr>
        <sz val="10"/>
        <rFont val="Arial"/>
        <family val="2"/>
      </rPr>
      <t>based on Lognormal Distributions of Area and Power Density</t>
    </r>
  </si>
  <si>
    <t xml:space="preserve">Adapted from Cumming, W., 2000. Spreadsheet for geothermal resource capacity scoping using lognormal area and power density distributions. Proprietary course material. </t>
  </si>
  <si>
    <t xml:space="preserve">Reference the contents of this Excel worksheet as: </t>
  </si>
  <si>
    <t>A three branch tree is usually sufficient to assess the incremental capacity for development stepout wells, so the same sheet can be used with exploration and appraisal set to 100%.</t>
  </si>
  <si>
    <t xml:space="preserve">Many development situations favor a tree customized to consolidate the most economically significant decision branches, considering both likelihhood and financial impact. </t>
  </si>
  <si>
    <t>The validity of a simulation used to assess resource capacity is commonly assumed to depend on the reliability of the underlying conceptual model, the comprehensiveness of the data contraints, and the fidelity with which the simulation matches the numerical constraints.</t>
  </si>
  <si>
    <t>Custom software can support elaborate trees, but these are challenging to validate. I prefer to scope the logic of a tree on a white board (or using Post-its), prune the branches to a minimum, and document it in Excel or Word.</t>
  </si>
  <si>
    <t>Geothermal resource conceptual models</t>
  </si>
  <si>
    <t>However, this basic concept is commonly over-simplified and over-emphasized within the geothermal community, including new exploration companies, research organizations and long-established developers that fail to develop or maintain a broad, cross-functional case history knowledge base.</t>
  </si>
  <si>
    <t xml:space="preserve">This requires that the evaluators have relevant interdisciplinary case history experience at a large number geothermal reservoirs, especially a familiarity with reservoir engineering assessment. This is often viewed as a flaw in this approach because of the limited number of people with such experience.  </t>
  </si>
  <si>
    <t>Purpose of this Excel decision tools workbook</t>
  </si>
  <si>
    <t>Continue Drilling</t>
  </si>
  <si>
    <t>1. The lognormal power density spreadsheet estimates resource capacity based on analogous geothermal power density (MW/km^2) is commonly used to check the plausibility of other analyses or to test consistency with lognormal distributions.</t>
  </si>
  <si>
    <t xml:space="preserve">This spreadsheet was initially designed to test the plausibility of alternative geothermal reservoir capacity assessment approaches and to check that resource parameters considered in a decision tree assessment included an appropriately wide range of possibilities.   </t>
  </si>
  <si>
    <t>When exploration confidence is high enough to warrant targeting exploration wells suitable for production, the best constrained parameters of geothermal resource conceptual models are typically:</t>
  </si>
  <si>
    <t>Spreadsheet 2. Risk Tree - Capacity</t>
  </si>
  <si>
    <t xml:space="preserve">The P10, P20, P50 etc outlines defined above are not directly related to a particular probability of success (POS) of a well drilled within those outlines, although the outlines are relevant to well targeting risk. </t>
  </si>
  <si>
    <t>The probability of success (POS) averaged among all targets within the P90 outline, as defined above, would always be much higher than the POS averaged among all targets within the larger P10 area, although the P10 will enclose the P90 and, therefore, will include more total production.</t>
  </si>
  <si>
    <t>2. The five point decision tree for resource capacity assessment is intended to be self-documenting and can be supported by a variety of other analyses. A exploration resource capacity assessment is illustrated.</t>
  </si>
  <si>
    <t>Resource assessment tools and approaches</t>
  </si>
  <si>
    <t>Spreadsheeet 1 also includes a preliminary step, an estimate of the probability of success (POS) for exploration. This is intended to roughly establish that a valid reservoir distribution exists and that parameter distributions can be based on analogies to producing reservoirs.</t>
  </si>
  <si>
    <t>Arguably the POS step is not necessary and can be considered to be the uneconomic part of the capacity distribution but, in oil and gas exploration and other contexts, similar steps are added to mitigate inconsistencies related to practical, psychologic and heuristic decision issues.</t>
  </si>
  <si>
    <t xml:space="preserve">Geothermal Resource Assessment Concepts and Information </t>
  </si>
  <si>
    <t xml:space="preserve">Its first column is a number indicating the decision team's current assessment of the importance of the row's contents in the decision. </t>
  </si>
  <si>
    <t xml:space="preserve">The rest of the two to maybe six columns are headed by the name of each decision option considered (for instance, well target options A, B and C). </t>
  </si>
  <si>
    <t xml:space="preserve">A well targeting decision table like the example A, B, and C will have row categories similar to a decision table with columns characterizing each branch of a resource capacity tree like Spreadsheet 2. </t>
  </si>
  <si>
    <t xml:space="preserve">For both of these cases, rows will likely include the main two or three conceptual models, the most influential resource-related data sets like types of geochemistry, MT, structure, reservoir engineering implications of any wells, and ancillary non-resource issues like access contraints, access costs, concession limitations, etc. </t>
  </si>
  <si>
    <t xml:space="preserve">Conventional flash </t>
  </si>
  <si>
    <t>Generic Geothermal Prospect</t>
  </si>
  <si>
    <t>Cumming, Generic team</t>
  </si>
  <si>
    <t xml:space="preserve">For example, even in reservoirs where all significant production is from fractures, a focus on targeting mapped faults is often unsuccessful. Not merely the existence of faults but their geometry and stress state at reservoir depth are important to creating open space permeability. </t>
  </si>
  <si>
    <t>Others invest in "studies" to build &gt;90% pseudo-confidence in their exploration wells. There are people with plausible seeming credentials who will attempt to justify such a confidence level. Some consultancies write longer reports full of words like "promising" while avoiding an explict estimate of probability of success.</t>
  </si>
  <si>
    <t>Explanation of Spreadsheet 1 Probability of Success for exploration (POSexpl)</t>
  </si>
  <si>
    <t>Explanation of Spreadsheet 1 Geothermal Area and Power Density Parameters P10, P50, P90</t>
  </si>
  <si>
    <t xml:space="preserve">The evaluation assumes separate calculation of NPV and Discounted Investment. A Discount Rate is required. I recommend a realistic one, but most are exaggerated and so, to be fair, this will probably be set unrealistically high, usually based on some "risk free" rate like AIG's mortgage portfolio. </t>
  </si>
  <si>
    <t>The Australian Code for Reporting of Exploration Results,Geothermal Resources and Geothermal Reserves can be downloaded from http://www.pir.sa.gov.au/geothermal/ageg/geothermal_reporting_code</t>
  </si>
  <si>
    <t>The first iteration of the Australian code did increase investment in geothermal exploration, unrealistically inflating expectations for geothermal development in Australia and sparking an unsustainable geothermal investment bubble.</t>
  </si>
  <si>
    <t xml:space="preserve">Important papers on the ensuing controversy include:  </t>
  </si>
  <si>
    <t>Grant, M., "Geothermal Resource Proving Criteria", Proceedings World Geothermal Congress 2000 ,  Kyushu - Tohoku, Japan, May 28 - June 10, 2000, p2581-2584</t>
  </si>
  <si>
    <t>Muffler, L., 1979, Assessment of geothermal resources of the United States 1978, L.J.P. Muffler, editor, U.S. Geological Survey Circular, 790, 170p.</t>
  </si>
  <si>
    <t>Sanyal, S., and Sarmiento, Z., 2005, “Booking geothermal energy reserves,” Geothermal Resources Council Transactions, 29, 467-474.</t>
  </si>
  <si>
    <t>Grant, M., and Bixley, P., 2011. Geothermal reservoir engineering. Academic Press</t>
  </si>
  <si>
    <t xml:space="preserve">Grant and Bixley (2011) point out that Monte Carlo Heat-in-Place has been a reliable assessment approach in particular contexts, for example, where a company is comparing many projects in the same geologic trend with close analogs available to constrain assessments.  </t>
  </si>
  <si>
    <t xml:space="preserve">Garg and Combs, (2010) Appropriate use of USGS volumetric “heat in place” method and Monte Carlo calculations, Stanford. </t>
  </si>
  <si>
    <t>Parini, M. and Riedel, K., 2000. Combining probabilistic volumetric and numerical simulation approaches to improve estimates of geothermal resource capacity.  World Geothermal Congress Proceedings 2000.</t>
  </si>
  <si>
    <t>Monte Carlo volumetric assessments of geothermal capacity</t>
  </si>
  <si>
    <t>Garg and Combs, (2011) A Reexamination Of USGS Volumetric “Heat In Place” Method, Stanford.</t>
  </si>
  <si>
    <t>More practically, reviewers are often asked to consider it the % confidence they have that the planned exploration well program, typically 1 to 4 wells, will encounter at least one well that meets the minimum success criterion for that type of well, typically 3 to 5 MWe equivalent.</t>
  </si>
  <si>
    <t>Formations matter as much as fracturing. Thick shaly sediments, metamorphic rocks, massive tuffs associated with caldera formation and relict propylitic alteration exposed at the surface are negative indicators. .</t>
  </si>
  <si>
    <t>Naïve emphasis on structure is a common pitfall in assessing permeability.</t>
  </si>
  <si>
    <r>
      <rPr>
        <b/>
        <sz val="10"/>
        <rFont val="Arial"/>
        <family val="2"/>
      </rPr>
      <t>Ppermeability:</t>
    </r>
    <r>
      <rPr>
        <sz val="10"/>
        <rFont val="Arial"/>
        <family val="2"/>
      </rPr>
      <t xml:space="preserve"> depends on trend risk and evidence for known risk indicators. While fracturing is a positive indicator, obvious surface fracturing in brittle rock that does not leak thermal gas or fluid is a negative indicator. Strike-slip faults are usualy unprospective, but extensional zones associated with them are positive. </t>
    </r>
  </si>
  <si>
    <r>
      <rPr>
        <b/>
        <sz val="10"/>
        <rFont val="Arial"/>
        <family val="2"/>
      </rPr>
      <t>Ptemperature:</t>
    </r>
    <r>
      <rPr>
        <sz val="10"/>
        <rFont val="Arial"/>
        <family val="2"/>
      </rPr>
      <t xml:space="preserve"> is constrained most reliably by wells, gas and water geothermometry, active alteration/deposition of silica and evidence of heat loss. In areas with no features that can identify temperature, then it must be estimated from worldwide estimates of success for areas with non-quantitative indicators of current temperature.</t>
    </r>
  </si>
  <si>
    <t xml:space="preserve">A low Pchemistry does not preclude the possibility that a neutral high temperature system exists somewhere, just that the number of wells planned will be unlikely to find it. </t>
  </si>
  <si>
    <r>
      <rPr>
        <b/>
        <sz val="10"/>
        <rFont val="Arial"/>
        <family val="2"/>
      </rPr>
      <t>Pchemistry:</t>
    </r>
    <r>
      <rPr>
        <sz val="10"/>
        <rFont val="Arial"/>
        <family val="2"/>
      </rPr>
      <t xml:space="preserve"> The main negative indicator is evidence for a magmatic vapor core like those detailed by Giggenbach and Reyes for Mt Apo, Mt Labo, Miravalles and other geothermal fields. Gas and water chemistry, extensive sulfur deposits and a gassy active volcanic vent are all negative indicators for chemistry.   </t>
    </r>
  </si>
  <si>
    <t>These factors are plausible but not unique. Some argue that an additional probability should be added that estimates the confidence that all three elements will be found in the same well. However, experience indicates that use of more than 3 parameters makes assessments unreasonably pessimistic.</t>
  </si>
  <si>
    <t xml:space="preserve">Instead of using multiple parameters to support a heat-in-place calculation, many of which are poorly constrained (e.g. Garg and Combs, 2011), this assessment considers only the area of the prospect and the amount of generation per unit area characteristic of analogous developed reservoirs (power density). </t>
  </si>
  <si>
    <t>One of the more obvious flaws in the Australian Code was addressed by a 2010 amendment that changed the fixed recover factor to a distribution, but the approach retains a reputation as the method primarily used to promote geothermal project reserves to investors.</t>
  </si>
  <si>
    <t>Grant (2015) Resource Assessment, a Review, with Reference to the Australian Code. Proceedings WGC.</t>
  </si>
  <si>
    <t>Decision making, psychology, and the geothermal industry</t>
  </si>
  <si>
    <t>Starting with such a promising reserve distribution, naïve investors are often later shocked when they complete Spreadsheets 1 and 2 and are faced with an explicit assessment of their potential loss exposure.</t>
  </si>
  <si>
    <t xml:space="preserve">Project "A" may be a suitable investment for a company with an appropriate portfolio and skill set. However, few geothermal investors are likely to accept POSexpl under 10% regardless of the upside capacity potential. </t>
  </si>
  <si>
    <t>The drilled area and capacity of developed fields is commonly published (e.g. Wilmarth and Stimac, 2015, WGC). Prior to deep drilling, the best constrained parameters are often the area estimated from MT resistivity and the target temperature estimated from geochemistry.</t>
  </si>
  <si>
    <t xml:space="preserve">Recent investigations of the power density approach for geothermal resource capacity assessment have been published by Wilmarth and Stimac (2014, Stanford) and Wilmarth and Stimac (2015, WGC) </t>
  </si>
  <si>
    <t xml:space="preserve">Simple tools like the ones presented in this workbook can inform decisions but they are not a panacea and do not answer every need. Decision assessment  methods depend on the perspective of the decision makers and their tolerance for uncertainty and risk exposure. </t>
  </si>
  <si>
    <t xml:space="preserve">As an empirically derived ploy to focus reviewers on what they know, the POSexpl is designed to exclude all reservoirs too small to be considered part of the experience of the reviewers. Some say it is the probability that the prospective resource is part of the distribution of reservoirs being considered - maybe. </t>
  </si>
  <si>
    <t xml:space="preserve">In a manner anologous to the various POSexpl prerequisites often used in O&amp;G assessments, like source rock, migration path, reservoir rock, trap, etc, the most commonly used geothermal reservoir prerequisites are temperature, permeability and chemistry. </t>
  </si>
  <si>
    <t>This is a fudge with many drawbacks. For example, evidence for these criteria does not always imply that the criteria are met at the same location (although some types of geochemistry come close). More seriously and yet more subtly, this does not allow for what is not known (it's not Bayesian).</t>
  </si>
  <si>
    <t xml:space="preserve">As many authors have noted (e.g. Schluyer and Newendorp, 2013), due to a quirk of human psychology, even expert reviewers tend to underestimate the risk associated with stacked (roughly coincident) correlations, even when they are known to be redundant. </t>
  </si>
  <si>
    <t xml:space="preserve">There are a variety of approaches to allow for this (e.g. preference theory,Schluyer and Newendorp, 2013, Decision analysis for petroleum exploration, 3nd ed. Plannning Press).  </t>
  </si>
  <si>
    <t xml:space="preserve">It is a simplification of volumetric approaches widely used in the geothermal and petroleum industries. e.g. Schluyer and Newendorp, 2013, Decision analysis for petroleum exploration, 3rd ed. Plannning Press.  </t>
  </si>
  <si>
    <t xml:space="preserve">In most Monte Carlo Heat-in-Place assessments, only capacity is estimated. Risk assessment experience has demonstrated that, for expert reviewers, this tends to bias estimates to represent the very small undeveloped reservoirs, of which not much is known. </t>
  </si>
  <si>
    <t xml:space="preserve">Cumming, W., 2016. Resource Capacity Estimation Using Lognormal Power Density </t>
  </si>
  <si>
    <t xml:space="preserve">from Producing Fields and Area from Resource Conceptual Models; Advantages, Pitfalls and Remedies. </t>
  </si>
  <si>
    <t>Proceedings of the 41st Workshop on Geothermal Reservoir Engineering, Stanford University, Stanford, California.</t>
  </si>
  <si>
    <t xml:space="preserve">Copyright 2016 by William Cumming. All rights reserved. </t>
  </si>
  <si>
    <t xml:space="preserve">4. The decision table in the complete workbook is also an illustration. Although many resource assessment and well targeting decision tables follow a similar pattern, differing data sets and risk issues imply much customization. </t>
  </si>
  <si>
    <t xml:space="preserve">3. The decision tree for well targeting included in the complete workbook is more an illustration than a template. Unlike the first two spreadsheets, this type of tree requires significant customization to support a suitable logic. </t>
  </si>
  <si>
    <t>Decision tables with mostly text and no computation are easier to edit as an Table. Managers sometimes insist that the table compute a decision score - but this has pitfalls. For example, when scoring choices of contractors, preferences among technical assessors are often much stronger than is indicated by scores.</t>
  </si>
  <si>
    <t xml:space="preserve">When assessing the results of an psychology experiment, it is poor practice to change the assessment methodogy "to make the results come out right" and yet this is almost always required to make "one-off" decision tables produce objectively reasonable outcomes. </t>
  </si>
  <si>
    <t xml:space="preserve">Because scoring one-off decision tables commonly give an illusion of assessment value that is misleading, the usefulness of a decision table (or tree) in these circumstances is more likely to be in orgaizing and documenting analyses and educating of new participants in decision-making. </t>
  </si>
  <si>
    <t>The elements of geothermal resource conceptual models and their use in targeting and capacity assessment are discussed in a variety of publications (e.g. Cumming, 2009, Stanford; Cumming, 2016, GRC). Issues related to them are noted below.</t>
  </si>
  <si>
    <t xml:space="preserve">The 2010 Australian and almost identical Canadian geothermal reporting codes are designed to support investment by non-experts in geothermal projects. They are based on the USGS Monte Carlo Heat-in-Place approach. </t>
  </si>
  <si>
    <t>Other background publications relevant to this issue include:</t>
  </si>
  <si>
    <t>Garg and Combs, (2015) A reformulation of USGS volumetric "heat in place" resource estimation method. Geothermics 55, 150-158.</t>
  </si>
  <si>
    <t xml:space="preserve">The 10, 50 and 90% confidence estimates for area are derived from conceptual models as explained in Cumming (2016, GRC) and the power density distribution is estimated from the Wilmarth cross-plot of power density versus temperature. </t>
  </si>
  <si>
    <t>Although this approach addressed some of the conceptual inconsistencies of applying the USGS approach to geothermal reservoirs that might be potentially commercial in the 1990s and 2000s, its reliability depended on proprietary case history support for parameter estimates.</t>
  </si>
  <si>
    <t xml:space="preserve">The Monte Carlo approach involving estimating recoverable-fluid-in-place at a minimum design temperature, as used by Unocal in the 1990s through early 2000s and at Chevron in the 2000s, was more closely analogous to petroleum resource estimation. </t>
  </si>
  <si>
    <t xml:space="preserve">Experience suggests that the explicit rejection of anything but the Australian and Canadian 2010 codes is favored by promotors because practitioners using these codes tend to produce unrealistically large capacity assessments (Grant, 2015, WGC).  </t>
  </si>
  <si>
    <t xml:space="preserve">Without claiming superiority for a particular approach, the rejection of alneratives seems unnecessary if they are considered to be "differently flawed" alternative assessments. </t>
  </si>
  <si>
    <t>Power Density using Spreadsheet 1 vs heat-in-place</t>
  </si>
  <si>
    <t>Garg and Combs (2015, Geothermics) address additional computational issues in the heat-in-place approach.</t>
  </si>
  <si>
    <t xml:space="preserve">Grant (2015, WGC) summarized the very poor performance of both the original and updated Australian and Canadian Codes and the tendency to overestimate geothermal reserves, often by very large muliples. </t>
  </si>
  <si>
    <t>Wilmarth, M. and Stimac, J. (2015, WGC) Power density in geothermal fields. WGC 2015.</t>
  </si>
  <si>
    <t>In addition to reviewing Cumming (2016, Stanford; 2016, GRC), I recommend that users refer to the paper Wilmarth, M. and Stimac, J. (2015, WGC). This paper explains the following figure illustrating the variability of power density with respect to temperature in different geologic settings. Wilmarth (2020, WGC) provides an update of the power density spreadsheet.</t>
  </si>
  <si>
    <t>To address this, case history exercises have been developed that allow professionals who have not worked at dozens of geothermal fields to quickly syntheisize enough conceptual experience to effectively use spreadsheets 1 to 4 (Cumming at al., 2020, WGC).</t>
  </si>
  <si>
    <t>Direct comparisons can provide a relatively reliable guide to capacity provided that both similarities and differences are considered among several cases.</t>
  </si>
  <si>
    <t>The geothermal industry, through the IGA, is working to address the most problematic aspect of the heat-in-place method, the use of parameter distributions that are poorly supported by empirical observations.</t>
  </si>
  <si>
    <t>Although poor empirical constraint is probably the most serious flaw in the Australian and Canadian Geothermal Codes, arguably, this problem might have been mitigated by requiring assessments based on alternative methods with suitable caveats (rather than rejecting all alternatives).</t>
  </si>
  <si>
    <t xml:space="preserve">Comparisons that illustrate the optimistic and pessimistic range of analogous developed fields, along with caveats regarding their inconsistencies, can provide a useful reality check for experienced experts. </t>
  </si>
  <si>
    <t>The power density approach supported by Spreadsheet 1 is designed to provide estimates supported by more empirical evidence.</t>
  </si>
  <si>
    <t xml:space="preserve">On the other hand, this power density spreadsheet assessment is also misused to exaggerate capacity, simply by using unrealistically optimistic areas and power density PDFs. However, these are usually easy fpr an expert to detect and critique. </t>
  </si>
  <si>
    <t xml:space="preserve">The spreadsheet multiplies the area and power density PDFs, NOT the P10, P50 and P90 estimates of these parameters, to derive the power capacity PDF. </t>
  </si>
  <si>
    <t xml:space="preserve">Therefore, Spreadsheet 1 considers only two parameter distributions (that is, two probability density functions or PDFs) for estimating a power capacity PDF; 1) a PDF for area, and 2) a PDF for power capacity per unit area. </t>
  </si>
  <si>
    <t xml:space="preserve">Some critics argue that the power density approach ignores important reservoir parameters that the USGS approach considers, like reservoir thickness. </t>
  </si>
  <si>
    <t xml:space="preserve">However, these parameters are included in this implementation of power density by estimating a power density PDF from the crossplot using those fields with analogous tectonic setting, geologic properties and hydrology, which are the main exploration constraints on parameters like thickness and recovery factor.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</si>
</sst>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
  </numFmts>
  <fonts count="28" x14ac:knownFonts="1">
    <font>
      <sz val="10"/>
      <name val="Arial"/>
    </font>
    <font>
      <sz val="8"/>
      <name val="Arial"/>
      <family val="2"/>
    </font>
    <font>
      <b/>
      <sz val="12"/>
      <name val="Arial"/>
      <family val="2"/>
    </font>
    <font>
      <b/>
      <sz val="10"/>
      <name val="Arial"/>
      <family val="2"/>
    </font>
    <font>
      <sz val="10"/>
      <name val="Arial"/>
      <family val="2"/>
    </font>
    <font>
      <b/>
      <sz val="10"/>
      <name val="Arial"/>
      <family val="2"/>
    </font>
    <font>
      <i/>
      <sz val="10"/>
      <name val="Arial"/>
      <family val="2"/>
    </font>
    <font>
      <b/>
      <sz val="11"/>
      <name val="Arial"/>
      <family val="2"/>
    </font>
    <font>
      <sz val="10"/>
      <color indexed="12"/>
      <name val="Arial"/>
      <family val="2"/>
    </font>
    <font>
      <sz val="8"/>
      <name val="Arial"/>
      <family val="2"/>
    </font>
    <font>
      <b/>
      <sz val="9"/>
      <name val="Arial"/>
      <family val="2"/>
    </font>
    <font>
      <b/>
      <sz val="8"/>
      <name val="Arial"/>
      <family val="2"/>
    </font>
    <font>
      <sz val="9"/>
      <name val="Arial"/>
      <family val="2"/>
    </font>
    <font>
      <sz val="9"/>
      <name val="Arial"/>
      <family val="2"/>
    </font>
    <font>
      <sz val="6"/>
      <name val="Arial"/>
      <family val="2"/>
    </font>
    <font>
      <b/>
      <sz val="9"/>
      <name val="Arial"/>
      <family val="2"/>
    </font>
    <font>
      <b/>
      <vertAlign val="superscript"/>
      <sz val="9"/>
      <name val="Arial"/>
      <family val="2"/>
    </font>
    <font>
      <sz val="6"/>
      <name val="Arial"/>
      <family val="2"/>
    </font>
    <font>
      <sz val="9"/>
      <color indexed="12"/>
      <name val="Arial"/>
      <family val="2"/>
    </font>
    <font>
      <sz val="9"/>
      <color indexed="8"/>
      <name val="Arial"/>
      <family val="2"/>
    </font>
    <font>
      <b/>
      <sz val="10"/>
      <color indexed="8"/>
      <name val="Arial"/>
      <family val="2"/>
    </font>
    <font>
      <sz val="10"/>
      <color indexed="10"/>
      <name val="Arial"/>
      <family val="2"/>
    </font>
    <font>
      <sz val="8"/>
      <color indexed="10"/>
      <name val="Arial"/>
      <family val="2"/>
    </font>
    <font>
      <sz val="10"/>
      <color indexed="9"/>
      <name val="Arial"/>
      <family val="2"/>
    </font>
    <font>
      <b/>
      <sz val="18"/>
      <name val="Arial"/>
      <family val="2"/>
    </font>
    <font>
      <sz val="8"/>
      <color indexed="9"/>
      <name val="Arial"/>
      <family val="2"/>
    </font>
    <font>
      <sz val="9"/>
      <color indexed="9"/>
      <name val="Arial"/>
      <family val="2"/>
    </font>
    <font>
      <b/>
      <sz val="9"/>
      <color indexed="12"/>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24">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10"/>
      </left>
      <right style="medium">
        <color indexed="10"/>
      </right>
      <top style="medium">
        <color indexed="10"/>
      </top>
      <bottom style="medium">
        <color indexed="10"/>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8"/>
      </left>
      <right style="thin">
        <color indexed="8"/>
      </right>
      <top style="thin">
        <color indexed="8"/>
      </top>
      <bottom/>
      <diagonal/>
    </border>
    <border>
      <left style="thin">
        <color indexed="10"/>
      </left>
      <right style="thin">
        <color indexed="10"/>
      </right>
      <top style="thin">
        <color indexed="10"/>
      </top>
      <bottom style="thin">
        <color indexed="10"/>
      </bottom>
      <diagonal/>
    </border>
    <border>
      <left/>
      <right/>
      <top style="medium">
        <color indexed="10"/>
      </top>
      <bottom style="medium">
        <color indexed="10"/>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style="thin">
        <color indexed="12"/>
      </left>
      <right style="thin">
        <color indexed="12"/>
      </right>
      <top style="thin">
        <color indexed="12"/>
      </top>
      <bottom style="thin">
        <color indexed="12"/>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s>
  <cellStyleXfs count="1">
    <xf numFmtId="0" fontId="0" fillId="0" borderId="0"/>
  </cellStyleXfs>
  <cellXfs count="259">
    <xf numFmtId="0" fontId="0" fillId="0" borderId="0" xfId="0"/>
    <xf numFmtId="0" fontId="5" fillId="0" borderId="0" xfId="0" applyFont="1" applyProtection="1"/>
    <xf numFmtId="0" fontId="0" fillId="0" borderId="1" xfId="0" applyBorder="1"/>
    <xf numFmtId="0" fontId="8" fillId="0" borderId="0" xfId="0" applyFont="1"/>
    <xf numFmtId="0" fontId="0" fillId="0" borderId="0" xfId="0" applyAlignment="1">
      <alignment vertical="center"/>
    </xf>
    <xf numFmtId="0" fontId="0" fillId="0" borderId="2" xfId="0" applyBorder="1"/>
    <xf numFmtId="0" fontId="0" fillId="0" borderId="3" xfId="0" applyBorder="1"/>
    <xf numFmtId="15" fontId="13" fillId="0" borderId="4" xfId="0" applyNumberFormat="1" applyFont="1" applyFill="1" applyBorder="1" applyAlignment="1" applyProtection="1">
      <alignment horizontal="center" vertical="center"/>
      <protection locked="0"/>
    </xf>
    <xf numFmtId="15" fontId="0" fillId="0" borderId="4" xfId="0" applyNumberFormat="1" applyFill="1" applyBorder="1" applyAlignment="1" applyProtection="1">
      <alignment horizontal="center" vertical="center"/>
      <protection locked="0"/>
    </xf>
    <xf numFmtId="0" fontId="0" fillId="0" borderId="0" xfId="0" applyFill="1" applyAlignment="1" applyProtection="1">
      <alignment vertical="center"/>
    </xf>
    <xf numFmtId="0" fontId="0" fillId="0" borderId="5" xfId="0" applyBorder="1" applyAlignment="1" applyProtection="1">
      <alignment vertical="center"/>
    </xf>
    <xf numFmtId="0" fontId="0" fillId="0" borderId="0" xfId="0" applyFill="1" applyBorder="1" applyAlignment="1" applyProtection="1">
      <alignment vertical="center"/>
    </xf>
    <xf numFmtId="0" fontId="0" fillId="0" borderId="5" xfId="0" applyFill="1" applyBorder="1" applyAlignment="1" applyProtection="1">
      <alignment vertical="center"/>
    </xf>
    <xf numFmtId="0" fontId="0" fillId="0" borderId="0" xfId="0" applyBorder="1" applyAlignment="1" applyProtection="1">
      <alignment vertical="center"/>
    </xf>
    <xf numFmtId="0" fontId="0" fillId="0" borderId="0" xfId="0" applyBorder="1" applyProtection="1"/>
    <xf numFmtId="0" fontId="0" fillId="0" borderId="5" xfId="0" applyBorder="1" applyProtection="1"/>
    <xf numFmtId="0" fontId="0" fillId="0" borderId="1" xfId="0" applyBorder="1" applyProtection="1"/>
    <xf numFmtId="0" fontId="2" fillId="0" borderId="0" xfId="0" applyFont="1" applyFill="1" applyProtection="1"/>
    <xf numFmtId="0" fontId="0" fillId="0" borderId="0" xfId="0" applyFill="1" applyAlignment="1" applyProtection="1">
      <alignment horizontal="right" vertical="center"/>
    </xf>
    <xf numFmtId="1" fontId="0" fillId="0" borderId="0" xfId="0" applyNumberFormat="1" applyFill="1" applyBorder="1" applyAlignment="1" applyProtection="1">
      <alignment horizontal="center"/>
    </xf>
    <xf numFmtId="0" fontId="0" fillId="0" borderId="0" xfId="0" applyFill="1" applyBorder="1" applyProtection="1"/>
    <xf numFmtId="0" fontId="0" fillId="0" borderId="0" xfId="0" applyBorder="1" applyAlignment="1" applyProtection="1">
      <alignment vertical="center"/>
      <protection locked="0"/>
    </xf>
    <xf numFmtId="0" fontId="0" fillId="0" borderId="0" xfId="0" applyBorder="1" applyProtection="1">
      <protection locked="0"/>
    </xf>
    <xf numFmtId="0" fontId="0" fillId="0" borderId="0" xfId="0" applyProtection="1">
      <protection locked="0"/>
    </xf>
    <xf numFmtId="0" fontId="0" fillId="0" borderId="6" xfId="0" applyBorder="1"/>
    <xf numFmtId="165" fontId="15" fillId="0" borderId="4" xfId="0" applyNumberFormat="1" applyFont="1" applyFill="1" applyBorder="1" applyAlignment="1" applyProtection="1">
      <alignment horizontal="center" vertical="center"/>
      <protection locked="0"/>
    </xf>
    <xf numFmtId="1" fontId="15" fillId="0" borderId="4" xfId="0" applyNumberFormat="1" applyFont="1" applyFill="1" applyBorder="1" applyAlignment="1" applyProtection="1">
      <alignment horizontal="center" vertical="center"/>
      <protection locked="0"/>
    </xf>
    <xf numFmtId="9" fontId="10" fillId="0" borderId="4" xfId="0" applyNumberFormat="1" applyFont="1" applyFill="1" applyBorder="1" applyAlignment="1" applyProtection="1">
      <alignment horizontal="center" vertical="center"/>
      <protection locked="0"/>
    </xf>
    <xf numFmtId="9" fontId="10" fillId="0" borderId="0" xfId="0" applyNumberFormat="1" applyFont="1" applyFill="1" applyBorder="1" applyAlignment="1" applyProtection="1">
      <alignment horizontal="center" vertical="center"/>
    </xf>
    <xf numFmtId="0" fontId="5" fillId="0" borderId="7" xfId="0" applyFont="1" applyBorder="1" applyProtection="1"/>
    <xf numFmtId="0" fontId="5" fillId="0" borderId="1" xfId="0" applyFont="1" applyBorder="1" applyProtection="1"/>
    <xf numFmtId="0" fontId="0" fillId="0" borderId="8" xfId="0" applyBorder="1" applyProtection="1">
      <protection locked="0"/>
    </xf>
    <xf numFmtId="0" fontId="0" fillId="0" borderId="3" xfId="0" applyBorder="1" applyProtection="1">
      <protection locked="0"/>
    </xf>
    <xf numFmtId="0" fontId="0" fillId="0" borderId="9" xfId="0" applyBorder="1" applyProtection="1">
      <protection locked="0"/>
    </xf>
    <xf numFmtId="0" fontId="0" fillId="0" borderId="5" xfId="0" applyBorder="1" applyAlignment="1" applyProtection="1">
      <alignment vertical="center"/>
      <protection locked="0"/>
    </xf>
    <xf numFmtId="0" fontId="0" fillId="0" borderId="5" xfId="0" applyBorder="1" applyProtection="1">
      <protection locked="0"/>
    </xf>
    <xf numFmtId="0" fontId="0" fillId="0" borderId="6" xfId="0" applyBorder="1" applyProtection="1">
      <protection locked="0"/>
    </xf>
    <xf numFmtId="1" fontId="12" fillId="0" borderId="10" xfId="0" applyNumberFormat="1" applyFont="1" applyFill="1" applyBorder="1" applyAlignment="1" applyProtection="1">
      <alignment horizontal="center"/>
    </xf>
    <xf numFmtId="1" fontId="3" fillId="0" borderId="11" xfId="0" applyNumberFormat="1" applyFont="1" applyFill="1" applyBorder="1" applyAlignment="1" applyProtection="1">
      <alignment horizontal="center" vertical="center"/>
      <protection locked="0"/>
    </xf>
    <xf numFmtId="9" fontId="4" fillId="0" borderId="11" xfId="0" applyNumberFormat="1" applyFont="1" applyFill="1" applyBorder="1" applyAlignment="1" applyProtection="1">
      <alignment horizontal="center" vertical="center"/>
      <protection locked="0"/>
    </xf>
    <xf numFmtId="0" fontId="0" fillId="0" borderId="7" xfId="0" applyBorder="1"/>
    <xf numFmtId="0" fontId="0" fillId="0" borderId="8" xfId="0" applyBorder="1"/>
    <xf numFmtId="0" fontId="0" fillId="0" borderId="9" xfId="0" applyBorder="1"/>
    <xf numFmtId="0" fontId="0" fillId="0" borderId="5" xfId="0" applyFill="1" applyBorder="1" applyProtection="1"/>
    <xf numFmtId="1" fontId="0" fillId="0" borderId="5" xfId="0" applyNumberFormat="1" applyFill="1" applyBorder="1" applyAlignment="1" applyProtection="1">
      <alignment horizontal="center"/>
    </xf>
    <xf numFmtId="1" fontId="1" fillId="0" borderId="5" xfId="0" applyNumberFormat="1" applyFont="1" applyFill="1" applyBorder="1" applyAlignment="1" applyProtection="1">
      <alignment horizontal="right"/>
    </xf>
    <xf numFmtId="0" fontId="3" fillId="0" borderId="1" xfId="0" applyFont="1" applyFill="1" applyBorder="1" applyAlignment="1" applyProtection="1">
      <alignment vertical="center"/>
    </xf>
    <xf numFmtId="0" fontId="7" fillId="0" borderId="0" xfId="0" applyFont="1" applyBorder="1" applyAlignment="1" applyProtection="1"/>
    <xf numFmtId="0" fontId="3" fillId="0" borderId="0" xfId="0" applyFont="1" applyFill="1" applyAlignment="1" applyProtection="1"/>
    <xf numFmtId="0" fontId="0" fillId="0" borderId="0" xfId="0" applyAlignment="1"/>
    <xf numFmtId="1" fontId="20" fillId="0" borderId="11" xfId="0" applyNumberFormat="1" applyFont="1" applyFill="1" applyBorder="1" applyAlignment="1" applyProtection="1">
      <alignment horizontal="center" vertical="center"/>
      <protection locked="0"/>
    </xf>
    <xf numFmtId="0" fontId="7" fillId="0" borderId="7" xfId="0" applyFont="1" applyBorder="1" applyAlignment="1" applyProtection="1">
      <alignment vertical="center"/>
    </xf>
    <xf numFmtId="0" fontId="0" fillId="0" borderId="12" xfId="0" applyFill="1" applyBorder="1" applyAlignment="1" applyProtection="1">
      <alignment vertical="center"/>
      <protection locked="0"/>
    </xf>
    <xf numFmtId="0" fontId="0" fillId="0" borderId="7" xfId="0" applyBorder="1" applyProtection="1">
      <protection hidden="1"/>
    </xf>
    <xf numFmtId="0" fontId="7" fillId="0" borderId="1" xfId="0" applyFont="1" applyFill="1" applyBorder="1" applyAlignment="1" applyProtection="1">
      <alignment vertical="center"/>
      <protection hidden="1"/>
    </xf>
    <xf numFmtId="0" fontId="0" fillId="0" borderId="1" xfId="0" applyBorder="1" applyProtection="1">
      <protection hidden="1"/>
    </xf>
    <xf numFmtId="0" fontId="0" fillId="0" borderId="2" xfId="0" applyBorder="1" applyAlignment="1" applyProtection="1">
      <alignment vertical="center"/>
      <protection hidden="1"/>
    </xf>
    <xf numFmtId="0" fontId="23" fillId="0" borderId="0" xfId="0" applyFont="1" applyProtection="1">
      <protection hidden="1"/>
    </xf>
    <xf numFmtId="0" fontId="0" fillId="0" borderId="0" xfId="0" applyProtection="1">
      <protection hidden="1"/>
    </xf>
    <xf numFmtId="0" fontId="0" fillId="0" borderId="8" xfId="0" applyBorder="1" applyProtection="1">
      <protection hidden="1"/>
    </xf>
    <xf numFmtId="0" fontId="0" fillId="0" borderId="0" xfId="0" applyBorder="1" applyAlignment="1" applyProtection="1">
      <alignment vertical="center"/>
      <protection hidden="1"/>
    </xf>
    <xf numFmtId="0" fontId="0" fillId="0" borderId="0" xfId="0" applyBorder="1" applyProtection="1">
      <protection hidden="1"/>
    </xf>
    <xf numFmtId="0" fontId="0" fillId="0" borderId="3" xfId="0" applyBorder="1" applyAlignment="1" applyProtection="1">
      <alignment vertical="center"/>
      <protection hidden="1"/>
    </xf>
    <xf numFmtId="0" fontId="0" fillId="0" borderId="8" xfId="0" applyBorder="1" applyAlignment="1" applyProtection="1">
      <alignment vertical="center" wrapText="1"/>
      <protection hidden="1"/>
    </xf>
    <xf numFmtId="0" fontId="0" fillId="0" borderId="0" xfId="0" applyBorder="1" applyAlignment="1" applyProtection="1">
      <alignment vertical="center" wrapText="1"/>
      <protection hidden="1"/>
    </xf>
    <xf numFmtId="0" fontId="3" fillId="0" borderId="0" xfId="0" applyFont="1" applyFill="1" applyBorder="1" applyAlignment="1" applyProtection="1">
      <protection hidden="1"/>
    </xf>
    <xf numFmtId="0" fontId="0" fillId="0" borderId="0" xfId="0" applyBorder="1" applyAlignment="1" applyProtection="1">
      <alignment horizontal="center" vertical="center" wrapText="1"/>
      <protection hidden="1"/>
    </xf>
    <xf numFmtId="0" fontId="0" fillId="0" borderId="8" xfId="0" applyBorder="1" applyAlignment="1" applyProtection="1">
      <alignment vertical="center"/>
      <protection hidden="1"/>
    </xf>
    <xf numFmtId="0" fontId="0" fillId="0" borderId="0" xfId="0" applyBorder="1" applyAlignment="1" applyProtection="1">
      <alignment horizontal="center"/>
      <protection hidden="1"/>
    </xf>
    <xf numFmtId="0" fontId="0" fillId="0" borderId="0" xfId="0" applyBorder="1" applyAlignment="1" applyProtection="1">
      <alignment horizontal="center" vertical="center"/>
      <protection hidden="1"/>
    </xf>
    <xf numFmtId="0" fontId="3" fillId="0" borderId="0" xfId="0" applyFont="1" applyBorder="1" applyAlignment="1" applyProtection="1">
      <alignment vertical="center"/>
      <protection hidden="1"/>
    </xf>
    <xf numFmtId="0" fontId="3" fillId="0" borderId="8" xfId="0" applyFont="1" applyBorder="1" applyAlignment="1" applyProtection="1">
      <alignment horizontal="left" vertical="center"/>
      <protection hidden="1"/>
    </xf>
    <xf numFmtId="0" fontId="24" fillId="0" borderId="0" xfId="0" applyFont="1" applyBorder="1" applyAlignment="1" applyProtection="1">
      <alignment horizontal="center" vertical="center"/>
      <protection hidden="1"/>
    </xf>
    <xf numFmtId="0" fontId="2" fillId="0" borderId="0" xfId="0" quotePrefix="1" applyFont="1" applyBorder="1" applyAlignment="1" applyProtection="1">
      <alignment horizontal="center" vertical="center"/>
      <protection hidden="1"/>
    </xf>
    <xf numFmtId="0" fontId="0" fillId="0" borderId="9" xfId="0" applyBorder="1" applyAlignment="1" applyProtection="1">
      <alignment vertical="center"/>
      <protection hidden="1"/>
    </xf>
    <xf numFmtId="0" fontId="0" fillId="0" borderId="5" xfId="0" applyBorder="1" applyAlignment="1" applyProtection="1">
      <alignment vertical="center"/>
      <protection hidden="1"/>
    </xf>
    <xf numFmtId="0" fontId="0" fillId="0" borderId="6" xfId="0" applyBorder="1" applyAlignment="1" applyProtection="1">
      <alignment vertical="center"/>
      <protection hidden="1"/>
    </xf>
    <xf numFmtId="0" fontId="0" fillId="0" borderId="0" xfId="0" applyFill="1" applyBorder="1" applyAlignment="1" applyProtection="1">
      <alignment vertical="center"/>
      <protection hidden="1"/>
    </xf>
    <xf numFmtId="0" fontId="23" fillId="0" borderId="0" xfId="0" applyFont="1" applyAlignment="1" applyProtection="1">
      <alignment vertical="center"/>
      <protection hidden="1"/>
    </xf>
    <xf numFmtId="0" fontId="2" fillId="0" borderId="7" xfId="0" applyFont="1" applyFill="1" applyBorder="1" applyAlignment="1" applyProtection="1">
      <alignment vertical="center"/>
      <protection hidden="1"/>
    </xf>
    <xf numFmtId="0" fontId="0" fillId="0" borderId="1" xfId="0" applyFill="1" applyBorder="1" applyAlignment="1" applyProtection="1">
      <alignment vertical="center"/>
      <protection hidden="1"/>
    </xf>
    <xf numFmtId="0" fontId="0" fillId="0" borderId="2" xfId="0" applyFill="1" applyBorder="1" applyAlignment="1" applyProtection="1">
      <alignment vertical="center"/>
      <protection hidden="1"/>
    </xf>
    <xf numFmtId="0" fontId="13" fillId="0" borderId="8" xfId="0" applyFont="1" applyFill="1" applyBorder="1" applyAlignment="1" applyProtection="1">
      <alignment vertical="center"/>
      <protection hidden="1"/>
    </xf>
    <xf numFmtId="0" fontId="0" fillId="0" borderId="0" xfId="0" applyFill="1" applyBorder="1" applyAlignment="1" applyProtection="1">
      <alignment horizontal="right" vertical="center"/>
      <protection hidden="1"/>
    </xf>
    <xf numFmtId="0" fontId="13" fillId="0" borderId="0" xfId="0" applyFont="1" applyFill="1" applyBorder="1" applyAlignment="1" applyProtection="1">
      <alignment vertical="center"/>
      <protection hidden="1"/>
    </xf>
    <xf numFmtId="0" fontId="1" fillId="0" borderId="0" xfId="0" applyFont="1" applyFill="1" applyBorder="1" applyAlignment="1" applyProtection="1">
      <alignment horizontal="center" vertical="center"/>
      <protection hidden="1"/>
    </xf>
    <xf numFmtId="0" fontId="1" fillId="0" borderId="3" xfId="0" applyFont="1" applyFill="1" applyBorder="1" applyAlignment="1" applyProtection="1">
      <alignment horizontal="center" vertical="center"/>
      <protection hidden="1"/>
    </xf>
    <xf numFmtId="0" fontId="0" fillId="0" borderId="8" xfId="0" applyFill="1" applyBorder="1" applyAlignment="1" applyProtection="1">
      <alignment vertical="center"/>
      <protection hidden="1"/>
    </xf>
    <xf numFmtId="0" fontId="9" fillId="0" borderId="0" xfId="0" applyFont="1" applyFill="1" applyBorder="1" applyAlignment="1" applyProtection="1">
      <alignment vertical="center"/>
      <protection hidden="1"/>
    </xf>
    <xf numFmtId="0" fontId="1" fillId="0" borderId="0" xfId="0" applyFont="1" applyFill="1" applyBorder="1" applyAlignment="1" applyProtection="1">
      <alignment vertical="center"/>
      <protection hidden="1"/>
    </xf>
    <xf numFmtId="0" fontId="1" fillId="0" borderId="3" xfId="0" applyFont="1" applyFill="1" applyBorder="1" applyAlignment="1" applyProtection="1">
      <alignment vertical="center"/>
      <protection hidden="1"/>
    </xf>
    <xf numFmtId="0" fontId="25" fillId="0" borderId="0" xfId="0" applyFont="1" applyAlignment="1" applyProtection="1">
      <alignment horizontal="center" vertical="center"/>
      <protection hidden="1"/>
    </xf>
    <xf numFmtId="0" fontId="3" fillId="0" borderId="8" xfId="0" applyFont="1" applyFill="1" applyBorder="1" applyAlignment="1" applyProtection="1">
      <alignment vertical="center"/>
      <protection hidden="1"/>
    </xf>
    <xf numFmtId="0" fontId="11" fillId="0" borderId="0" xfId="0" applyFont="1" applyFill="1" applyBorder="1" applyAlignment="1" applyProtection="1">
      <alignment horizontal="right" vertical="center"/>
      <protection hidden="1"/>
    </xf>
    <xf numFmtId="0" fontId="3" fillId="0" borderId="0" xfId="0" applyFont="1" applyFill="1" applyBorder="1" applyAlignment="1" applyProtection="1">
      <alignment vertical="center"/>
      <protection hidden="1"/>
    </xf>
    <xf numFmtId="0" fontId="11" fillId="0" borderId="0" xfId="0" applyFont="1" applyFill="1" applyBorder="1" applyAlignment="1" applyProtection="1">
      <alignment vertical="center"/>
      <protection hidden="1"/>
    </xf>
    <xf numFmtId="0" fontId="11" fillId="0" borderId="0" xfId="0" applyFont="1" applyFill="1" applyBorder="1" applyAlignment="1" applyProtection="1">
      <alignment horizontal="center" vertical="center"/>
      <protection hidden="1"/>
    </xf>
    <xf numFmtId="166" fontId="1" fillId="0" borderId="0" xfId="0" applyNumberFormat="1" applyFont="1" applyFill="1" applyBorder="1" applyAlignment="1" applyProtection="1">
      <alignment horizontal="center" vertical="center"/>
      <protection hidden="1"/>
    </xf>
    <xf numFmtId="166" fontId="1" fillId="0" borderId="3" xfId="0" applyNumberFormat="1" applyFont="1" applyFill="1" applyBorder="1" applyAlignment="1" applyProtection="1">
      <alignment horizontal="center" vertical="center"/>
      <protection hidden="1"/>
    </xf>
    <xf numFmtId="0" fontId="15" fillId="0" borderId="0" xfId="0" applyFont="1" applyFill="1" applyBorder="1" applyAlignment="1" applyProtection="1">
      <alignment horizontal="center" vertical="center"/>
      <protection hidden="1"/>
    </xf>
    <xf numFmtId="0" fontId="13" fillId="0" borderId="0" xfId="0" applyFont="1" applyFill="1" applyBorder="1" applyAlignment="1" applyProtection="1">
      <alignment horizontal="center" vertical="center"/>
      <protection hidden="1"/>
    </xf>
    <xf numFmtId="166" fontId="13" fillId="0" borderId="0" xfId="0" applyNumberFormat="1" applyFont="1" applyFill="1" applyBorder="1" applyAlignment="1" applyProtection="1">
      <alignment horizontal="center" vertical="center"/>
      <protection hidden="1"/>
    </xf>
    <xf numFmtId="166" fontId="13" fillId="0" borderId="3" xfId="0" applyNumberFormat="1" applyFont="1" applyFill="1" applyBorder="1" applyAlignment="1" applyProtection="1">
      <alignment horizontal="center" vertical="center"/>
      <protection hidden="1"/>
    </xf>
    <xf numFmtId="0" fontId="15" fillId="0" borderId="8" xfId="0" applyFont="1" applyFill="1" applyBorder="1" applyAlignment="1" applyProtection="1">
      <alignment vertical="center"/>
      <protection hidden="1"/>
    </xf>
    <xf numFmtId="0" fontId="15" fillId="0" borderId="0" xfId="0" applyFont="1" applyFill="1" applyBorder="1" applyAlignment="1" applyProtection="1">
      <alignment vertical="center"/>
      <protection hidden="1"/>
    </xf>
    <xf numFmtId="165" fontId="13" fillId="0" borderId="0" xfId="0" applyNumberFormat="1" applyFont="1" applyFill="1" applyBorder="1" applyAlignment="1" applyProtection="1">
      <alignment horizontal="center" vertical="center"/>
      <protection hidden="1"/>
    </xf>
    <xf numFmtId="1" fontId="13" fillId="0" borderId="0" xfId="0" applyNumberFormat="1" applyFont="1" applyFill="1" applyBorder="1" applyAlignment="1" applyProtection="1">
      <alignment horizontal="center" vertical="center"/>
      <protection hidden="1"/>
    </xf>
    <xf numFmtId="0" fontId="8" fillId="0" borderId="3" xfId="0" applyFont="1" applyBorder="1" applyAlignment="1" applyProtection="1">
      <alignment vertical="center"/>
      <protection hidden="1"/>
    </xf>
    <xf numFmtId="0" fontId="23" fillId="0" borderId="0" xfId="0" quotePrefix="1" applyFont="1" applyAlignment="1" applyProtection="1">
      <alignment vertical="center"/>
      <protection hidden="1"/>
    </xf>
    <xf numFmtId="0" fontId="15" fillId="0" borderId="9" xfId="0" applyFont="1" applyFill="1" applyBorder="1" applyAlignment="1" applyProtection="1">
      <alignment vertical="center"/>
      <protection hidden="1"/>
    </xf>
    <xf numFmtId="0" fontId="13" fillId="0" borderId="5" xfId="0" applyFont="1" applyFill="1" applyBorder="1" applyAlignment="1" applyProtection="1">
      <alignment vertical="center"/>
      <protection hidden="1"/>
    </xf>
    <xf numFmtId="1" fontId="12" fillId="0" borderId="5" xfId="0" applyNumberFormat="1" applyFont="1" applyFill="1" applyBorder="1" applyAlignment="1" applyProtection="1">
      <alignment horizontal="center" vertical="center"/>
      <protection hidden="1"/>
    </xf>
    <xf numFmtId="166" fontId="13" fillId="0" borderId="5" xfId="0" applyNumberFormat="1" applyFont="1" applyFill="1" applyBorder="1" applyAlignment="1" applyProtection="1">
      <alignment horizontal="center" vertical="center"/>
      <protection hidden="1"/>
    </xf>
    <xf numFmtId="166" fontId="13" fillId="0" borderId="6" xfId="0" applyNumberFormat="1" applyFont="1" applyFill="1" applyBorder="1" applyAlignment="1" applyProtection="1">
      <alignment horizontal="center" vertical="center"/>
      <protection hidden="1"/>
    </xf>
    <xf numFmtId="0" fontId="0" fillId="0" borderId="3" xfId="0" applyBorder="1" applyProtection="1">
      <protection hidden="1"/>
    </xf>
    <xf numFmtId="1" fontId="12" fillId="0" borderId="0" xfId="0" applyNumberFormat="1" applyFont="1" applyFill="1" applyBorder="1" applyAlignment="1" applyProtection="1">
      <alignment horizontal="center" vertical="center"/>
      <protection hidden="1"/>
    </xf>
    <xf numFmtId="0" fontId="13" fillId="0" borderId="1" xfId="0" applyFont="1" applyFill="1" applyBorder="1" applyAlignment="1" applyProtection="1">
      <alignment vertical="center"/>
      <protection hidden="1"/>
    </xf>
    <xf numFmtId="1" fontId="12" fillId="0" borderId="1" xfId="0" applyNumberFormat="1" applyFont="1" applyFill="1" applyBorder="1" applyAlignment="1" applyProtection="1">
      <alignment horizontal="center" vertical="center"/>
      <protection hidden="1"/>
    </xf>
    <xf numFmtId="166" fontId="13" fillId="0" borderId="1" xfId="0" applyNumberFormat="1" applyFont="1" applyFill="1" applyBorder="1" applyAlignment="1" applyProtection="1">
      <alignment horizontal="center" vertical="center"/>
      <protection hidden="1"/>
    </xf>
    <xf numFmtId="166" fontId="13" fillId="0" borderId="2" xfId="0" applyNumberFormat="1" applyFont="1" applyFill="1" applyBorder="1" applyAlignment="1" applyProtection="1">
      <alignment horizontal="center" vertical="center"/>
      <protection hidden="1"/>
    </xf>
    <xf numFmtId="0" fontId="15" fillId="0" borderId="8" xfId="0" applyFont="1" applyFill="1" applyBorder="1" applyAlignment="1" applyProtection="1">
      <alignment horizontal="right" vertical="center"/>
      <protection hidden="1"/>
    </xf>
    <xf numFmtId="1" fontId="10" fillId="0" borderId="0" xfId="0" applyNumberFormat="1" applyFont="1" applyFill="1" applyBorder="1" applyAlignment="1" applyProtection="1">
      <alignment horizontal="left" vertical="center"/>
      <protection hidden="1"/>
    </xf>
    <xf numFmtId="1" fontId="12" fillId="0" borderId="0" xfId="0" quotePrefix="1" applyNumberFormat="1" applyFont="1" applyFill="1" applyBorder="1" applyAlignment="1" applyProtection="1">
      <alignment vertical="center"/>
      <protection hidden="1"/>
    </xf>
    <xf numFmtId="0" fontId="1" fillId="0" borderId="5" xfId="0" applyFont="1" applyFill="1" applyBorder="1" applyAlignment="1" applyProtection="1">
      <alignment vertical="center"/>
      <protection hidden="1"/>
    </xf>
    <xf numFmtId="0" fontId="11" fillId="0" borderId="5" xfId="0" applyFont="1" applyFill="1" applyBorder="1" applyAlignment="1" applyProtection="1">
      <alignment vertical="center"/>
      <protection hidden="1"/>
    </xf>
    <xf numFmtId="1" fontId="3" fillId="0" borderId="5" xfId="0" applyNumberFormat="1" applyFont="1" applyFill="1" applyBorder="1" applyAlignment="1" applyProtection="1">
      <alignment horizontal="center" vertical="center"/>
      <protection hidden="1"/>
    </xf>
    <xf numFmtId="166" fontId="1" fillId="0" borderId="5" xfId="0" applyNumberFormat="1" applyFont="1" applyFill="1" applyBorder="1" applyAlignment="1" applyProtection="1">
      <alignment horizontal="center" vertical="center"/>
      <protection hidden="1"/>
    </xf>
    <xf numFmtId="0" fontId="0" fillId="0" borderId="6" xfId="0" applyBorder="1" applyProtection="1">
      <protection hidden="1"/>
    </xf>
    <xf numFmtId="0" fontId="0" fillId="0" borderId="0" xfId="0" applyAlignment="1" applyProtection="1">
      <alignment vertical="center"/>
      <protection hidden="1"/>
    </xf>
    <xf numFmtId="0" fontId="7" fillId="0" borderId="0" xfId="0" applyFont="1" applyFill="1" applyBorder="1" applyAlignment="1" applyProtection="1">
      <alignment vertical="center"/>
      <protection hidden="1"/>
    </xf>
    <xf numFmtId="1" fontId="3" fillId="0" borderId="0" xfId="0" applyNumberFormat="1" applyFont="1" applyFill="1" applyBorder="1" applyAlignment="1" applyProtection="1">
      <alignment horizontal="center" vertical="center"/>
      <protection hidden="1"/>
    </xf>
    <xf numFmtId="0" fontId="23" fillId="0" borderId="0" xfId="0" applyFont="1" applyBorder="1" applyProtection="1">
      <protection hidden="1"/>
    </xf>
    <xf numFmtId="164" fontId="26" fillId="0" borderId="0" xfId="0" applyNumberFormat="1" applyFont="1" applyFill="1" applyBorder="1" applyAlignment="1" applyProtection="1">
      <alignment horizontal="center" vertical="center"/>
      <protection hidden="1"/>
    </xf>
    <xf numFmtId="0" fontId="0" fillId="0" borderId="0" xfId="0" applyAlignment="1">
      <alignment horizontal="left" vertical="center" wrapText="1"/>
    </xf>
    <xf numFmtId="0" fontId="6" fillId="0" borderId="0" xfId="0" applyFont="1" applyFill="1" applyBorder="1" applyAlignment="1" applyProtection="1">
      <alignment vertical="center"/>
      <protection hidden="1"/>
    </xf>
    <xf numFmtId="0" fontId="9" fillId="0" borderId="0" xfId="0" applyFont="1" applyBorder="1" applyAlignment="1" applyProtection="1">
      <alignment horizontal="right" vertical="center"/>
      <protection hidden="1"/>
    </xf>
    <xf numFmtId="9" fontId="9" fillId="0" borderId="0" xfId="0" applyNumberFormat="1" applyFont="1" applyBorder="1" applyAlignment="1" applyProtection="1">
      <alignment horizontal="left" vertical="center"/>
      <protection hidden="1"/>
    </xf>
    <xf numFmtId="0" fontId="0" fillId="0" borderId="0" xfId="0" applyBorder="1" applyAlignment="1" applyProtection="1">
      <alignment horizontal="right" vertical="center"/>
      <protection hidden="1"/>
    </xf>
    <xf numFmtId="0" fontId="13" fillId="0" borderId="0" xfId="0" applyFont="1" applyBorder="1" applyAlignment="1" applyProtection="1">
      <alignment vertical="center"/>
      <protection hidden="1"/>
    </xf>
    <xf numFmtId="1" fontId="13" fillId="0" borderId="0" xfId="0" applyNumberFormat="1" applyFont="1" applyBorder="1" applyAlignment="1" applyProtection="1">
      <alignment horizontal="center" vertical="center"/>
      <protection hidden="1"/>
    </xf>
    <xf numFmtId="0" fontId="22" fillId="0" borderId="0" xfId="0" applyFont="1" applyBorder="1" applyAlignment="1" applyProtection="1">
      <alignment vertical="center"/>
      <protection hidden="1"/>
    </xf>
    <xf numFmtId="1" fontId="3" fillId="0" borderId="0" xfId="0" applyNumberFormat="1" applyFont="1" applyBorder="1" applyAlignment="1" applyProtection="1">
      <alignment horizontal="center" vertical="center"/>
      <protection hidden="1"/>
    </xf>
    <xf numFmtId="9" fontId="4" fillId="0" borderId="0" xfId="0" applyNumberFormat="1" applyFont="1" applyFill="1" applyBorder="1" applyAlignment="1" applyProtection="1">
      <alignment horizontal="center" vertical="center"/>
      <protection hidden="1"/>
    </xf>
    <xf numFmtId="0" fontId="9" fillId="0" borderId="0" xfId="0" applyFont="1" applyBorder="1" applyAlignment="1" applyProtection="1">
      <alignment vertical="center"/>
      <protection hidden="1"/>
    </xf>
    <xf numFmtId="0" fontId="5" fillId="0" borderId="0" xfId="0" applyFont="1" applyBorder="1" applyAlignment="1" applyProtection="1">
      <alignment vertical="center"/>
      <protection hidden="1"/>
    </xf>
    <xf numFmtId="0" fontId="1" fillId="0" borderId="0" xfId="0" applyFont="1" applyBorder="1" applyAlignment="1" applyProtection="1">
      <alignment horizontal="right" vertical="center"/>
      <protection hidden="1"/>
    </xf>
    <xf numFmtId="0" fontId="0" fillId="0" borderId="0" xfId="0" applyFill="1" applyAlignment="1" applyProtection="1">
      <alignment vertical="center"/>
      <protection hidden="1"/>
    </xf>
    <xf numFmtId="0" fontId="5" fillId="0" borderId="0" xfId="0" applyFont="1" applyProtection="1">
      <protection hidden="1"/>
    </xf>
    <xf numFmtId="0" fontId="0" fillId="0" borderId="0" xfId="0" applyFill="1" applyProtection="1">
      <protection hidden="1"/>
    </xf>
    <xf numFmtId="0" fontId="2" fillId="0" borderId="0" xfId="0" applyFont="1" applyFill="1" applyProtection="1">
      <protection hidden="1"/>
    </xf>
    <xf numFmtId="0" fontId="21" fillId="0" borderId="0" xfId="0" applyFont="1" applyFill="1" applyAlignment="1" applyProtection="1">
      <alignment vertical="center"/>
      <protection hidden="1"/>
    </xf>
    <xf numFmtId="0" fontId="0" fillId="0" borderId="0" xfId="0" applyAlignment="1" applyProtection="1">
      <protection hidden="1"/>
    </xf>
    <xf numFmtId="0" fontId="0" fillId="0" borderId="0" xfId="0" applyBorder="1" applyAlignment="1" applyProtection="1">
      <protection hidden="1"/>
    </xf>
    <xf numFmtId="0" fontId="0" fillId="0" borderId="0" xfId="0" applyFill="1" applyBorder="1" applyProtection="1">
      <protection hidden="1"/>
    </xf>
    <xf numFmtId="1" fontId="0" fillId="0" borderId="0" xfId="0" applyNumberFormat="1" applyFill="1" applyBorder="1" applyAlignment="1" applyProtection="1">
      <alignment horizontal="center"/>
      <protection hidden="1"/>
    </xf>
    <xf numFmtId="1" fontId="1" fillId="0" borderId="0" xfId="0" applyNumberFormat="1" applyFont="1" applyFill="1" applyBorder="1" applyAlignment="1" applyProtection="1">
      <alignment horizontal="right"/>
      <protection hidden="1"/>
    </xf>
    <xf numFmtId="1" fontId="3" fillId="0" borderId="0" xfId="0" applyNumberFormat="1" applyFont="1" applyFill="1" applyBorder="1" applyAlignment="1" applyProtection="1">
      <alignment horizontal="left"/>
      <protection hidden="1"/>
    </xf>
    <xf numFmtId="9" fontId="1" fillId="0" borderId="0" xfId="0" applyNumberFormat="1" applyFont="1" applyFill="1" applyBorder="1" applyAlignment="1" applyProtection="1">
      <alignment horizontal="right"/>
      <protection hidden="1"/>
    </xf>
    <xf numFmtId="1" fontId="0" fillId="0" borderId="13" xfId="0" applyNumberFormat="1" applyFill="1" applyBorder="1" applyAlignment="1" applyProtection="1">
      <alignment horizontal="center"/>
      <protection hidden="1"/>
    </xf>
    <xf numFmtId="1" fontId="1" fillId="0" borderId="13" xfId="0" applyNumberFormat="1" applyFont="1" applyFill="1" applyBorder="1" applyAlignment="1" applyProtection="1">
      <alignment horizontal="left"/>
      <protection hidden="1"/>
    </xf>
    <xf numFmtId="0" fontId="1" fillId="0" borderId="14" xfId="0" applyFont="1" applyFill="1" applyBorder="1" applyAlignment="1" applyProtection="1">
      <alignment horizontal="right"/>
      <protection hidden="1"/>
    </xf>
    <xf numFmtId="2" fontId="1" fillId="0" borderId="15" xfId="0" applyNumberFormat="1" applyFont="1" applyBorder="1" applyAlignment="1" applyProtection="1">
      <alignment horizontal="center"/>
      <protection hidden="1"/>
    </xf>
    <xf numFmtId="9" fontId="1" fillId="0" borderId="16" xfId="0" applyNumberFormat="1" applyFont="1" applyFill="1" applyBorder="1" applyAlignment="1" applyProtection="1">
      <alignment horizontal="right"/>
      <protection hidden="1"/>
    </xf>
    <xf numFmtId="0" fontId="0" fillId="0" borderId="17" xfId="0" applyFill="1" applyBorder="1" applyProtection="1">
      <protection hidden="1"/>
    </xf>
    <xf numFmtId="0" fontId="17" fillId="0" borderId="0" xfId="0" applyFont="1" applyBorder="1" applyAlignment="1" applyProtection="1">
      <alignment horizontal="right" vertical="top"/>
      <protection hidden="1"/>
    </xf>
    <xf numFmtId="0" fontId="12" fillId="0" borderId="16" xfId="0" applyFont="1" applyBorder="1" applyProtection="1">
      <protection hidden="1"/>
    </xf>
    <xf numFmtId="1" fontId="0" fillId="0" borderId="18" xfId="0" applyNumberFormat="1" applyFill="1" applyBorder="1" applyAlignment="1" applyProtection="1">
      <alignment horizontal="center"/>
      <protection hidden="1"/>
    </xf>
    <xf numFmtId="0" fontId="19" fillId="0" borderId="0" xfId="0" applyFont="1" applyFill="1" applyBorder="1" applyAlignment="1" applyProtection="1">
      <alignment horizontal="right"/>
      <protection hidden="1"/>
    </xf>
    <xf numFmtId="165" fontId="19" fillId="0" borderId="16" xfId="0" applyNumberFormat="1" applyFont="1" applyFill="1" applyBorder="1" applyAlignment="1" applyProtection="1">
      <alignment horizontal="center"/>
      <protection hidden="1"/>
    </xf>
    <xf numFmtId="1" fontId="0" fillId="0" borderId="15" xfId="0" applyNumberFormat="1" applyFill="1" applyBorder="1" applyAlignment="1" applyProtection="1">
      <alignment horizontal="center"/>
      <protection hidden="1"/>
    </xf>
    <xf numFmtId="1" fontId="0" fillId="0" borderId="17" xfId="0" applyNumberFormat="1" applyFill="1" applyBorder="1" applyAlignment="1" applyProtection="1">
      <alignment horizontal="center"/>
      <protection hidden="1"/>
    </xf>
    <xf numFmtId="0" fontId="12" fillId="0" borderId="0" xfId="0" applyFont="1" applyBorder="1" applyProtection="1">
      <protection hidden="1"/>
    </xf>
    <xf numFmtId="1" fontId="0" fillId="0" borderId="19" xfId="0" applyNumberFormat="1" applyFill="1" applyBorder="1" applyAlignment="1" applyProtection="1">
      <alignment horizontal="center"/>
      <protection hidden="1"/>
    </xf>
    <xf numFmtId="0" fontId="12" fillId="0" borderId="0" xfId="0" applyFont="1" applyFill="1" applyBorder="1" applyAlignment="1" applyProtection="1">
      <alignment horizontal="right"/>
      <protection hidden="1"/>
    </xf>
    <xf numFmtId="9" fontId="12" fillId="0" borderId="16" xfId="0" applyNumberFormat="1" applyFont="1" applyFill="1" applyBorder="1" applyAlignment="1" applyProtection="1">
      <alignment horizontal="center"/>
      <protection hidden="1"/>
    </xf>
    <xf numFmtId="1" fontId="12" fillId="0" borderId="0" xfId="0" applyNumberFormat="1" applyFont="1" applyFill="1" applyBorder="1" applyAlignment="1" applyProtection="1">
      <alignment horizontal="right"/>
      <protection hidden="1"/>
    </xf>
    <xf numFmtId="1" fontId="12" fillId="0" borderId="16" xfId="0" applyNumberFormat="1" applyFont="1" applyFill="1" applyBorder="1" applyAlignment="1" applyProtection="1">
      <alignment horizontal="center"/>
      <protection hidden="1"/>
    </xf>
    <xf numFmtId="1" fontId="1" fillId="0" borderId="0" xfId="0" applyNumberFormat="1" applyFont="1" applyFill="1" applyBorder="1" applyAlignment="1" applyProtection="1">
      <alignment horizontal="left"/>
      <protection hidden="1"/>
    </xf>
    <xf numFmtId="0" fontId="0" fillId="0" borderId="20" xfId="0" applyFill="1" applyBorder="1" applyProtection="1">
      <protection hidden="1"/>
    </xf>
    <xf numFmtId="0" fontId="17" fillId="0" borderId="19" xfId="0" applyFont="1" applyBorder="1" applyAlignment="1" applyProtection="1">
      <alignment horizontal="right" vertical="top"/>
      <protection hidden="1"/>
    </xf>
    <xf numFmtId="0" fontId="0" fillId="0" borderId="18" xfId="0" applyBorder="1" applyProtection="1">
      <protection hidden="1"/>
    </xf>
    <xf numFmtId="0" fontId="0" fillId="0" borderId="15" xfId="0" applyFill="1" applyBorder="1" applyProtection="1">
      <protection hidden="1"/>
    </xf>
    <xf numFmtId="0" fontId="14" fillId="0" borderId="0" xfId="0" applyFont="1" applyFill="1" applyBorder="1" applyProtection="1">
      <protection hidden="1"/>
    </xf>
    <xf numFmtId="0" fontId="1" fillId="0" borderId="0" xfId="0" applyFont="1" applyFill="1" applyBorder="1" applyProtection="1">
      <protection hidden="1"/>
    </xf>
    <xf numFmtId="1" fontId="18" fillId="0" borderId="0" xfId="0" applyNumberFormat="1" applyFont="1" applyFill="1" applyBorder="1" applyAlignment="1" applyProtection="1">
      <alignment horizontal="left"/>
      <protection hidden="1"/>
    </xf>
    <xf numFmtId="1" fontId="0" fillId="0" borderId="14" xfId="0" applyNumberFormat="1" applyFill="1" applyBorder="1" applyAlignment="1" applyProtection="1">
      <alignment horizontal="center"/>
      <protection hidden="1"/>
    </xf>
    <xf numFmtId="1" fontId="1" fillId="0" borderId="13" xfId="0" applyNumberFormat="1" applyFont="1" applyFill="1" applyBorder="1" applyAlignment="1" applyProtection="1">
      <alignment horizontal="center"/>
      <protection hidden="1"/>
    </xf>
    <xf numFmtId="1" fontId="1" fillId="0" borderId="17" xfId="0" applyNumberFormat="1" applyFont="1" applyFill="1" applyBorder="1" applyAlignment="1" applyProtection="1">
      <alignment horizontal="center"/>
      <protection hidden="1"/>
    </xf>
    <xf numFmtId="1" fontId="1" fillId="0" borderId="20" xfId="0" applyNumberFormat="1" applyFont="1" applyFill="1" applyBorder="1" applyAlignment="1" applyProtection="1">
      <alignment horizontal="center"/>
      <protection hidden="1"/>
    </xf>
    <xf numFmtId="9" fontId="1" fillId="0" borderId="14" xfId="0" applyNumberFormat="1" applyFont="1" applyFill="1" applyBorder="1" applyAlignment="1" applyProtection="1">
      <alignment horizontal="center"/>
      <protection hidden="1"/>
    </xf>
    <xf numFmtId="0" fontId="1" fillId="0" borderId="0" xfId="0" applyFont="1" applyFill="1" applyBorder="1" applyAlignment="1" applyProtection="1">
      <alignment horizontal="right"/>
      <protection hidden="1"/>
    </xf>
    <xf numFmtId="9" fontId="1" fillId="0" borderId="19" xfId="0" applyNumberFormat="1" applyFont="1" applyFill="1" applyBorder="1" applyAlignment="1" applyProtection="1">
      <alignment horizontal="center"/>
      <protection hidden="1"/>
    </xf>
    <xf numFmtId="1" fontId="3" fillId="0" borderId="0" xfId="0" applyNumberFormat="1" applyFont="1" applyFill="1" applyBorder="1" applyAlignment="1" applyProtection="1">
      <alignment horizontal="right"/>
      <protection hidden="1"/>
    </xf>
    <xf numFmtId="165" fontId="18" fillId="0" borderId="21" xfId="0" applyNumberFormat="1" applyFont="1" applyFill="1" applyBorder="1" applyAlignment="1" applyProtection="1">
      <alignment horizontal="center" vertical="center"/>
      <protection locked="0"/>
    </xf>
    <xf numFmtId="165" fontId="18" fillId="0" borderId="21" xfId="0" applyNumberFormat="1" applyFont="1" applyFill="1" applyBorder="1" applyAlignment="1" applyProtection="1">
      <alignment horizontal="center"/>
      <protection locked="0"/>
    </xf>
    <xf numFmtId="0" fontId="0" fillId="0" borderId="0" xfId="0" applyFill="1" applyAlignment="1" applyProtection="1">
      <alignment vertical="center"/>
      <protection locked="0"/>
    </xf>
    <xf numFmtId="15" fontId="0" fillId="0" borderId="12" xfId="0" applyNumberFormat="1" applyFill="1" applyBorder="1" applyAlignment="1" applyProtection="1">
      <alignment horizontal="center" vertical="center"/>
      <protection locked="0"/>
    </xf>
    <xf numFmtId="1" fontId="12" fillId="0" borderId="10" xfId="0" applyNumberFormat="1" applyFont="1" applyFill="1" applyBorder="1" applyAlignment="1" applyProtection="1">
      <alignment horizontal="center"/>
      <protection hidden="1"/>
    </xf>
    <xf numFmtId="0" fontId="21" fillId="0" borderId="0" xfId="0" applyFont="1" applyProtection="1">
      <protection hidden="1"/>
    </xf>
    <xf numFmtId="0" fontId="21" fillId="0" borderId="0" xfId="0" applyFont="1" applyBorder="1" applyProtection="1">
      <protection hidden="1"/>
    </xf>
    <xf numFmtId="0" fontId="23" fillId="0" borderId="0" xfId="0" applyFont="1"/>
    <xf numFmtId="0" fontId="0" fillId="2" borderId="0" xfId="0" applyFill="1" applyProtection="1">
      <protection hidden="1"/>
    </xf>
    <xf numFmtId="1" fontId="27" fillId="0" borderId="0" xfId="0" applyNumberFormat="1" applyFont="1" applyFill="1" applyBorder="1" applyAlignment="1" applyProtection="1">
      <alignment horizontal="left"/>
      <protection hidden="1"/>
    </xf>
    <xf numFmtId="1" fontId="11" fillId="0" borderId="0" xfId="0" applyNumberFormat="1" applyFont="1" applyFill="1" applyBorder="1" applyAlignment="1" applyProtection="1">
      <alignment horizontal="right"/>
      <protection hidden="1"/>
    </xf>
    <xf numFmtId="1" fontId="11" fillId="0" borderId="14" xfId="0" applyNumberFormat="1" applyFont="1" applyFill="1" applyBorder="1" applyAlignment="1" applyProtection="1">
      <alignment horizontal="right"/>
      <protection hidden="1"/>
    </xf>
    <xf numFmtId="165" fontId="3" fillId="0" borderId="11" xfId="0" applyNumberFormat="1" applyFont="1" applyFill="1" applyBorder="1" applyAlignment="1" applyProtection="1">
      <alignment horizontal="center" vertical="center"/>
      <protection locked="0"/>
    </xf>
    <xf numFmtId="165" fontId="12" fillId="0" borderId="10" xfId="0" applyNumberFormat="1" applyFont="1" applyFill="1" applyBorder="1" applyAlignment="1" applyProtection="1">
      <alignment horizontal="center"/>
      <protection hidden="1"/>
    </xf>
    <xf numFmtId="0" fontId="3" fillId="0" borderId="0" xfId="0" applyFont="1" applyAlignment="1" applyProtection="1">
      <alignment vertical="center" wrapText="1"/>
    </xf>
    <xf numFmtId="0" fontId="3" fillId="0" borderId="0" xfId="0" applyFont="1" applyAlignment="1" applyProtection="1">
      <alignment vertical="top" wrapText="1"/>
    </xf>
    <xf numFmtId="0" fontId="3" fillId="2" borderId="0" xfId="0" applyFont="1" applyFill="1" applyAlignment="1" applyProtection="1">
      <alignment vertical="top" wrapText="1"/>
    </xf>
    <xf numFmtId="0" fontId="1" fillId="0" borderId="0" xfId="0" applyFont="1" applyAlignment="1" applyProtection="1">
      <alignment vertical="center" wrapText="1"/>
    </xf>
    <xf numFmtId="0" fontId="9" fillId="0" borderId="0" xfId="0" applyFont="1" applyAlignment="1" applyProtection="1">
      <alignment horizontal="center" vertical="center" wrapText="1"/>
    </xf>
    <xf numFmtId="0" fontId="1" fillId="0" borderId="0" xfId="0" applyFont="1" applyAlignment="1" applyProtection="1">
      <alignment horizontal="center" vertical="center" wrapText="1"/>
    </xf>
    <xf numFmtId="0" fontId="9" fillId="0" borderId="0" xfId="0" applyNumberFormat="1" applyFont="1" applyAlignment="1" applyProtection="1">
      <alignment horizontal="center" vertical="center" wrapText="1"/>
    </xf>
    <xf numFmtId="0" fontId="9" fillId="2" borderId="0" xfId="0" applyFont="1" applyFill="1" applyAlignment="1" applyProtection="1">
      <alignment horizontal="center" vertical="center" wrapText="1"/>
    </xf>
    <xf numFmtId="0" fontId="9" fillId="0" borderId="0" xfId="0" applyFont="1" applyAlignment="1" applyProtection="1">
      <alignment wrapText="1"/>
    </xf>
    <xf numFmtId="0" fontId="3" fillId="0" borderId="0" xfId="0" applyFont="1" applyAlignment="1" applyProtection="1">
      <alignment horizontal="left" wrapText="1"/>
    </xf>
    <xf numFmtId="0" fontId="0" fillId="0" borderId="0" xfId="0" applyAlignment="1" applyProtection="1">
      <alignment horizontal="left" vertical="center" wrapText="1"/>
    </xf>
    <xf numFmtId="0" fontId="0" fillId="0" borderId="0" xfId="0" applyAlignment="1" applyProtection="1">
      <alignment horizontal="left" wrapText="1"/>
    </xf>
    <xf numFmtId="0" fontId="0" fillId="0" borderId="0" xfId="0" applyAlignment="1" applyProtection="1">
      <alignment horizontal="left" vertical="top" wrapText="1"/>
    </xf>
    <xf numFmtId="0" fontId="0" fillId="2" borderId="0" xfId="0" applyFill="1" applyAlignment="1" applyProtection="1">
      <alignment horizontal="left" vertical="top" wrapText="1"/>
    </xf>
    <xf numFmtId="0" fontId="0" fillId="0" borderId="0" xfId="0" applyNumberFormat="1" applyAlignment="1" applyProtection="1">
      <alignment horizontal="left" vertical="center" wrapText="1"/>
    </xf>
    <xf numFmtId="0" fontId="0" fillId="0" borderId="0" xfId="0" applyNumberFormat="1" applyAlignment="1" applyProtection="1">
      <alignment horizontal="left" vertical="top" wrapText="1"/>
    </xf>
    <xf numFmtId="0" fontId="3" fillId="0" borderId="0" xfId="0" applyNumberFormat="1" applyFont="1" applyAlignment="1" applyProtection="1">
      <alignment horizontal="left" wrapText="1"/>
    </xf>
    <xf numFmtId="0" fontId="4" fillId="0" borderId="0" xfId="0" applyFont="1" applyAlignment="1" applyProtection="1">
      <alignment horizontal="left" vertical="center" wrapText="1"/>
    </xf>
    <xf numFmtId="0" fontId="0" fillId="2" borderId="0" xfId="0" applyNumberFormat="1" applyFill="1" applyAlignment="1" applyProtection="1">
      <alignment horizontal="left" vertical="center" wrapText="1"/>
    </xf>
    <xf numFmtId="0" fontId="1" fillId="0" borderId="0" xfId="0" applyFont="1" applyAlignment="1" applyProtection="1">
      <alignment vertical="center"/>
    </xf>
    <xf numFmtId="0" fontId="3" fillId="0" borderId="0" xfId="0" applyFont="1" applyAlignment="1" applyProtection="1">
      <alignment horizontal="left" vertical="center" wrapText="1"/>
    </xf>
    <xf numFmtId="0" fontId="4" fillId="0" borderId="0" xfId="0" applyFont="1" applyAlignment="1" applyProtection="1">
      <alignment horizontal="left" wrapText="1"/>
    </xf>
    <xf numFmtId="0" fontId="4" fillId="0" borderId="0" xfId="0" applyFont="1" applyAlignment="1" applyProtection="1">
      <alignment horizontal="left" vertical="top" wrapText="1"/>
    </xf>
    <xf numFmtId="0" fontId="4" fillId="3" borderId="0" xfId="0" applyFont="1" applyFill="1" applyAlignment="1" applyProtection="1">
      <alignment horizontal="left" vertical="center" wrapText="1"/>
    </xf>
    <xf numFmtId="0" fontId="3" fillId="0" borderId="0" xfId="0" applyFont="1"/>
    <xf numFmtId="165" fontId="12" fillId="0" borderId="5" xfId="0" applyNumberFormat="1" applyFont="1" applyFill="1" applyBorder="1" applyAlignment="1" applyProtection="1">
      <alignment horizontal="center" vertical="center"/>
      <protection hidden="1"/>
    </xf>
    <xf numFmtId="0" fontId="0" fillId="0" borderId="7" xfId="0" applyBorder="1" applyAlignment="1" applyProtection="1">
      <alignment vertical="center" wrapText="1"/>
      <protection hidden="1"/>
    </xf>
    <xf numFmtId="0" fontId="0" fillId="0" borderId="1" xfId="0" applyBorder="1" applyAlignment="1" applyProtection="1">
      <alignment vertical="center" wrapText="1"/>
      <protection hidden="1"/>
    </xf>
    <xf numFmtId="0" fontId="0" fillId="0" borderId="2" xfId="0" applyBorder="1" applyAlignment="1" applyProtection="1">
      <alignment vertical="center" wrapText="1"/>
      <protection hidden="1"/>
    </xf>
    <xf numFmtId="0" fontId="0" fillId="0" borderId="8" xfId="0" applyBorder="1" applyAlignment="1" applyProtection="1">
      <alignment vertical="center" wrapText="1"/>
      <protection hidden="1"/>
    </xf>
    <xf numFmtId="0" fontId="0" fillId="0" borderId="0" xfId="0" applyBorder="1" applyAlignment="1" applyProtection="1">
      <alignment vertical="center" wrapText="1"/>
      <protection hidden="1"/>
    </xf>
    <xf numFmtId="0" fontId="0" fillId="0" borderId="3" xfId="0" applyBorder="1" applyAlignment="1" applyProtection="1">
      <alignment vertical="center" wrapText="1"/>
      <protection hidden="1"/>
    </xf>
    <xf numFmtId="0" fontId="0" fillId="0" borderId="9" xfId="0" applyBorder="1" applyAlignment="1" applyProtection="1">
      <alignment vertical="center" wrapText="1"/>
      <protection hidden="1"/>
    </xf>
    <xf numFmtId="0" fontId="0" fillId="0" borderId="5" xfId="0" applyBorder="1" applyAlignment="1" applyProtection="1">
      <alignment vertical="center" wrapText="1"/>
      <protection hidden="1"/>
    </xf>
    <xf numFmtId="0" fontId="0" fillId="0" borderId="6" xfId="0" applyBorder="1" applyAlignment="1" applyProtection="1">
      <alignment vertical="center" wrapText="1"/>
      <protection hidden="1"/>
    </xf>
    <xf numFmtId="9" fontId="0" fillId="0" borderId="22" xfId="0" applyNumberFormat="1" applyBorder="1" applyAlignment="1" applyProtection="1">
      <alignment horizontal="center" vertical="center"/>
      <protection locked="0"/>
    </xf>
    <xf numFmtId="9" fontId="0" fillId="0" borderId="23" xfId="0" applyNumberFormat="1" applyBorder="1" applyAlignment="1" applyProtection="1">
      <alignment horizontal="center" vertical="center"/>
      <protection locked="0"/>
    </xf>
    <xf numFmtId="0" fontId="0" fillId="0" borderId="0" xfId="0" applyBorder="1" applyAlignment="1" applyProtection="1">
      <alignment horizontal="center" vertical="center" wrapText="1"/>
      <protection hidden="1"/>
    </xf>
    <xf numFmtId="0" fontId="3" fillId="0" borderId="0" xfId="0" applyFont="1" applyBorder="1" applyAlignment="1" applyProtection="1">
      <alignment horizontal="center" vertical="center"/>
      <protection hidden="1"/>
    </xf>
    <xf numFmtId="9" fontId="0" fillId="0" borderId="0" xfId="0" applyNumberFormat="1" applyBorder="1" applyAlignment="1" applyProtection="1">
      <alignment horizontal="center" vertical="center"/>
      <protection hidden="1"/>
    </xf>
    <xf numFmtId="9" fontId="0" fillId="0" borderId="3" xfId="0" applyNumberFormat="1" applyBorder="1" applyAlignment="1" applyProtection="1">
      <alignment horizontal="center" vertical="center"/>
      <protection hidden="1"/>
    </xf>
    <xf numFmtId="0" fontId="3" fillId="0" borderId="3" xfId="0" applyFont="1" applyBorder="1" applyAlignment="1" applyProtection="1">
      <alignment horizontal="center" vertical="center"/>
      <protection hidden="1"/>
    </xf>
    <xf numFmtId="0" fontId="0" fillId="0" borderId="3" xfId="0" applyBorder="1" applyAlignment="1" applyProtection="1">
      <alignment horizontal="center" vertical="center" wrapText="1"/>
      <protection hidden="1"/>
    </xf>
    <xf numFmtId="0" fontId="3" fillId="0" borderId="22" xfId="0" applyFont="1" applyFill="1" applyBorder="1" applyAlignment="1" applyProtection="1">
      <alignment vertical="center"/>
      <protection locked="0"/>
    </xf>
    <xf numFmtId="0" fontId="3" fillId="0" borderId="12" xfId="0" applyFont="1" applyFill="1" applyBorder="1" applyAlignment="1" applyProtection="1">
      <alignment vertical="center"/>
      <protection locked="0"/>
    </xf>
    <xf numFmtId="0" fontId="3" fillId="0" borderId="23" xfId="0" applyFont="1" applyFill="1" applyBorder="1" applyAlignment="1" applyProtection="1">
      <alignment vertical="center"/>
      <protection locked="0"/>
    </xf>
    <xf numFmtId="0" fontId="0" fillId="0" borderId="22" xfId="0" applyFill="1" applyBorder="1" applyAlignment="1" applyProtection="1">
      <alignment vertical="center"/>
      <protection locked="0"/>
    </xf>
    <xf numFmtId="0" fontId="0" fillId="0" borderId="12" xfId="0" applyFill="1" applyBorder="1" applyAlignment="1" applyProtection="1">
      <alignment vertical="center"/>
      <protection locked="0"/>
    </xf>
    <xf numFmtId="0" fontId="0" fillId="0" borderId="23" xfId="0" applyFill="1" applyBorder="1" applyAlignment="1" applyProtection="1">
      <alignment vertical="center"/>
      <protection locked="0"/>
    </xf>
    <xf numFmtId="0" fontId="1" fillId="0" borderId="22" xfId="0" applyFont="1" applyFill="1" applyBorder="1" applyAlignment="1" applyProtection="1">
      <alignment vertical="center"/>
      <protection locked="0"/>
    </xf>
    <xf numFmtId="0" fontId="1" fillId="0" borderId="12" xfId="0" applyFont="1" applyFill="1" applyBorder="1" applyAlignment="1" applyProtection="1">
      <alignment vertical="center"/>
      <protection locked="0"/>
    </xf>
    <xf numFmtId="0" fontId="1" fillId="0" borderId="23" xfId="0" applyFont="1" applyFill="1" applyBorder="1" applyAlignment="1" applyProtection="1">
      <alignmen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Cumulative Confidence in Power Capacity</a:t>
            </a:r>
          </a:p>
          <a:p>
            <a:pPr>
              <a:defRPr sz="800" b="0" i="0" u="none" strike="noStrike" baseline="0">
                <a:solidFill>
                  <a:srgbClr val="000000"/>
                </a:solidFill>
                <a:latin typeface="Arial"/>
                <a:ea typeface="Arial"/>
                <a:cs typeface="Arial"/>
              </a:defRPr>
            </a:pPr>
            <a:r>
              <a:rPr lang="en-NZ" sz="800" b="0" i="0" u="none" strike="noStrike" baseline="0">
                <a:solidFill>
                  <a:srgbClr val="000000"/>
                </a:solidFill>
                <a:latin typeface="Arial"/>
                <a:cs typeface="Arial"/>
              </a:rPr>
              <a:t>Assuming capacity distribution is weighted by POSexpl  </a:t>
            </a:r>
          </a:p>
          <a:p>
            <a:pPr>
              <a:defRPr sz="800" b="0" i="0" u="none" strike="noStrike" baseline="0">
                <a:solidFill>
                  <a:srgbClr val="000000"/>
                </a:solidFill>
                <a:latin typeface="Arial"/>
                <a:ea typeface="Arial"/>
                <a:cs typeface="Arial"/>
              </a:defRPr>
            </a:pPr>
            <a:r>
              <a:rPr lang="en-NZ" sz="800" b="0" i="0" u="none" strike="noStrike" baseline="0">
                <a:solidFill>
                  <a:srgbClr val="000000"/>
                </a:solidFill>
                <a:latin typeface="Arial"/>
                <a:cs typeface="Arial"/>
              </a:rPr>
              <a:t>Based on lognormal area and power density distributions</a:t>
            </a:r>
          </a:p>
        </c:rich>
      </c:tx>
      <c:layout>
        <c:manualLayout>
          <c:xMode val="edge"/>
          <c:yMode val="edge"/>
          <c:x val="0.18834078666995896"/>
          <c:y val="2.1220042166860294E-2"/>
        </c:manualLayout>
      </c:layout>
      <c:overlay val="0"/>
      <c:spPr>
        <a:noFill/>
        <a:ln w="25400">
          <a:noFill/>
        </a:ln>
      </c:spPr>
    </c:title>
    <c:autoTitleDeleted val="0"/>
    <c:plotArea>
      <c:layout>
        <c:manualLayout>
          <c:layoutTarget val="inner"/>
          <c:xMode val="edge"/>
          <c:yMode val="edge"/>
          <c:x val="0.13937311869895735"/>
          <c:y val="0.16598373111692177"/>
          <c:w val="0.81359058040516363"/>
          <c:h val="0.6987710161835845"/>
        </c:manualLayout>
      </c:layout>
      <c:scatterChart>
        <c:scatterStyle val="lineMarker"/>
        <c:varyColors val="0"/>
        <c:ser>
          <c:idx val="0"/>
          <c:order val="0"/>
          <c:tx>
            <c:v>MWe</c:v>
          </c:tx>
          <c:spPr>
            <a:ln w="25400">
              <a:solidFill>
                <a:srgbClr val="FF0000"/>
              </a:solidFill>
              <a:prstDash val="lgDash"/>
            </a:ln>
          </c:spPr>
          <c:marker>
            <c:symbol val="none"/>
          </c:marker>
          <c:xVal>
            <c:numRef>
              <c:f>'1. Lognormal MWe from Area'!$P$37:$P$134</c:f>
              <c:numCache>
                <c:formatCode>0.000</c:formatCode>
                <c:ptCount val="98"/>
                <c:pt idx="0">
                  <c:v>1.0087659101874589</c:v>
                </c:pt>
                <c:pt idx="1">
                  <c:v>2.1020178348153031</c:v>
                </c:pt>
                <c:pt idx="2">
                  <c:v>2.7316146373367975</c:v>
                </c:pt>
                <c:pt idx="3">
                  <c:v>3.2256045179401993</c:v>
                </c:pt>
                <c:pt idx="4">
                  <c:v>3.6552586467949348</c:v>
                </c:pt>
                <c:pt idx="5">
                  <c:v>4.0466222363266304</c:v>
                </c:pt>
                <c:pt idx="6">
                  <c:v>4.4125754489598208</c:v>
                </c:pt>
                <c:pt idx="7">
                  <c:v>4.7605763351115113</c:v>
                </c:pt>
                <c:pt idx="8">
                  <c:v>5.0953954890839315</c:v>
                </c:pt>
                <c:pt idx="9">
                  <c:v>5.4203043159123592</c:v>
                </c:pt>
                <c:pt idx="10">
                  <c:v>5.7376657824070412</c:v>
                </c:pt>
                <c:pt idx="11">
                  <c:v>6.0492576050918441</c:v>
                </c:pt>
                <c:pt idx="12">
                  <c:v>6.3564622544225582</c:v>
                </c:pt>
                <c:pt idx="13">
                  <c:v>6.6603851327118599</c:v>
                </c:pt>
                <c:pt idx="14">
                  <c:v>6.9619314950606022</c:v>
                </c:pt>
                <c:pt idx="15">
                  <c:v>7.2618584323518887</c:v>
                </c:pt>
                <c:pt idx="16">
                  <c:v>7.5608111315604045</c:v>
                </c:pt>
                <c:pt idx="17">
                  <c:v>7.8593488659705146</c:v>
                </c:pt>
                <c:pt idx="18">
                  <c:v>8.1579640715359165</c:v>
                </c:pt>
                <c:pt idx="19">
                  <c:v>8.457096646438055</c:v>
                </c:pt>
                <c:pt idx="20">
                  <c:v>8.7571448752437195</c:v>
                </c:pt>
                <c:pt idx="21">
                  <c:v>9.0584739207042624</c:v>
                </c:pt>
                <c:pt idx="22">
                  <c:v>9.3614225325159346</c:v>
                </c:pt>
                <c:pt idx="23">
                  <c:v>9.6663084294009192</c:v>
                </c:pt>
                <c:pt idx="24">
                  <c:v>9.973432681270328</c:v>
                </c:pt>
                <c:pt idx="25">
                  <c:v>10.283083329451289</c:v>
                </c:pt>
                <c:pt idx="26">
                  <c:v>10.595538421056585</c:v>
                </c:pt>
                <c:pt idx="30">
                  <c:v>0</c:v>
                </c:pt>
                <c:pt idx="34">
                  <c:v>11.229939283404248</c:v>
                </c:pt>
                <c:pt idx="35">
                  <c:v>11.552412717065716</c:v>
                </c:pt>
                <c:pt idx="36">
                  <c:v>11.8787496110664</c:v>
                </c:pt>
                <c:pt idx="37">
                  <c:v>12.209210763717893</c:v>
                </c:pt>
                <c:pt idx="38">
                  <c:v>12.544058496944892</c:v>
                </c:pt>
                <c:pt idx="39">
                  <c:v>12.883558007012995</c:v>
                </c:pt>
                <c:pt idx="40">
                  <c:v>13.227978646945484</c:v>
                </c:pt>
                <c:pt idx="41">
                  <c:v>13.577595163250846</c:v>
                </c:pt>
                <c:pt idx="42">
                  <c:v>13.932688906591515</c:v>
                </c:pt>
                <c:pt idx="43">
                  <c:v>14.293549033823519</c:v>
                </c:pt>
                <c:pt idx="44">
                  <c:v>14.660473717268342</c:v>
                </c:pt>
                <c:pt idx="45">
                  <c:v>15.033771376025186</c:v>
                </c:pt>
                <c:pt idx="47">
                  <c:v>15.413761943512021</c:v>
                </c:pt>
                <c:pt idx="48">
                  <c:v>15.800778185179471</c:v>
                </c:pt>
                <c:pt idx="49">
                  <c:v>16.195167080433603</c:v>
                </c:pt>
                <c:pt idx="50">
                  <c:v>16.597291283210687</c:v>
                </c:pt>
                <c:pt idx="51">
                  <c:v>17.007530676358581</c:v>
                </c:pt>
                <c:pt idx="52">
                  <c:v>17.426284035999032</c:v>
                </c:pt>
                <c:pt idx="53">
                  <c:v>17.853970823385637</c:v>
                </c:pt>
                <c:pt idx="54">
                  <c:v>18.291033123458028</c:v>
                </c:pt>
                <c:pt idx="55">
                  <c:v>18.737937751359858</c:v>
                </c:pt>
                <c:pt idx="56">
                  <c:v>19.195178550683671</c:v>
                </c:pt>
                <c:pt idx="57">
                  <c:v>19.663278910191973</c:v>
                </c:pt>
                <c:pt idx="58">
                  <c:v>20.142794529318373</c:v>
                </c:pt>
                <c:pt idx="59">
                  <c:v>20.63431646697304</c:v>
                </c:pt>
                <c:pt idx="60">
                  <c:v>21.138474513182828</c:v>
                </c:pt>
                <c:pt idx="61">
                  <c:v>21.655940929037616</c:v>
                </c:pt>
                <c:pt idx="62">
                  <c:v>22.18743460747422</c:v>
                </c:pt>
                <c:pt idx="63">
                  <c:v>22.733725715835877</c:v>
                </c:pt>
                <c:pt idx="64">
                  <c:v>23.295640891180728</c:v>
                </c:pt>
                <c:pt idx="65">
                  <c:v>23.874069071329917</c:v>
                </c:pt>
                <c:pt idx="66">
                  <c:v>24.469968059083211</c:v>
                </c:pt>
                <c:pt idx="67">
                  <c:v>25.084371934441837</c:v>
                </c:pt>
                <c:pt idx="68">
                  <c:v>25.718399450758877</c:v>
                </c:pt>
                <c:pt idx="69">
                  <c:v>26.373263576372562</c:v>
                </c:pt>
                <c:pt idx="70">
                  <c:v>27.050282374591823</c:v>
                </c:pt>
                <c:pt idx="71">
                  <c:v>27.750891453341794</c:v>
                </c:pt>
                <c:pt idx="72">
                  <c:v>28.476658263202118</c:v>
                </c:pt>
                <c:pt idx="73">
                  <c:v>29.229298581403576</c:v>
                </c:pt>
                <c:pt idx="74">
                  <c:v>30.01069559274972</c:v>
                </c:pt>
                <c:pt idx="75">
                  <c:v>30.822922070569742</c:v>
                </c:pt>
                <c:pt idx="76">
                  <c:v>31.668266277210293</c:v>
                </c:pt>
                <c:pt idx="77">
                  <c:v>32.549262351636514</c:v>
                </c:pt>
                <c:pt idx="78">
                  <c:v>33.468726141408773</c:v>
                </c:pt>
                <c:pt idx="79">
                  <c:v>34.429797681220684</c:v>
                </c:pt>
                <c:pt idx="80">
                  <c:v>35.435991838993274</c:v>
                </c:pt>
                <c:pt idx="81">
                  <c:v>36.491259069158673</c:v>
                </c:pt>
                <c:pt idx="82">
                  <c:v>37.600058767649024</c:v>
                </c:pt>
                <c:pt idx="83">
                  <c:v>38.76744846597321</c:v>
                </c:pt>
                <c:pt idx="84">
                  <c:v>39.999193107059092</c:v>
                </c:pt>
                <c:pt idx="85">
                  <c:v>41.301900021821531</c:v>
                </c:pt>
                <c:pt idx="86">
                  <c:v>42.683187133351062</c:v>
                </c:pt>
                <c:pt idx="87">
                  <c:v>44.1518945967238</c:v>
                </c:pt>
                <c:pt idx="88">
                  <c:v>45.71835390610638</c:v>
                </c:pt>
                <c:pt idx="89">
                  <c:v>47.394734042657447</c:v>
                </c:pt>
                <c:pt idx="90">
                  <c:v>49.195492412112891</c:v>
                </c:pt>
                <c:pt idx="91">
                  <c:v>51.137970618795862</c:v>
                </c:pt>
                <c:pt idx="92">
                  <c:v>53.243194025579285</c:v>
                </c:pt>
                <c:pt idx="93">
                  <c:v>55.536963811597346</c:v>
                </c:pt>
                <c:pt idx="94">
                  <c:v>58.051378380663294</c:v>
                </c:pt>
                <c:pt idx="95">
                  <c:v>60.827001250733375</c:v>
                </c:pt>
                <c:pt idx="96">
                  <c:v>63.91603114645833</c:v>
                </c:pt>
                <c:pt idx="97">
                  <c:v>67.38707902533092</c:v>
                </c:pt>
              </c:numCache>
            </c:numRef>
          </c:xVal>
          <c:yVal>
            <c:numRef>
              <c:f>'1. Lognormal MWe from Area'!$Q$37:$Q$134</c:f>
              <c:numCache>
                <c:formatCode>General</c:formatCode>
                <c:ptCount val="98"/>
                <c:pt idx="0">
                  <c:v>99.9</c:v>
                </c:pt>
                <c:pt idx="1">
                  <c:v>99</c:v>
                </c:pt>
                <c:pt idx="2">
                  <c:v>98</c:v>
                </c:pt>
                <c:pt idx="3">
                  <c:v>97</c:v>
                </c:pt>
                <c:pt idx="4">
                  <c:v>96</c:v>
                </c:pt>
                <c:pt idx="5">
                  <c:v>95</c:v>
                </c:pt>
                <c:pt idx="6">
                  <c:v>94</c:v>
                </c:pt>
                <c:pt idx="7">
                  <c:v>93</c:v>
                </c:pt>
                <c:pt idx="8">
                  <c:v>92</c:v>
                </c:pt>
                <c:pt idx="9">
                  <c:v>91</c:v>
                </c:pt>
                <c:pt idx="10">
                  <c:v>90</c:v>
                </c:pt>
                <c:pt idx="11">
                  <c:v>89</c:v>
                </c:pt>
                <c:pt idx="12">
                  <c:v>88</c:v>
                </c:pt>
                <c:pt idx="13">
                  <c:v>87</c:v>
                </c:pt>
                <c:pt idx="14">
                  <c:v>86</c:v>
                </c:pt>
                <c:pt idx="15">
                  <c:v>85</c:v>
                </c:pt>
                <c:pt idx="16">
                  <c:v>84</c:v>
                </c:pt>
                <c:pt idx="17">
                  <c:v>83</c:v>
                </c:pt>
                <c:pt idx="18">
                  <c:v>82</c:v>
                </c:pt>
                <c:pt idx="19">
                  <c:v>81</c:v>
                </c:pt>
                <c:pt idx="20">
                  <c:v>80</c:v>
                </c:pt>
                <c:pt idx="21">
                  <c:v>79</c:v>
                </c:pt>
                <c:pt idx="22">
                  <c:v>78</c:v>
                </c:pt>
                <c:pt idx="23">
                  <c:v>77</c:v>
                </c:pt>
                <c:pt idx="24">
                  <c:v>76</c:v>
                </c:pt>
                <c:pt idx="25">
                  <c:v>75</c:v>
                </c:pt>
                <c:pt idx="26">
                  <c:v>74</c:v>
                </c:pt>
                <c:pt idx="30">
                  <c:v>100</c:v>
                </c:pt>
                <c:pt idx="34">
                  <c:v>72</c:v>
                </c:pt>
                <c:pt idx="35">
                  <c:v>71</c:v>
                </c:pt>
                <c:pt idx="36">
                  <c:v>70</c:v>
                </c:pt>
                <c:pt idx="37">
                  <c:v>69</c:v>
                </c:pt>
                <c:pt idx="38">
                  <c:v>68</c:v>
                </c:pt>
                <c:pt idx="39">
                  <c:v>67</c:v>
                </c:pt>
                <c:pt idx="40">
                  <c:v>66</c:v>
                </c:pt>
                <c:pt idx="41">
                  <c:v>65</c:v>
                </c:pt>
                <c:pt idx="42">
                  <c:v>64</c:v>
                </c:pt>
                <c:pt idx="43">
                  <c:v>63</c:v>
                </c:pt>
                <c:pt idx="44">
                  <c:v>62</c:v>
                </c:pt>
                <c:pt idx="45">
                  <c:v>61</c:v>
                </c:pt>
                <c:pt idx="47">
                  <c:v>60</c:v>
                </c:pt>
                <c:pt idx="48">
                  <c:v>59</c:v>
                </c:pt>
                <c:pt idx="49">
                  <c:v>58</c:v>
                </c:pt>
                <c:pt idx="50">
                  <c:v>57</c:v>
                </c:pt>
                <c:pt idx="51">
                  <c:v>56</c:v>
                </c:pt>
                <c:pt idx="52">
                  <c:v>55</c:v>
                </c:pt>
                <c:pt idx="53">
                  <c:v>54</c:v>
                </c:pt>
                <c:pt idx="54">
                  <c:v>53</c:v>
                </c:pt>
                <c:pt idx="55">
                  <c:v>52</c:v>
                </c:pt>
                <c:pt idx="56">
                  <c:v>51</c:v>
                </c:pt>
                <c:pt idx="57">
                  <c:v>50</c:v>
                </c:pt>
                <c:pt idx="58">
                  <c:v>49</c:v>
                </c:pt>
                <c:pt idx="59">
                  <c:v>48</c:v>
                </c:pt>
                <c:pt idx="60">
                  <c:v>47</c:v>
                </c:pt>
                <c:pt idx="61">
                  <c:v>46</c:v>
                </c:pt>
                <c:pt idx="62">
                  <c:v>45</c:v>
                </c:pt>
                <c:pt idx="63">
                  <c:v>44</c:v>
                </c:pt>
                <c:pt idx="64">
                  <c:v>43</c:v>
                </c:pt>
                <c:pt idx="65">
                  <c:v>42</c:v>
                </c:pt>
                <c:pt idx="66">
                  <c:v>41</c:v>
                </c:pt>
                <c:pt idx="67">
                  <c:v>40</c:v>
                </c:pt>
                <c:pt idx="68">
                  <c:v>39</c:v>
                </c:pt>
                <c:pt idx="69">
                  <c:v>38</c:v>
                </c:pt>
                <c:pt idx="70">
                  <c:v>37</c:v>
                </c:pt>
                <c:pt idx="71">
                  <c:v>36</c:v>
                </c:pt>
                <c:pt idx="72">
                  <c:v>35</c:v>
                </c:pt>
                <c:pt idx="73">
                  <c:v>34</c:v>
                </c:pt>
                <c:pt idx="74">
                  <c:v>33</c:v>
                </c:pt>
                <c:pt idx="75">
                  <c:v>32</c:v>
                </c:pt>
                <c:pt idx="76">
                  <c:v>31</c:v>
                </c:pt>
                <c:pt idx="77">
                  <c:v>30</c:v>
                </c:pt>
                <c:pt idx="78">
                  <c:v>29</c:v>
                </c:pt>
                <c:pt idx="79">
                  <c:v>28</c:v>
                </c:pt>
                <c:pt idx="80">
                  <c:v>27</c:v>
                </c:pt>
                <c:pt idx="81">
                  <c:v>26</c:v>
                </c:pt>
                <c:pt idx="82">
                  <c:v>25</c:v>
                </c:pt>
                <c:pt idx="83">
                  <c:v>24</c:v>
                </c:pt>
                <c:pt idx="84">
                  <c:v>23</c:v>
                </c:pt>
                <c:pt idx="85">
                  <c:v>22</c:v>
                </c:pt>
                <c:pt idx="86">
                  <c:v>21</c:v>
                </c:pt>
                <c:pt idx="87">
                  <c:v>20</c:v>
                </c:pt>
                <c:pt idx="88">
                  <c:v>19</c:v>
                </c:pt>
                <c:pt idx="89">
                  <c:v>18</c:v>
                </c:pt>
                <c:pt idx="90">
                  <c:v>17</c:v>
                </c:pt>
                <c:pt idx="91">
                  <c:v>16</c:v>
                </c:pt>
                <c:pt idx="92">
                  <c:v>15</c:v>
                </c:pt>
                <c:pt idx="93">
                  <c:v>14</c:v>
                </c:pt>
                <c:pt idx="94">
                  <c:v>13</c:v>
                </c:pt>
                <c:pt idx="95">
                  <c:v>12</c:v>
                </c:pt>
                <c:pt idx="96">
                  <c:v>11</c:v>
                </c:pt>
                <c:pt idx="97">
                  <c:v>10</c:v>
                </c:pt>
              </c:numCache>
            </c:numRef>
          </c:yVal>
          <c:smooth val="0"/>
          <c:extLst>
            <c:ext xmlns:c16="http://schemas.microsoft.com/office/drawing/2014/chart" uri="{C3380CC4-5D6E-409C-BE32-E72D297353CC}">
              <c16:uniqueId val="{00000000-619D-4C61-BEF2-82E5A520A256}"/>
            </c:ext>
          </c:extLst>
        </c:ser>
        <c:dLbls>
          <c:showLegendKey val="0"/>
          <c:showVal val="0"/>
          <c:showCatName val="0"/>
          <c:showSerName val="0"/>
          <c:showPercent val="0"/>
          <c:showBubbleSize val="0"/>
        </c:dLbls>
        <c:axId val="43675648"/>
        <c:axId val="43677568"/>
      </c:scatterChart>
      <c:valAx>
        <c:axId val="43675648"/>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NZ"/>
                  <a:t>Expected Power Capacity (MWe potential reserves)</a:t>
                </a:r>
              </a:p>
            </c:rich>
          </c:tx>
          <c:layout>
            <c:manualLayout>
              <c:xMode val="edge"/>
              <c:yMode val="edge"/>
              <c:x val="0.22869946134781935"/>
              <c:y val="0.9283819543048923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3677568"/>
        <c:crossesAt val="10"/>
        <c:crossBetween val="midCat"/>
      </c:valAx>
      <c:valAx>
        <c:axId val="43677568"/>
        <c:scaling>
          <c:orientation val="minMax"/>
          <c:max val="100"/>
          <c:min val="1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NZ"/>
                  <a:t>Cumulative Confidence %</a:t>
                </a:r>
              </a:p>
            </c:rich>
          </c:tx>
          <c:layout>
            <c:manualLayout>
              <c:xMode val="edge"/>
              <c:yMode val="edge"/>
              <c:x val="3.587432668477418E-2"/>
              <c:y val="0.318302514952024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3675648"/>
        <c:crosses val="autoZero"/>
        <c:crossBetween val="midCat"/>
        <c:majorUnit val="10"/>
        <c:min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orientation="landscape" horizontalDpi="-3"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0" i="0" u="none" strike="noStrike" baseline="0">
                <a:solidFill>
                  <a:srgbClr val="000000"/>
                </a:solidFill>
                <a:latin typeface="Arial"/>
                <a:ea typeface="Arial"/>
                <a:cs typeface="Arial"/>
              </a:defRPr>
            </a:pPr>
            <a:r>
              <a:rPr lang="en-NZ" sz="975" b="1" i="0" u="none" strike="noStrike" baseline="0">
                <a:solidFill>
                  <a:srgbClr val="000000"/>
                </a:solidFill>
                <a:latin typeface="Arial"/>
                <a:cs typeface="Arial"/>
              </a:rPr>
              <a:t>Cumulative Confidence in Developed Reservoir Size</a:t>
            </a:r>
          </a:p>
          <a:p>
            <a:pPr>
              <a:defRPr sz="825" b="0" i="0" u="none" strike="noStrike" baseline="0">
                <a:solidFill>
                  <a:srgbClr val="000000"/>
                </a:solidFill>
                <a:latin typeface="Arial"/>
                <a:ea typeface="Arial"/>
                <a:cs typeface="Arial"/>
              </a:defRPr>
            </a:pPr>
            <a:r>
              <a:rPr lang="en-NZ" sz="800" b="0" i="0" u="none" strike="noStrike" baseline="0">
                <a:solidFill>
                  <a:srgbClr val="000000"/>
                </a:solidFill>
                <a:latin typeface="Arial"/>
                <a:cs typeface="Arial"/>
              </a:rPr>
              <a:t>Assuming exploration success </a:t>
            </a:r>
          </a:p>
          <a:p>
            <a:pPr>
              <a:defRPr sz="825" b="0" i="0" u="none" strike="noStrike" baseline="0">
                <a:solidFill>
                  <a:srgbClr val="000000"/>
                </a:solidFill>
                <a:latin typeface="Arial"/>
                <a:ea typeface="Arial"/>
                <a:cs typeface="Arial"/>
              </a:defRPr>
            </a:pPr>
            <a:r>
              <a:rPr lang="en-NZ" sz="800" b="0" i="0" u="none" strike="noStrike" baseline="0">
                <a:solidFill>
                  <a:srgbClr val="000000"/>
                </a:solidFill>
                <a:latin typeface="Arial"/>
                <a:cs typeface="Arial"/>
              </a:rPr>
              <a:t>Based on lognormal area and power density distributions</a:t>
            </a:r>
          </a:p>
        </c:rich>
      </c:tx>
      <c:layout>
        <c:manualLayout>
          <c:xMode val="edge"/>
          <c:yMode val="edge"/>
          <c:x val="0.12500023434570678"/>
          <c:y val="2.1163961647651185E-2"/>
        </c:manualLayout>
      </c:layout>
      <c:overlay val="0"/>
      <c:spPr>
        <a:noFill/>
        <a:ln w="25400">
          <a:noFill/>
        </a:ln>
      </c:spPr>
    </c:title>
    <c:autoTitleDeleted val="0"/>
    <c:plotArea>
      <c:layout>
        <c:manualLayout>
          <c:layoutTarget val="inner"/>
          <c:xMode val="edge"/>
          <c:yMode val="edge"/>
          <c:x val="0.14821467341310363"/>
          <c:y val="0.1693880504913588"/>
          <c:w val="0.80000209263940281"/>
          <c:h val="0.69183794116350161"/>
        </c:manualLayout>
      </c:layout>
      <c:scatterChart>
        <c:scatterStyle val="lineMarker"/>
        <c:varyColors val="0"/>
        <c:ser>
          <c:idx val="0"/>
          <c:order val="0"/>
          <c:tx>
            <c:v>Dveloped MW</c:v>
          </c:tx>
          <c:spPr>
            <a:ln w="25400">
              <a:solidFill>
                <a:srgbClr val="FF0000"/>
              </a:solidFill>
              <a:prstDash val="solid"/>
            </a:ln>
          </c:spPr>
          <c:marker>
            <c:symbol val="none"/>
          </c:marker>
          <c:xVal>
            <c:numRef>
              <c:f>'1. Lognormal MWe from Area'!$R$37:$R$134</c:f>
              <c:numCache>
                <c:formatCode>General</c:formatCode>
                <c:ptCount val="98"/>
                <c:pt idx="0">
                  <c:v>2.5132753913110153</c:v>
                </c:pt>
                <c:pt idx="1">
                  <c:v>5.2370422542891388</c:v>
                </c:pt>
                <c:pt idx="2">
                  <c:v>6.805642198285387</c:v>
                </c:pt>
                <c:pt idx="3">
                  <c:v>8.0363862172287739</c:v>
                </c:pt>
                <c:pt idx="4">
                  <c:v>9.1068418481343745</c:v>
                </c:pt>
                <c:pt idx="5">
                  <c:v>10.08189906278824</c:v>
                </c:pt>
                <c:pt idx="6">
                  <c:v>10.993647957545489</c:v>
                </c:pt>
                <c:pt idx="7">
                  <c:v>11.860669785391494</c:v>
                </c:pt>
                <c:pt idx="8">
                  <c:v>12.694850175232466</c:v>
                </c:pt>
                <c:pt idx="9">
                  <c:v>13.504339622329141</c:v>
                </c:pt>
                <c:pt idx="10">
                  <c:v>14.295025306526417</c:v>
                </c:pt>
                <c:pt idx="11">
                  <c:v>15.071336294218234</c:v>
                </c:pt>
                <c:pt idx="12">
                  <c:v>15.836716921638263</c:v>
                </c:pt>
                <c:pt idx="13">
                  <c:v>16.59392122755991</c:v>
                </c:pt>
                <c:pt idx="14">
                  <c:v>17.345204596849833</c:v>
                </c:pt>
                <c:pt idx="15">
                  <c:v>18.092453272754625</c:v>
                </c:pt>
                <c:pt idx="16">
                  <c:v>18.837274697129626</c:v>
                </c:pt>
                <c:pt idx="17">
                  <c:v>19.581062263395861</c:v>
                </c:pt>
                <c:pt idx="18">
                  <c:v>20.325042844063322</c:v>
                </c:pt>
                <c:pt idx="19">
                  <c:v>21.070312417161144</c:v>
                </c:pt>
                <c:pt idx="20">
                  <c:v>21.817863283073731</c:v>
                </c:pt>
                <c:pt idx="21">
                  <c:v>22.568605221312392</c:v>
                </c:pt>
                <c:pt idx="22">
                  <c:v>23.323382204960282</c:v>
                </c:pt>
                <c:pt idx="23">
                  <c:v>24.082985809781174</c:v>
                </c:pt>
                <c:pt idx="24">
                  <c:v>24.848166132096736</c:v>
                </c:pt>
                <c:pt idx="25">
                  <c:v>25.619640808349519</c:v>
                </c:pt>
                <c:pt idx="26">
                  <c:v>26.398102575039761</c:v>
                </c:pt>
                <c:pt idx="30">
                  <c:v>0</c:v>
                </c:pt>
                <c:pt idx="34">
                  <c:v>27.978671525142939</c:v>
                </c:pt>
                <c:pt idx="35">
                  <c:v>28.782093346784713</c:v>
                </c:pt>
                <c:pt idx="36">
                  <c:v>29.595140731401802</c:v>
                </c:pt>
                <c:pt idx="37">
                  <c:v>30.41846344121555</c:v>
                </c:pt>
                <c:pt idx="38">
                  <c:v>31.252715034431368</c:v>
                </c:pt>
                <c:pt idx="39">
                  <c:v>32.098556230490175</c:v>
                </c:pt>
                <c:pt idx="40">
                  <c:v>32.956658105127332</c:v>
                </c:pt>
                <c:pt idx="41">
                  <c:v>33.827705171599739</c:v>
                </c:pt>
                <c:pt idx="42">
                  <c:v>34.712398396989137</c:v>
                </c:pt>
                <c:pt idx="43">
                  <c:v>35.611458197006584</c:v>
                </c:pt>
                <c:pt idx="44">
                  <c:v>36.525627448815548</c:v>
                </c:pt>
                <c:pt idx="45">
                  <c:v>37.4556745587672</c:v>
                </c:pt>
                <c:pt idx="47">
                  <c:v>38.402396620397433</c:v>
                </c:pt>
                <c:pt idx="48">
                  <c:v>39.366622697426273</c:v>
                </c:pt>
                <c:pt idx="49">
                  <c:v>40.349217266729617</c:v>
                </c:pt>
                <c:pt idx="50">
                  <c:v>41.351083857267355</c:v>
                </c:pt>
                <c:pt idx="51">
                  <c:v>42.373168922724581</c:v>
                </c:pt>
                <c:pt idx="52">
                  <c:v>43.416465988163267</c:v>
                </c:pt>
                <c:pt idx="53">
                  <c:v>44.482020114321109</c:v>
                </c:pt>
                <c:pt idx="54">
                  <c:v>45.570932727394649</c:v>
                </c:pt>
                <c:pt idx="55">
                  <c:v>46.684366867293321</c:v>
                </c:pt>
                <c:pt idx="56">
                  <c:v>47.823552913568783</c:v>
                </c:pt>
                <c:pt idx="57">
                  <c:v>48.98979485566359</c:v>
                </c:pt>
                <c:pt idx="58">
                  <c:v>50.184477182979435</c:v>
                </c:pt>
                <c:pt idx="59">
                  <c:v>51.409072480779912</c:v>
                </c:pt>
                <c:pt idx="60">
                  <c:v>52.665149830415018</c:v>
                </c:pt>
                <c:pt idx="61">
                  <c:v>53.954384127156935</c:v>
                </c:pt>
                <c:pt idx="62">
                  <c:v>55.278566446525609</c:v>
                </c:pt>
                <c:pt idx="63">
                  <c:v>56.63961561092713</c:v>
                </c:pt>
                <c:pt idx="64">
                  <c:v>58.039591133430648</c:v>
                </c:pt>
                <c:pt idx="65">
                  <c:v>59.480707745449799</c:v>
                </c:pt>
                <c:pt idx="66">
                  <c:v>60.965351751063743</c:v>
                </c:pt>
                <c:pt idx="67">
                  <c:v>62.496099494093642</c:v>
                </c:pt>
                <c:pt idx="68">
                  <c:v>64.075738276571471</c:v>
                </c:pt>
                <c:pt idx="69">
                  <c:v>65.707290131105722</c:v>
                </c:pt>
                <c:pt idx="70">
                  <c:v>67.394038927665704</c:v>
                </c:pt>
                <c:pt idx="71">
                  <c:v>69.139561391072661</c:v>
                </c:pt>
                <c:pt idx="72">
                  <c:v>70.947762723642768</c:v>
                </c:pt>
                <c:pt idx="73">
                  <c:v>72.822917674004543</c:v>
                </c:pt>
                <c:pt idx="74">
                  <c:v>74.769718075988081</c:v>
                </c:pt>
                <c:pt idx="75">
                  <c:v>76.793328111042641</c:v>
                </c:pt>
                <c:pt idx="76">
                  <c:v>78.899448837646318</c:v>
                </c:pt>
                <c:pt idx="77">
                  <c:v>81.094393900059828</c:v>
                </c:pt>
                <c:pt idx="78">
                  <c:v>83.385178801392144</c:v>
                </c:pt>
                <c:pt idx="79">
                  <c:v>85.779626736146199</c:v>
                </c:pt>
                <c:pt idx="80">
                  <c:v>88.286494771705435</c:v>
                </c:pt>
                <c:pt idx="81">
                  <c:v>90.915625211233063</c:v>
                </c:pt>
                <c:pt idx="82">
                  <c:v>93.678128352909425</c:v>
                </c:pt>
                <c:pt idx="83">
                  <c:v>96.586604711238138</c:v>
                </c:pt>
                <c:pt idx="84">
                  <c:v>99.655417270779409</c:v>
                </c:pt>
                <c:pt idx="85">
                  <c:v>102.90102777158899</c:v>
                </c:pt>
                <c:pt idx="86">
                  <c:v>106.34241577913686</c:v>
                </c:pt>
                <c:pt idx="87">
                  <c:v>110.0016059712832</c:v>
                </c:pt>
                <c:pt idx="88">
                  <c:v>113.90433860132389</c:v>
                </c:pt>
                <c:pt idx="89">
                  <c:v>118.08093190322626</c:v>
                </c:pt>
                <c:pt idx="90">
                  <c:v>122.56740557362289</c:v>
                </c:pt>
                <c:pt idx="91">
                  <c:v>127.40696510444312</c:v>
                </c:pt>
                <c:pt idx="92">
                  <c:v>132.6519938351399</c:v>
                </c:pt>
                <c:pt idx="93">
                  <c:v>138.3667737442475</c:v>
                </c:pt>
                <c:pt idx="94">
                  <c:v>144.63127594061237</c:v>
                </c:pt>
                <c:pt idx="95">
                  <c:v>151.54656182057519</c:v>
                </c:pt>
                <c:pt idx="96">
                  <c:v>159.24268114969374</c:v>
                </c:pt>
                <c:pt idx="97">
                  <c:v>167.89057371617793</c:v>
                </c:pt>
              </c:numCache>
            </c:numRef>
          </c:xVal>
          <c:yVal>
            <c:numRef>
              <c:f>'1. Lognormal MWe from Area'!$Q$37:$Q$134</c:f>
              <c:numCache>
                <c:formatCode>General</c:formatCode>
                <c:ptCount val="98"/>
                <c:pt idx="0">
                  <c:v>99.9</c:v>
                </c:pt>
                <c:pt idx="1">
                  <c:v>99</c:v>
                </c:pt>
                <c:pt idx="2">
                  <c:v>98</c:v>
                </c:pt>
                <c:pt idx="3">
                  <c:v>97</c:v>
                </c:pt>
                <c:pt idx="4">
                  <c:v>96</c:v>
                </c:pt>
                <c:pt idx="5">
                  <c:v>95</c:v>
                </c:pt>
                <c:pt idx="6">
                  <c:v>94</c:v>
                </c:pt>
                <c:pt idx="7">
                  <c:v>93</c:v>
                </c:pt>
                <c:pt idx="8">
                  <c:v>92</c:v>
                </c:pt>
                <c:pt idx="9">
                  <c:v>91</c:v>
                </c:pt>
                <c:pt idx="10">
                  <c:v>90</c:v>
                </c:pt>
                <c:pt idx="11">
                  <c:v>89</c:v>
                </c:pt>
                <c:pt idx="12">
                  <c:v>88</c:v>
                </c:pt>
                <c:pt idx="13">
                  <c:v>87</c:v>
                </c:pt>
                <c:pt idx="14">
                  <c:v>86</c:v>
                </c:pt>
                <c:pt idx="15">
                  <c:v>85</c:v>
                </c:pt>
                <c:pt idx="16">
                  <c:v>84</c:v>
                </c:pt>
                <c:pt idx="17">
                  <c:v>83</c:v>
                </c:pt>
                <c:pt idx="18">
                  <c:v>82</c:v>
                </c:pt>
                <c:pt idx="19">
                  <c:v>81</c:v>
                </c:pt>
                <c:pt idx="20">
                  <c:v>80</c:v>
                </c:pt>
                <c:pt idx="21">
                  <c:v>79</c:v>
                </c:pt>
                <c:pt idx="22">
                  <c:v>78</c:v>
                </c:pt>
                <c:pt idx="23">
                  <c:v>77</c:v>
                </c:pt>
                <c:pt idx="24">
                  <c:v>76</c:v>
                </c:pt>
                <c:pt idx="25">
                  <c:v>75</c:v>
                </c:pt>
                <c:pt idx="26">
                  <c:v>74</c:v>
                </c:pt>
                <c:pt idx="30">
                  <c:v>100</c:v>
                </c:pt>
                <c:pt idx="34">
                  <c:v>72</c:v>
                </c:pt>
                <c:pt idx="35">
                  <c:v>71</c:v>
                </c:pt>
                <c:pt idx="36">
                  <c:v>70</c:v>
                </c:pt>
                <c:pt idx="37">
                  <c:v>69</c:v>
                </c:pt>
                <c:pt idx="38">
                  <c:v>68</c:v>
                </c:pt>
                <c:pt idx="39">
                  <c:v>67</c:v>
                </c:pt>
                <c:pt idx="40">
                  <c:v>66</c:v>
                </c:pt>
                <c:pt idx="41">
                  <c:v>65</c:v>
                </c:pt>
                <c:pt idx="42">
                  <c:v>64</c:v>
                </c:pt>
                <c:pt idx="43">
                  <c:v>63</c:v>
                </c:pt>
                <c:pt idx="44">
                  <c:v>62</c:v>
                </c:pt>
                <c:pt idx="45">
                  <c:v>61</c:v>
                </c:pt>
                <c:pt idx="47">
                  <c:v>60</c:v>
                </c:pt>
                <c:pt idx="48">
                  <c:v>59</c:v>
                </c:pt>
                <c:pt idx="49">
                  <c:v>58</c:v>
                </c:pt>
                <c:pt idx="50">
                  <c:v>57</c:v>
                </c:pt>
                <c:pt idx="51">
                  <c:v>56</c:v>
                </c:pt>
                <c:pt idx="52">
                  <c:v>55</c:v>
                </c:pt>
                <c:pt idx="53">
                  <c:v>54</c:v>
                </c:pt>
                <c:pt idx="54">
                  <c:v>53</c:v>
                </c:pt>
                <c:pt idx="55">
                  <c:v>52</c:v>
                </c:pt>
                <c:pt idx="56">
                  <c:v>51</c:v>
                </c:pt>
                <c:pt idx="57">
                  <c:v>50</c:v>
                </c:pt>
                <c:pt idx="58">
                  <c:v>49</c:v>
                </c:pt>
                <c:pt idx="59">
                  <c:v>48</c:v>
                </c:pt>
                <c:pt idx="60">
                  <c:v>47</c:v>
                </c:pt>
                <c:pt idx="61">
                  <c:v>46</c:v>
                </c:pt>
                <c:pt idx="62">
                  <c:v>45</c:v>
                </c:pt>
                <c:pt idx="63">
                  <c:v>44</c:v>
                </c:pt>
                <c:pt idx="64">
                  <c:v>43</c:v>
                </c:pt>
                <c:pt idx="65">
                  <c:v>42</c:v>
                </c:pt>
                <c:pt idx="66">
                  <c:v>41</c:v>
                </c:pt>
                <c:pt idx="67">
                  <c:v>40</c:v>
                </c:pt>
                <c:pt idx="68">
                  <c:v>39</c:v>
                </c:pt>
                <c:pt idx="69">
                  <c:v>38</c:v>
                </c:pt>
                <c:pt idx="70">
                  <c:v>37</c:v>
                </c:pt>
                <c:pt idx="71">
                  <c:v>36</c:v>
                </c:pt>
                <c:pt idx="72">
                  <c:v>35</c:v>
                </c:pt>
                <c:pt idx="73">
                  <c:v>34</c:v>
                </c:pt>
                <c:pt idx="74">
                  <c:v>33</c:v>
                </c:pt>
                <c:pt idx="75">
                  <c:v>32</c:v>
                </c:pt>
                <c:pt idx="76">
                  <c:v>31</c:v>
                </c:pt>
                <c:pt idx="77">
                  <c:v>30</c:v>
                </c:pt>
                <c:pt idx="78">
                  <c:v>29</c:v>
                </c:pt>
                <c:pt idx="79">
                  <c:v>28</c:v>
                </c:pt>
                <c:pt idx="80">
                  <c:v>27</c:v>
                </c:pt>
                <c:pt idx="81">
                  <c:v>26</c:v>
                </c:pt>
                <c:pt idx="82">
                  <c:v>25</c:v>
                </c:pt>
                <c:pt idx="83">
                  <c:v>24</c:v>
                </c:pt>
                <c:pt idx="84">
                  <c:v>23</c:v>
                </c:pt>
                <c:pt idx="85">
                  <c:v>22</c:v>
                </c:pt>
                <c:pt idx="86">
                  <c:v>21</c:v>
                </c:pt>
                <c:pt idx="87">
                  <c:v>20</c:v>
                </c:pt>
                <c:pt idx="88">
                  <c:v>19</c:v>
                </c:pt>
                <c:pt idx="89">
                  <c:v>18</c:v>
                </c:pt>
                <c:pt idx="90">
                  <c:v>17</c:v>
                </c:pt>
                <c:pt idx="91">
                  <c:v>16</c:v>
                </c:pt>
                <c:pt idx="92">
                  <c:v>15</c:v>
                </c:pt>
                <c:pt idx="93">
                  <c:v>14</c:v>
                </c:pt>
                <c:pt idx="94">
                  <c:v>13</c:v>
                </c:pt>
                <c:pt idx="95">
                  <c:v>12</c:v>
                </c:pt>
                <c:pt idx="96">
                  <c:v>11</c:v>
                </c:pt>
                <c:pt idx="97">
                  <c:v>10</c:v>
                </c:pt>
              </c:numCache>
            </c:numRef>
          </c:yVal>
          <c:smooth val="0"/>
          <c:extLst>
            <c:ext xmlns:c16="http://schemas.microsoft.com/office/drawing/2014/chart" uri="{C3380CC4-5D6E-409C-BE32-E72D297353CC}">
              <c16:uniqueId val="{00000000-AAE7-4603-B959-23A8E1329E5C}"/>
            </c:ext>
          </c:extLst>
        </c:ser>
        <c:dLbls>
          <c:showLegendKey val="0"/>
          <c:showVal val="0"/>
          <c:showCatName val="0"/>
          <c:showSerName val="0"/>
          <c:showPercent val="0"/>
          <c:showBubbleSize val="0"/>
        </c:dLbls>
        <c:axId val="43706240"/>
        <c:axId val="44040192"/>
      </c:scatterChart>
      <c:valAx>
        <c:axId val="43706240"/>
        <c:scaling>
          <c:orientation val="minMax"/>
        </c:scaling>
        <c:delete val="0"/>
        <c:axPos val="b"/>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NZ"/>
                  <a:t>Expected Development Size (MW)</a:t>
                </a:r>
              </a:p>
            </c:rich>
          </c:tx>
          <c:layout>
            <c:manualLayout>
              <c:xMode val="edge"/>
              <c:yMode val="edge"/>
              <c:x val="0.33928618297712787"/>
              <c:y val="0.9206374203224595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44040192"/>
        <c:crossesAt val="10"/>
        <c:crossBetween val="midCat"/>
      </c:valAx>
      <c:valAx>
        <c:axId val="44040192"/>
        <c:scaling>
          <c:orientation val="minMax"/>
          <c:max val="100"/>
          <c:min val="10"/>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NZ"/>
                  <a:t>Cumulative Confidence %</a:t>
                </a:r>
              </a:p>
            </c:rich>
          </c:tx>
          <c:layout>
            <c:manualLayout>
              <c:xMode val="edge"/>
              <c:yMode val="edge"/>
              <c:x val="3.5714285714285712E-2"/>
              <c:y val="0.3174610316567572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43706240"/>
        <c:crosses val="autoZero"/>
        <c:crossBetween val="midCat"/>
        <c:majorUnit val="10"/>
        <c:min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76200</xdr:colOff>
      <xdr:row>37</xdr:row>
      <xdr:rowOff>76200</xdr:rowOff>
    </xdr:from>
    <xdr:to>
      <xdr:col>5</xdr:col>
      <xdr:colOff>552450</xdr:colOff>
      <xdr:row>59</xdr:row>
      <xdr:rowOff>104775</xdr:rowOff>
    </xdr:to>
    <xdr:graphicFrame macro="">
      <xdr:nvGraphicFramePr>
        <xdr:cNvPr id="3133" name="Chart 1">
          <a:extLst>
            <a:ext uri="{FF2B5EF4-FFF2-40B4-BE49-F238E27FC236}">
              <a16:creationId xmlns:a16="http://schemas.microsoft.com/office/drawing/2014/main" id="{00000000-0008-0000-0000-00003D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609600</xdr:colOff>
      <xdr:row>37</xdr:row>
      <xdr:rowOff>76200</xdr:rowOff>
    </xdr:from>
    <xdr:to>
      <xdr:col>12</xdr:col>
      <xdr:colOff>571500</xdr:colOff>
      <xdr:row>59</xdr:row>
      <xdr:rowOff>114300</xdr:rowOff>
    </xdr:to>
    <xdr:graphicFrame macro="">
      <xdr:nvGraphicFramePr>
        <xdr:cNvPr id="3134" name="Chart 2">
          <a:extLst>
            <a:ext uri="{FF2B5EF4-FFF2-40B4-BE49-F238E27FC236}">
              <a16:creationId xmlns:a16="http://schemas.microsoft.com/office/drawing/2014/main" id="{00000000-0008-0000-0000-00003E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11</xdr:row>
      <xdr:rowOff>47625</xdr:rowOff>
    </xdr:from>
    <xdr:to>
      <xdr:col>13</xdr:col>
      <xdr:colOff>2</xdr:colOff>
      <xdr:row>13</xdr:row>
      <xdr:rowOff>123870</xdr:rowOff>
    </xdr:to>
    <xdr:sp macro="" textlink="" fLocksText="0">
      <xdr:nvSpPr>
        <xdr:cNvPr id="1043" name="Text Box 19">
          <a:extLst>
            <a:ext uri="{FF2B5EF4-FFF2-40B4-BE49-F238E27FC236}">
              <a16:creationId xmlns:a16="http://schemas.microsoft.com/office/drawing/2014/main" id="{00000000-0008-0000-0100-000013040000}"/>
            </a:ext>
          </a:extLst>
        </xdr:cNvPr>
        <xdr:cNvSpPr txBox="1">
          <a:spLocks noChangeArrowheads="1"/>
        </xdr:cNvSpPr>
      </xdr:nvSpPr>
      <xdr:spPr bwMode="auto">
        <a:xfrm>
          <a:off x="57150" y="1476375"/>
          <a:ext cx="7572375" cy="2981325"/>
        </a:xfrm>
        <a:prstGeom prst="rect">
          <a:avLst/>
        </a:prstGeom>
        <a:solidFill>
          <a:srgbClr val="FFFFFF"/>
        </a:solidFill>
        <a:ln w="9525">
          <a:solidFill>
            <a:srgbClr val="FF0000"/>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Generic prospect is a wildcat exploration prospect in ??????, located ?? km from ???. </a:t>
          </a:r>
        </a:p>
        <a:p>
          <a:pPr algn="l" rtl="0">
            <a:defRPr sz="1000"/>
          </a:pPr>
          <a:r>
            <a:rPr lang="en-US" sz="800" b="0" i="0" u="none" strike="noStrike" baseline="0">
              <a:solidFill>
                <a:srgbClr val="000000"/>
              </a:solidFill>
              <a:latin typeface="Arial"/>
              <a:cs typeface="Arial"/>
            </a:rPr>
            <a:t>► It is located in the ___  and is associated with _________ thermal manifestations with ________ chemistry type within the, ____ extending ?? km down the ________ slopes of ________ Volcano. ______________ . Because of the ________ water table, probably ??? to ??? m below the surface, there are __________ Cl hot springs. _____________</a:t>
          </a:r>
        </a:p>
        <a:p>
          <a:pPr algn="l" rtl="0">
            <a:defRPr sz="1000"/>
          </a:pPr>
          <a:r>
            <a:rPr lang="en-US" sz="800" b="0" i="0" u="none" strike="noStrike" baseline="0">
              <a:solidFill>
                <a:srgbClr val="000000"/>
              </a:solidFill>
              <a:latin typeface="Arial"/>
              <a:cs typeface="Arial"/>
            </a:rPr>
            <a:t>_________________</a:t>
          </a:r>
        </a:p>
        <a:p>
          <a:pPr algn="l" rtl="0">
            <a:defRPr sz="1000"/>
          </a:pPr>
          <a:r>
            <a:rPr lang="en-US" sz="800" b="0" i="0" u="none" strike="noStrike" baseline="0">
              <a:solidFill>
                <a:srgbClr val="000000"/>
              </a:solidFill>
              <a:latin typeface="Arial"/>
              <a:cs typeface="Arial"/>
            </a:rPr>
            <a:t>► It lies ?? km ?? of the ?? MWe _______ Geothermal Development. ___________________</a:t>
          </a:r>
        </a:p>
        <a:p>
          <a:pPr algn="l" rtl="0">
            <a:defRPr sz="1000"/>
          </a:pPr>
          <a:r>
            <a:rPr lang="en-US" sz="800" b="0" i="0" u="none" strike="noStrike" baseline="0">
              <a:solidFill>
                <a:srgbClr val="000000"/>
              </a:solidFill>
              <a:latin typeface="Arial"/>
              <a:cs typeface="Arial"/>
            </a:rPr>
            <a:t>► The distribution of manifestations over an area of ?? km^2, the area of the clay cap imaged using MT of ?? to ?? km^2, __________________ indicates that the entire prospective area has a ________ potential capacity, perhaps _________ MW. ______________</a:t>
          </a:r>
        </a:p>
        <a:p>
          <a:pPr algn="l" rtl="0">
            <a:defRPr sz="1000"/>
          </a:pPr>
          <a:r>
            <a:rPr lang="en-US" sz="800" b="0" i="0" u="none" strike="noStrike" baseline="0">
              <a:solidFill>
                <a:srgbClr val="000000"/>
              </a:solidFill>
              <a:latin typeface="Arial"/>
              <a:cs typeface="Arial"/>
            </a:rPr>
            <a:t>► Because of _______________, geochemistry of thermal manifestations consists of ___________ indicating a benign resource over ___C and a risk that ________________________</a:t>
          </a:r>
        </a:p>
        <a:p>
          <a:pPr algn="l" rtl="0">
            <a:defRPr sz="1000"/>
          </a:pPr>
          <a:r>
            <a:rPr lang="en-US" sz="800" b="0" i="0" u="none" strike="noStrike" baseline="0">
              <a:solidFill>
                <a:srgbClr val="000000"/>
              </a:solidFill>
              <a:latin typeface="Arial"/>
              <a:cs typeface="Arial"/>
            </a:rPr>
            <a:t>► However, the risk-adjusted potential is significantly reduced by ____________. In particular, the ____________  thermal manifestatuions and the ____________ apex in the low resistivity hydrothermal clay alteration. ______________________</a:t>
          </a:r>
        </a:p>
        <a:p>
          <a:pPr algn="l" rtl="0">
            <a:defRPr sz="1000"/>
          </a:pPr>
          <a:r>
            <a:rPr lang="en-US" sz="800" b="0" i="0" u="none" strike="noStrike" baseline="0">
              <a:solidFill>
                <a:srgbClr val="000000"/>
              </a:solidFill>
              <a:latin typeface="Arial"/>
              <a:cs typeface="Arial"/>
            </a:rPr>
            <a:t>► Given ____________________ and _____________,  P10 area is constrained by ___________, P50 area by ______________, and P90 by _____________________. </a:t>
          </a:r>
        </a:p>
        <a:p>
          <a:pPr algn="l" rtl="0">
            <a:defRPr sz="1000"/>
          </a:pPr>
          <a:r>
            <a:rPr lang="en-US" sz="800" b="0" i="0" u="none" strike="noStrike" baseline="0">
              <a:solidFill>
                <a:srgbClr val="000000"/>
              </a:solidFill>
              <a:latin typeface="Arial"/>
              <a:cs typeface="Arial"/>
            </a:rPr>
            <a:t>► The resistivity signature is ____ and, at ?? km^2, is ____  _________________________</a:t>
          </a:r>
        </a:p>
        <a:p>
          <a:pPr algn="l" rtl="0">
            <a:defRPr sz="1000"/>
          </a:pPr>
          <a:r>
            <a:rPr lang="en-US" sz="800" b="0" i="0" u="none" strike="noStrike" baseline="0">
              <a:solidFill>
                <a:srgbClr val="000000"/>
              </a:solidFill>
              <a:latin typeface="Arial"/>
              <a:cs typeface="Arial"/>
            </a:rPr>
            <a:t>► Analogous fields include ________, with the main difference in an undrilled state being __________ .  </a:t>
          </a:r>
        </a:p>
        <a:p>
          <a:pPr algn="l" rtl="0">
            <a:defRPr sz="1000"/>
          </a:pPr>
          <a:r>
            <a:rPr lang="en-US" sz="800" b="0" i="0" u="none" strike="noStrike" baseline="0">
              <a:solidFill>
                <a:srgbClr val="000000"/>
              </a:solidFill>
              <a:latin typeface="Arial"/>
              <a:cs typeface="Arial"/>
            </a:rPr>
            <a:t>► Comparable undrilled prospects  incluide, ____________. This compares to the type, vigor and geometry of the thermal manifestations at ______________</a:t>
          </a:r>
        </a:p>
        <a:p>
          <a:pPr algn="l" rtl="0">
            <a:defRPr sz="1000"/>
          </a:pPr>
          <a:r>
            <a:rPr lang="en-US" sz="800" b="0" i="0" u="none" strike="noStrike" baseline="0">
              <a:solidFill>
                <a:srgbClr val="000000"/>
              </a:solidFill>
              <a:latin typeface="Arial"/>
              <a:cs typeface="Arial"/>
            </a:rPr>
            <a:t>► Other areas that may provide analogies include _________________________</a:t>
          </a:r>
        </a:p>
        <a:p>
          <a:pPr algn="l" rtl="0">
            <a:defRPr sz="1000"/>
          </a:pPr>
          <a:endParaRPr lang="en-US" sz="800" b="0" i="0" u="none" strike="noStrike" baseline="0">
            <a:solidFill>
              <a:srgbClr val="000000"/>
            </a:solidFill>
            <a:latin typeface="Arial"/>
            <a:cs typeface="Arial"/>
          </a:endParaRPr>
        </a:p>
      </xdr:txBody>
    </xdr:sp>
    <xdr:clientData fLocksWithSheet="0"/>
  </xdr:twoCellAnchor>
  <xdr:twoCellAnchor>
    <xdr:from>
      <xdr:col>1</xdr:col>
      <xdr:colOff>47625</xdr:colOff>
      <xdr:row>20</xdr:row>
      <xdr:rowOff>74295</xdr:rowOff>
    </xdr:from>
    <xdr:to>
      <xdr:col>13</xdr:col>
      <xdr:colOff>0</xdr:colOff>
      <xdr:row>23</xdr:row>
      <xdr:rowOff>2577</xdr:rowOff>
    </xdr:to>
    <xdr:sp macro="" textlink="" fLocksText="0">
      <xdr:nvSpPr>
        <xdr:cNvPr id="1044" name="Text Box 20">
          <a:extLst>
            <a:ext uri="{FF2B5EF4-FFF2-40B4-BE49-F238E27FC236}">
              <a16:creationId xmlns:a16="http://schemas.microsoft.com/office/drawing/2014/main" id="{00000000-0008-0000-0100-000014040000}"/>
            </a:ext>
          </a:extLst>
        </xdr:cNvPr>
        <xdr:cNvSpPr txBox="1">
          <a:spLocks noChangeArrowheads="1"/>
        </xdr:cNvSpPr>
      </xdr:nvSpPr>
      <xdr:spPr bwMode="auto">
        <a:xfrm>
          <a:off x="76200" y="5410200"/>
          <a:ext cx="7553325" cy="1295400"/>
        </a:xfrm>
        <a:prstGeom prst="rect">
          <a:avLst/>
        </a:prstGeom>
        <a:solidFill>
          <a:srgbClr val="FFFFFF"/>
        </a:solidFill>
        <a:ln w="9525">
          <a:solidFill>
            <a:srgbClr val="FF0000"/>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Because of the deep water table, geochemistry of thermal manifestations consists only of relatively low quality gases but it probably does indicate a benign resource over ___C. </a:t>
          </a:r>
        </a:p>
        <a:p>
          <a:pPr algn="l" rtl="0">
            <a:defRPr sz="1000"/>
          </a:pPr>
          <a:r>
            <a:rPr lang="en-US" sz="800" b="0" i="0" u="none" strike="noStrike" baseline="0">
              <a:solidFill>
                <a:srgbClr val="000000"/>
              </a:solidFill>
              <a:latin typeface="Arial"/>
              <a:cs typeface="Arial"/>
            </a:rPr>
            <a:t>► Pchemistry over 98% is indicated by the lack of immature gas features.</a:t>
          </a:r>
        </a:p>
        <a:p>
          <a:pPr algn="l" rtl="0">
            <a:defRPr sz="1000"/>
          </a:pPr>
          <a:r>
            <a:rPr lang="en-US" sz="800" b="0" i="0" u="none" strike="noStrike" baseline="0">
              <a:solidFill>
                <a:srgbClr val="000000"/>
              </a:solidFill>
              <a:latin typeface="Arial"/>
              <a:cs typeface="Arial"/>
            </a:rPr>
            <a:t>► Ppermeability is set to __% because much of the __ MW production from old wells came from the deep reservoir and significant permeability was found in the wells. </a:t>
          </a:r>
        </a:p>
        <a:p>
          <a:pPr algn="l" rtl="0">
            <a:defRPr sz="1000"/>
          </a:pPr>
          <a:r>
            <a:rPr lang="en-US" sz="800" b="0" i="0" u="none" strike="noStrike" baseline="0">
              <a:solidFill>
                <a:srgbClr val="000000"/>
              </a:solidFill>
              <a:latin typeface="Arial"/>
              <a:cs typeface="Arial"/>
            </a:rPr>
            <a:t>► Ptemperature depends on the design temperature and the area that can be targeted. If the area beneath the park cannot be targeted, the likely temperature is lower, perhaps with a model like the &lt;180C Long Valley outflow development being more likely than a &gt;240C development. </a:t>
          </a:r>
        </a:p>
        <a:p>
          <a:pPr algn="l" rtl="0">
            <a:defRPr sz="1000"/>
          </a:pPr>
          <a:r>
            <a:rPr lang="en-US" sz="800" b="0" i="0" u="none" strike="noStrike" baseline="0">
              <a:solidFill>
                <a:srgbClr val="000000"/>
              </a:solidFill>
              <a:latin typeface="Arial"/>
              <a:cs typeface="Arial"/>
            </a:rPr>
            <a:t>► </a:t>
          </a:r>
        </a:p>
        <a:p>
          <a:pPr algn="l" rtl="0">
            <a:defRPr sz="1000"/>
          </a:pPr>
          <a:endParaRPr lang="en-US" sz="800" b="0" i="0" u="none" strike="noStrike" baseline="0">
            <a:solidFill>
              <a:srgbClr val="000000"/>
            </a:solidFill>
            <a:latin typeface="Arial"/>
            <a:cs typeface="Arial"/>
          </a:endParaRPr>
        </a:p>
      </xdr:txBody>
    </xdr:sp>
    <xdr:clientData fLocksWithSheet="0"/>
  </xdr:twoCellAnchor>
  <xdr:twoCellAnchor>
    <xdr:from>
      <xdr:col>1</xdr:col>
      <xdr:colOff>47625</xdr:colOff>
      <xdr:row>26</xdr:row>
      <xdr:rowOff>66675</xdr:rowOff>
    </xdr:from>
    <xdr:to>
      <xdr:col>13</xdr:col>
      <xdr:colOff>0</xdr:colOff>
      <xdr:row>28</xdr:row>
      <xdr:rowOff>150546</xdr:rowOff>
    </xdr:to>
    <xdr:sp macro="" textlink="">
      <xdr:nvSpPr>
        <xdr:cNvPr id="1045" name="Text Box 21">
          <a:extLst>
            <a:ext uri="{FF2B5EF4-FFF2-40B4-BE49-F238E27FC236}">
              <a16:creationId xmlns:a16="http://schemas.microsoft.com/office/drawing/2014/main" id="{00000000-0008-0000-0100-000015040000}"/>
            </a:ext>
          </a:extLst>
        </xdr:cNvPr>
        <xdr:cNvSpPr txBox="1">
          <a:spLocks noChangeArrowheads="1"/>
        </xdr:cNvSpPr>
      </xdr:nvSpPr>
      <xdr:spPr bwMode="auto">
        <a:xfrm>
          <a:off x="76200" y="7296150"/>
          <a:ext cx="7553325" cy="714375"/>
        </a:xfrm>
        <a:prstGeom prst="rect">
          <a:avLst/>
        </a:prstGeom>
        <a:solidFill>
          <a:srgbClr val="FFFFFF"/>
        </a:solidFill>
        <a:ln w="9525">
          <a:solidFill>
            <a:srgbClr val="FF0000"/>
          </a:solidFill>
          <a:miter lim="800000"/>
          <a:headEnd/>
          <a:tailEnd/>
        </a:ln>
      </xdr:spPr>
      <xdr:txBody>
        <a:bodyPr vertOverflow="clip" wrap="square" lIns="27432" tIns="22860" rIns="0" bIns="0" anchor="t" upright="1"/>
        <a:lstStyle/>
        <a:p>
          <a:pPr rtl="0"/>
          <a:r>
            <a:rPr lang="en-US" sz="800" b="0" i="0" u="none" strike="noStrike" baseline="0">
              <a:solidFill>
                <a:srgbClr val="000000"/>
              </a:solidFill>
              <a:latin typeface="Arial"/>
              <a:ea typeface="+mn-ea"/>
              <a:cs typeface="Arial"/>
            </a:rPr>
            <a:t>Given a successful exploration well, the most likely cause of appraisal failure is related to access, not geoscience. </a:t>
          </a:r>
        </a:p>
        <a:p>
          <a:pPr rtl="0"/>
          <a:r>
            <a:rPr lang="en-US" sz="800" b="0" i="0" u="none" strike="noStrike" baseline="0">
              <a:solidFill>
                <a:srgbClr val="000000"/>
              </a:solidFill>
              <a:latin typeface="Arial"/>
              <a:ea typeface="+mn-ea"/>
              <a:cs typeface="Arial"/>
            </a:rPr>
            <a:t>► Even given exploration success, most of the high tempetature part of the resource is likely to lie beneath the park. Therefore, exploration success restricted outside of the park will most likely discover a 150 to 240C outflow, perhaps like Long Valley, maybe Ahuachapan or Long Valley.</a:t>
          </a:r>
        </a:p>
        <a:p>
          <a:pPr rtl="0"/>
          <a:r>
            <a:rPr lang="en-US" sz="800" b="0" i="0" u="none" strike="noStrike" baseline="0">
              <a:solidFill>
                <a:srgbClr val="000000"/>
              </a:solidFill>
              <a:latin typeface="Arial"/>
              <a:ea typeface="+mn-ea"/>
              <a:cs typeface="Arial"/>
            </a:rPr>
            <a:t>► ________________________________</a:t>
          </a:r>
        </a:p>
        <a:p>
          <a:pPr rtl="0"/>
          <a:r>
            <a:rPr lang="en-US" sz="800" b="0" i="0" u="none" strike="noStrike" baseline="0">
              <a:solidFill>
                <a:srgbClr val="000000"/>
              </a:solidFill>
              <a:latin typeface="Arial"/>
              <a:ea typeface="+mn-ea"/>
              <a:cs typeface="Arial"/>
            </a:rPr>
            <a:t>_____________________________________. </a:t>
          </a:r>
        </a:p>
        <a:p>
          <a:pPr algn="l" rtl="0">
            <a:defRPr sz="1000"/>
          </a:pPr>
          <a:endParaRPr lang="en-US" sz="800" b="0" i="0" u="none" strike="noStrike" baseline="0">
            <a:solidFill>
              <a:srgbClr val="000000"/>
            </a:solidFill>
            <a:latin typeface="Arial"/>
            <a:cs typeface="Arial"/>
          </a:endParaRPr>
        </a:p>
      </xdr:txBody>
    </xdr:sp>
    <xdr:clientData/>
  </xdr:twoCellAnchor>
  <xdr:twoCellAnchor>
    <xdr:from>
      <xdr:col>1</xdr:col>
      <xdr:colOff>47625</xdr:colOff>
      <xdr:row>31</xdr:row>
      <xdr:rowOff>40005</xdr:rowOff>
    </xdr:from>
    <xdr:to>
      <xdr:col>13</xdr:col>
      <xdr:colOff>2</xdr:colOff>
      <xdr:row>33</xdr:row>
      <xdr:rowOff>112507</xdr:rowOff>
    </xdr:to>
    <xdr:sp macro="" textlink="">
      <xdr:nvSpPr>
        <xdr:cNvPr id="1046" name="Text Box 22">
          <a:extLst>
            <a:ext uri="{FF2B5EF4-FFF2-40B4-BE49-F238E27FC236}">
              <a16:creationId xmlns:a16="http://schemas.microsoft.com/office/drawing/2014/main" id="{00000000-0008-0000-0100-000016040000}"/>
            </a:ext>
          </a:extLst>
        </xdr:cNvPr>
        <xdr:cNvSpPr txBox="1">
          <a:spLocks noChangeArrowheads="1"/>
        </xdr:cNvSpPr>
      </xdr:nvSpPr>
      <xdr:spPr bwMode="auto">
        <a:xfrm>
          <a:off x="85725" y="8429625"/>
          <a:ext cx="7543800" cy="647700"/>
        </a:xfrm>
        <a:prstGeom prst="rect">
          <a:avLst/>
        </a:prstGeom>
        <a:solidFill>
          <a:srgbClr val="FFFFFF"/>
        </a:solidFill>
        <a:ln w="9525">
          <a:solidFill>
            <a:srgbClr val="FF0000"/>
          </a:solidFill>
          <a:miter lim="800000"/>
          <a:headEnd/>
          <a:tailEnd/>
        </a:ln>
      </xdr:spPr>
      <xdr:txBody>
        <a:bodyPr vertOverflow="clip" wrap="square" lIns="27432" tIns="22860" rIns="0" bIns="0" anchor="t" upright="1"/>
        <a:lstStyle/>
        <a:p>
          <a:pPr marL="0" indent="0" rtl="0"/>
          <a:r>
            <a:rPr lang="en-US" sz="800" b="0" i="0" u="none" strike="noStrike" baseline="0">
              <a:solidFill>
                <a:srgbClr val="000000"/>
              </a:solidFill>
              <a:latin typeface="Arial"/>
              <a:ea typeface="+mn-ea"/>
              <a:cs typeface="Arial"/>
            </a:rPr>
            <a:t>The resistivity geometry suggests that a ___ MW development is most likely to be ___________________. Evidence for this includes ______________ pattern suggesting that the target area _________ is more likely to be ______________</a:t>
          </a:r>
        </a:p>
        <a:p>
          <a:pPr marL="0" indent="0" rtl="0"/>
          <a:r>
            <a:rPr lang="en-US" sz="800" b="0" i="0" u="none" strike="noStrike" baseline="0">
              <a:solidFill>
                <a:srgbClr val="000000"/>
              </a:solidFill>
              <a:latin typeface="Arial"/>
              <a:ea typeface="+mn-ea"/>
              <a:cs typeface="Arial"/>
            </a:rPr>
            <a:t>Because of ________________,it is likely that ______________ will be an issue. It may be possible to use ________. </a:t>
          </a:r>
        </a:p>
        <a:p>
          <a:pPr algn="l" rtl="0">
            <a:defRPr sz="1000"/>
          </a:pPr>
          <a:endParaRPr lang="en-US" sz="800" b="0" i="0" u="none" strike="noStrike" baseline="0">
            <a:solidFill>
              <a:srgbClr val="000000"/>
            </a:solidFill>
            <a:latin typeface="Arial"/>
            <a:cs typeface="Arial"/>
          </a:endParaRPr>
        </a:p>
      </xdr:txBody>
    </xdr:sp>
    <xdr:clientData/>
  </xdr:twoCellAnchor>
  <xdr:twoCellAnchor>
    <xdr:from>
      <xdr:col>1</xdr:col>
      <xdr:colOff>47625</xdr:colOff>
      <xdr:row>36</xdr:row>
      <xdr:rowOff>57150</xdr:rowOff>
    </xdr:from>
    <xdr:to>
      <xdr:col>13</xdr:col>
      <xdr:colOff>0</xdr:colOff>
      <xdr:row>38</xdr:row>
      <xdr:rowOff>131546</xdr:rowOff>
    </xdr:to>
    <xdr:sp macro="" textlink="">
      <xdr:nvSpPr>
        <xdr:cNvPr id="1047" name="Text Box 23">
          <a:extLst>
            <a:ext uri="{FF2B5EF4-FFF2-40B4-BE49-F238E27FC236}">
              <a16:creationId xmlns:a16="http://schemas.microsoft.com/office/drawing/2014/main" id="{00000000-0008-0000-0100-000017040000}"/>
            </a:ext>
          </a:extLst>
        </xdr:cNvPr>
        <xdr:cNvSpPr txBox="1">
          <a:spLocks noChangeArrowheads="1"/>
        </xdr:cNvSpPr>
      </xdr:nvSpPr>
      <xdr:spPr bwMode="auto">
        <a:xfrm>
          <a:off x="76200" y="9448800"/>
          <a:ext cx="7553325" cy="542925"/>
        </a:xfrm>
        <a:prstGeom prst="rect">
          <a:avLst/>
        </a:prstGeom>
        <a:solidFill>
          <a:srgbClr val="FFFFFF"/>
        </a:solidFill>
        <a:ln w="9525">
          <a:solidFill>
            <a:srgbClr val="FF0000"/>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The most likely model for this is _____________________. Alternatively, it covers the case where it is an edge outflow between the size of ______________</a:t>
          </a:r>
        </a:p>
        <a:p>
          <a:pPr algn="l" rtl="0">
            <a:defRPr sz="1000"/>
          </a:pPr>
          <a:r>
            <a:rPr lang="en-US" sz="800" b="0" i="0" u="none" strike="noStrike" baseline="0">
              <a:solidFill>
                <a:srgbClr val="000000"/>
              </a:solidFill>
              <a:latin typeface="Arial"/>
              <a:cs typeface="Arial"/>
            </a:rPr>
            <a:t>__________________________________</a:t>
          </a:r>
        </a:p>
        <a:p>
          <a:pPr algn="l" rtl="0">
            <a:defRPr sz="1000"/>
          </a:pPr>
          <a:endParaRPr lang="en-US" sz="800" b="0" i="0" u="none" strike="noStrike" baseline="0">
            <a:solidFill>
              <a:srgbClr val="000000"/>
            </a:solidFill>
            <a:latin typeface="Arial"/>
            <a:cs typeface="Arial"/>
          </a:endParaRPr>
        </a:p>
      </xdr:txBody>
    </xdr:sp>
    <xdr:clientData/>
  </xdr:twoCellAnchor>
  <xdr:twoCellAnchor>
    <xdr:from>
      <xdr:col>1</xdr:col>
      <xdr:colOff>38100</xdr:colOff>
      <xdr:row>42</xdr:row>
      <xdr:rowOff>11430</xdr:rowOff>
    </xdr:from>
    <xdr:to>
      <xdr:col>13</xdr:col>
      <xdr:colOff>0</xdr:colOff>
      <xdr:row>44</xdr:row>
      <xdr:rowOff>102941</xdr:rowOff>
    </xdr:to>
    <xdr:sp macro="" textlink="">
      <xdr:nvSpPr>
        <xdr:cNvPr id="1048" name="Text Box 24">
          <a:extLst>
            <a:ext uri="{FF2B5EF4-FFF2-40B4-BE49-F238E27FC236}">
              <a16:creationId xmlns:a16="http://schemas.microsoft.com/office/drawing/2014/main" id="{00000000-0008-0000-0100-000018040000}"/>
            </a:ext>
          </a:extLst>
        </xdr:cNvPr>
        <xdr:cNvSpPr txBox="1">
          <a:spLocks noChangeArrowheads="1"/>
        </xdr:cNvSpPr>
      </xdr:nvSpPr>
      <xdr:spPr bwMode="auto">
        <a:xfrm>
          <a:off x="66675" y="10410825"/>
          <a:ext cx="7562850" cy="533400"/>
        </a:xfrm>
        <a:prstGeom prst="rect">
          <a:avLst/>
        </a:prstGeom>
        <a:solidFill>
          <a:srgbClr val="FFFFFF"/>
        </a:solidFill>
        <a:ln w="9525">
          <a:solidFill>
            <a:srgbClr val="FF0000"/>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If directional wells can be drilled ______________and upflow __________ the apex of an outflow, then the resource size may be as large as ??? MW. . __________________________</a:t>
          </a:r>
        </a:p>
        <a:p>
          <a:pPr algn="l" rtl="0">
            <a:defRPr sz="1000"/>
          </a:pPr>
          <a:r>
            <a:rPr lang="en-US" sz="800" b="0" i="0" u="none" strike="noStrike" baseline="0">
              <a:solidFill>
                <a:srgbClr val="000000"/>
              </a:solidFill>
              <a:latin typeface="Arial"/>
              <a:cs typeface="Arial"/>
            </a:rPr>
            <a:t>For the upflow, the MW/km^2 would be much higher and the cost/MW would be lower than in the outflow cases. ________________________</a:t>
          </a:r>
        </a:p>
        <a:p>
          <a:pPr algn="l" rtl="0">
            <a:defRPr sz="1000"/>
          </a:pP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22</xdr:row>
      <xdr:rowOff>136717</xdr:rowOff>
    </xdr:from>
    <xdr:to>
      <xdr:col>0</xdr:col>
      <xdr:colOff>6362870</xdr:colOff>
      <xdr:row>22</xdr:row>
      <xdr:rowOff>3848100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 y="7101397"/>
          <a:ext cx="6317150" cy="37113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45"/>
  <sheetViews>
    <sheetView showGridLines="0" zoomScaleNormal="100" workbookViewId="0">
      <selection activeCell="H25" sqref="H25"/>
    </sheetView>
  </sheetViews>
  <sheetFormatPr defaultRowHeight="12.7" x14ac:dyDescent="0.4"/>
  <cols>
    <col min="1" max="1" width="2" customWidth="1"/>
    <col min="2" max="2" width="23.87890625" customWidth="1"/>
    <col min="3" max="3" width="11.87890625" customWidth="1"/>
    <col min="4" max="4" width="10.3515625" customWidth="1"/>
    <col min="5" max="5" width="10.52734375" customWidth="1"/>
    <col min="6" max="6" width="9.64453125" customWidth="1"/>
    <col min="14" max="14" width="2" customWidth="1"/>
    <col min="15" max="17" width="9.1171875" style="57" customWidth="1"/>
  </cols>
  <sheetData>
    <row r="1" spans="1:17" s="58" customFormat="1" ht="18.75" customHeight="1" x14ac:dyDescent="0.4">
      <c r="A1" s="53"/>
      <c r="B1" s="54" t="s">
        <v>237</v>
      </c>
      <c r="C1" s="55"/>
      <c r="D1" s="55"/>
      <c r="E1" s="55"/>
      <c r="F1" s="55"/>
      <c r="G1" s="55"/>
      <c r="H1" s="55"/>
      <c r="I1" s="55"/>
      <c r="J1" s="55"/>
      <c r="K1" s="55"/>
      <c r="L1" s="55"/>
      <c r="M1" s="55"/>
      <c r="N1" s="56"/>
      <c r="O1" s="57"/>
      <c r="P1" s="57"/>
      <c r="Q1" s="57"/>
    </row>
    <row r="2" spans="1:17" s="58" customFormat="1" ht="3.75" customHeight="1" x14ac:dyDescent="0.4">
      <c r="A2" s="59"/>
      <c r="B2" s="60"/>
      <c r="C2" s="61"/>
      <c r="D2" s="61"/>
      <c r="E2" s="61"/>
      <c r="F2" s="61"/>
      <c r="G2" s="61"/>
      <c r="H2" s="61"/>
      <c r="I2" s="61"/>
      <c r="J2" s="61"/>
      <c r="K2" s="61"/>
      <c r="L2" s="61"/>
      <c r="M2" s="61"/>
      <c r="N2" s="62"/>
      <c r="O2" s="57"/>
      <c r="P2" s="57"/>
      <c r="Q2" s="57"/>
    </row>
    <row r="3" spans="1:17" s="58" customFormat="1" ht="16.5" customHeight="1" x14ac:dyDescent="0.4">
      <c r="A3" s="59"/>
      <c r="B3" s="233" t="s">
        <v>235</v>
      </c>
      <c r="C3" s="234"/>
      <c r="D3" s="234"/>
      <c r="E3" s="234"/>
      <c r="F3" s="234"/>
      <c r="G3" s="234"/>
      <c r="H3" s="234"/>
      <c r="I3" s="234"/>
      <c r="J3" s="234"/>
      <c r="K3" s="234"/>
      <c r="L3" s="234"/>
      <c r="M3" s="235"/>
      <c r="N3" s="62"/>
      <c r="O3" s="57"/>
      <c r="P3" s="57"/>
      <c r="Q3" s="57"/>
    </row>
    <row r="4" spans="1:17" s="58" customFormat="1" ht="17.25" customHeight="1" x14ac:dyDescent="0.4">
      <c r="A4" s="59"/>
      <c r="B4" s="236" t="s">
        <v>236</v>
      </c>
      <c r="C4" s="237"/>
      <c r="D4" s="237"/>
      <c r="E4" s="237"/>
      <c r="F4" s="237"/>
      <c r="G4" s="237"/>
      <c r="H4" s="237"/>
      <c r="I4" s="237"/>
      <c r="J4" s="237"/>
      <c r="K4" s="237"/>
      <c r="L4" s="237"/>
      <c r="M4" s="238"/>
      <c r="N4" s="62"/>
      <c r="O4" s="57"/>
      <c r="P4" s="57"/>
      <c r="Q4" s="57"/>
    </row>
    <row r="5" spans="1:17" s="58" customFormat="1" ht="4.5" customHeight="1" x14ac:dyDescent="0.4">
      <c r="A5" s="59"/>
      <c r="B5" s="239"/>
      <c r="C5" s="240"/>
      <c r="D5" s="240"/>
      <c r="E5" s="240"/>
      <c r="F5" s="240"/>
      <c r="G5" s="240"/>
      <c r="H5" s="240"/>
      <c r="I5" s="240"/>
      <c r="J5" s="240"/>
      <c r="K5" s="240"/>
      <c r="L5" s="240"/>
      <c r="M5" s="241"/>
      <c r="N5" s="62"/>
      <c r="O5" s="57"/>
      <c r="P5" s="57"/>
      <c r="Q5" s="57"/>
    </row>
    <row r="6" spans="1:17" s="58" customFormat="1" ht="8.25" customHeight="1" x14ac:dyDescent="0.4">
      <c r="A6" s="59"/>
      <c r="B6" s="64"/>
      <c r="C6" s="64"/>
      <c r="D6" s="64"/>
      <c r="E6" s="64"/>
      <c r="F6" s="64"/>
      <c r="G6" s="64"/>
      <c r="H6" s="64"/>
      <c r="I6" s="64"/>
      <c r="J6" s="64"/>
      <c r="K6" s="64"/>
      <c r="L6" s="64"/>
      <c r="M6" s="64"/>
      <c r="N6" s="62"/>
      <c r="O6" s="57"/>
      <c r="P6" s="57"/>
      <c r="Q6" s="57"/>
    </row>
    <row r="7" spans="1:17" s="58" customFormat="1" ht="16.5" customHeight="1" x14ac:dyDescent="0.4">
      <c r="A7" s="59"/>
      <c r="B7" s="65" t="s">
        <v>152</v>
      </c>
      <c r="C7" s="61"/>
      <c r="D7" s="61"/>
      <c r="E7" s="61"/>
      <c r="F7" s="61"/>
      <c r="G7" s="61"/>
      <c r="H7" s="61"/>
      <c r="I7" s="61"/>
      <c r="J7" s="61"/>
      <c r="K7" s="61"/>
      <c r="L7" s="61"/>
      <c r="M7" s="61"/>
      <c r="N7" s="62"/>
      <c r="O7" s="57"/>
      <c r="P7" s="57"/>
      <c r="Q7" s="57"/>
    </row>
    <row r="8" spans="1:17" s="58" customFormat="1" ht="15" customHeight="1" x14ac:dyDescent="0.4">
      <c r="A8" s="59"/>
      <c r="B8" s="233" t="s">
        <v>234</v>
      </c>
      <c r="C8" s="234"/>
      <c r="D8" s="234"/>
      <c r="E8" s="234"/>
      <c r="F8" s="234"/>
      <c r="G8" s="234"/>
      <c r="H8" s="234"/>
      <c r="I8" s="234"/>
      <c r="J8" s="234"/>
      <c r="K8" s="234"/>
      <c r="L8" s="234"/>
      <c r="M8" s="235"/>
      <c r="N8" s="62"/>
      <c r="O8" s="57"/>
      <c r="P8" s="57"/>
      <c r="Q8" s="57"/>
    </row>
    <row r="9" spans="1:17" s="58" customFormat="1" ht="38.25" customHeight="1" x14ac:dyDescent="0.4">
      <c r="A9" s="59"/>
      <c r="B9" s="63"/>
      <c r="C9" s="244" t="s">
        <v>153</v>
      </c>
      <c r="D9" s="244"/>
      <c r="E9" s="66"/>
      <c r="F9" s="244" t="s">
        <v>154</v>
      </c>
      <c r="G9" s="244"/>
      <c r="H9" s="66"/>
      <c r="I9" s="244" t="s">
        <v>155</v>
      </c>
      <c r="J9" s="244"/>
      <c r="K9" s="66"/>
      <c r="L9" s="244" t="s">
        <v>184</v>
      </c>
      <c r="M9" s="249"/>
      <c r="N9" s="62"/>
      <c r="O9" s="57"/>
      <c r="P9" s="57"/>
      <c r="Q9" s="57"/>
    </row>
    <row r="10" spans="1:17" s="58" customFormat="1" ht="16.5" customHeight="1" thickBot="1" x14ac:dyDescent="0.45">
      <c r="A10" s="59"/>
      <c r="B10" s="67"/>
      <c r="C10" s="245" t="s">
        <v>169</v>
      </c>
      <c r="D10" s="245"/>
      <c r="E10" s="68"/>
      <c r="F10" s="245" t="s">
        <v>170</v>
      </c>
      <c r="G10" s="245"/>
      <c r="H10" s="68"/>
      <c r="I10" s="245" t="s">
        <v>156</v>
      </c>
      <c r="J10" s="245"/>
      <c r="K10" s="69"/>
      <c r="L10" s="245" t="s">
        <v>183</v>
      </c>
      <c r="M10" s="248"/>
      <c r="N10" s="62"/>
      <c r="O10" s="57"/>
      <c r="P10" s="57"/>
      <c r="Q10" s="57"/>
    </row>
    <row r="11" spans="1:17" ht="16.5" customHeight="1" thickBot="1" x14ac:dyDescent="0.45">
      <c r="A11" s="59"/>
      <c r="B11" s="71" t="s">
        <v>157</v>
      </c>
      <c r="C11" s="242">
        <v>0.65</v>
      </c>
      <c r="D11" s="243"/>
      <c r="E11" s="72" t="s">
        <v>158</v>
      </c>
      <c r="F11" s="242">
        <v>0.65</v>
      </c>
      <c r="G11" s="243"/>
      <c r="H11" s="72" t="s">
        <v>158</v>
      </c>
      <c r="I11" s="242">
        <v>0.95</v>
      </c>
      <c r="J11" s="243"/>
      <c r="K11" s="73" t="s">
        <v>159</v>
      </c>
      <c r="L11" s="246">
        <f>C11*F11*I11</f>
        <v>0.40137500000000004</v>
      </c>
      <c r="M11" s="247"/>
      <c r="N11" s="62"/>
    </row>
    <row r="12" spans="1:17" s="58" customFormat="1" ht="4.5" customHeight="1" x14ac:dyDescent="0.4">
      <c r="A12" s="59"/>
      <c r="B12" s="74"/>
      <c r="C12" s="75"/>
      <c r="D12" s="75"/>
      <c r="E12" s="75"/>
      <c r="F12" s="75"/>
      <c r="G12" s="75"/>
      <c r="H12" s="75"/>
      <c r="I12" s="75"/>
      <c r="J12" s="75"/>
      <c r="K12" s="75"/>
      <c r="L12" s="75"/>
      <c r="M12" s="76"/>
      <c r="N12" s="62"/>
      <c r="O12" s="57"/>
      <c r="P12" s="57"/>
      <c r="Q12" s="57"/>
    </row>
    <row r="13" spans="1:17" s="58" customFormat="1" ht="11.25" customHeight="1" x14ac:dyDescent="0.4">
      <c r="A13" s="59"/>
      <c r="B13" s="61"/>
      <c r="C13" s="61"/>
      <c r="D13" s="61"/>
      <c r="E13" s="61"/>
      <c r="F13" s="61"/>
      <c r="G13" s="61"/>
      <c r="H13" s="61"/>
      <c r="I13" s="61"/>
      <c r="J13" s="61"/>
      <c r="K13" s="61"/>
      <c r="L13" s="61"/>
      <c r="M13" s="61"/>
      <c r="N13" s="62"/>
      <c r="O13" s="57"/>
      <c r="P13" s="57"/>
      <c r="Q13" s="57"/>
    </row>
    <row r="14" spans="1:17" s="58" customFormat="1" x14ac:dyDescent="0.4">
      <c r="A14" s="67"/>
      <c r="B14" s="65" t="s">
        <v>160</v>
      </c>
      <c r="C14" s="77"/>
      <c r="D14" s="77"/>
      <c r="E14" s="77"/>
      <c r="F14" s="77"/>
      <c r="G14" s="77"/>
      <c r="H14" s="77"/>
      <c r="I14" s="77"/>
      <c r="J14" s="77"/>
      <c r="K14" s="77"/>
      <c r="L14" s="77"/>
      <c r="M14" s="77"/>
      <c r="N14" s="62"/>
      <c r="O14" s="78"/>
      <c r="P14" s="57"/>
      <c r="Q14" s="57"/>
    </row>
    <row r="15" spans="1:17" s="58" customFormat="1" ht="6.75" customHeight="1" thickBot="1" x14ac:dyDescent="0.45">
      <c r="A15" s="67"/>
      <c r="B15" s="79"/>
      <c r="C15" s="80"/>
      <c r="D15" s="80"/>
      <c r="E15" s="80"/>
      <c r="F15" s="80"/>
      <c r="G15" s="80"/>
      <c r="H15" s="80"/>
      <c r="I15" s="80"/>
      <c r="J15" s="80"/>
      <c r="K15" s="80"/>
      <c r="L15" s="80"/>
      <c r="M15" s="81"/>
      <c r="N15" s="62"/>
      <c r="O15" s="78"/>
      <c r="P15" s="57"/>
      <c r="Q15" s="57"/>
    </row>
    <row r="16" spans="1:17" ht="13" thickBot="1" x14ac:dyDescent="0.45">
      <c r="A16" s="67"/>
      <c r="B16" s="82"/>
      <c r="C16" s="60"/>
      <c r="D16" s="77"/>
      <c r="E16" s="61"/>
      <c r="F16" s="83" t="s">
        <v>182</v>
      </c>
      <c r="G16" s="27">
        <v>0.1</v>
      </c>
      <c r="H16" s="84" t="str">
        <f>" That is, the larger, more optimistic case is assumed to be P"&amp;(100*($G$16))</f>
        <v xml:space="preserve"> That is, the larger, more optimistic case is assumed to be P10</v>
      </c>
      <c r="I16" s="77"/>
      <c r="J16" s="77"/>
      <c r="K16" s="77"/>
      <c r="L16" s="85"/>
      <c r="M16" s="86"/>
      <c r="N16" s="62"/>
      <c r="O16" s="78"/>
    </row>
    <row r="17" spans="1:15" ht="6" customHeight="1" x14ac:dyDescent="0.4">
      <c r="A17" s="67"/>
      <c r="B17" s="82"/>
      <c r="C17" s="60"/>
      <c r="D17" s="77"/>
      <c r="E17" s="61"/>
      <c r="F17" s="83"/>
      <c r="G17" s="28"/>
      <c r="H17" s="84"/>
      <c r="I17" s="77"/>
      <c r="J17" s="77"/>
      <c r="K17" s="77"/>
      <c r="L17" s="85"/>
      <c r="M17" s="86"/>
      <c r="N17" s="62"/>
      <c r="O17" s="78"/>
    </row>
    <row r="18" spans="1:15" ht="12.75" customHeight="1" thickBot="1" x14ac:dyDescent="0.45">
      <c r="A18" s="67"/>
      <c r="B18" s="82" t="s">
        <v>161</v>
      </c>
      <c r="C18" s="60"/>
      <c r="D18" s="77"/>
      <c r="E18" s="61"/>
      <c r="F18" s="83"/>
      <c r="G18" s="28"/>
      <c r="H18" s="84"/>
      <c r="I18" s="77"/>
      <c r="J18" s="77"/>
      <c r="K18" s="77"/>
      <c r="L18" s="85"/>
      <c r="M18" s="86"/>
      <c r="N18" s="62"/>
      <c r="O18" s="78"/>
    </row>
    <row r="19" spans="1:15" ht="13" thickBot="1" x14ac:dyDescent="0.45">
      <c r="A19" s="67"/>
      <c r="B19" s="82"/>
      <c r="C19" s="60"/>
      <c r="D19" s="77"/>
      <c r="E19" s="61"/>
      <c r="F19" s="83" t="str">
        <f>"Startup average production temperature for P"&amp;(100*(1-$G$16))&amp;" reserves ="</f>
        <v>Startup average production temperature for P90 reserves =</v>
      </c>
      <c r="G19" s="26">
        <v>280</v>
      </c>
      <c r="H19" s="84" t="s">
        <v>162</v>
      </c>
      <c r="I19" s="26">
        <v>250</v>
      </c>
      <c r="J19" s="84" t="str">
        <f>"°C = minimum temperature for P"&amp;(100*($G$16))&amp;" reservoir"</f>
        <v>°C = minimum temperature for P10 reservoir</v>
      </c>
      <c r="K19" s="77"/>
      <c r="L19" s="85"/>
      <c r="M19" s="86"/>
      <c r="N19" s="62"/>
      <c r="O19" s="78"/>
    </row>
    <row r="20" spans="1:15" ht="7.5" customHeight="1" x14ac:dyDescent="0.4">
      <c r="A20" s="67"/>
      <c r="B20" s="82"/>
      <c r="C20" s="60"/>
      <c r="D20" s="77"/>
      <c r="E20" s="61"/>
      <c r="F20" s="83"/>
      <c r="G20" s="28"/>
      <c r="H20" s="84"/>
      <c r="I20" s="77"/>
      <c r="J20" s="77"/>
      <c r="K20" s="77"/>
      <c r="L20" s="85"/>
      <c r="M20" s="86"/>
      <c r="N20" s="62"/>
      <c r="O20" s="78"/>
    </row>
    <row r="21" spans="1:15" x14ac:dyDescent="0.4">
      <c r="A21" s="67"/>
      <c r="B21" s="87"/>
      <c r="C21" s="88" t="s">
        <v>163</v>
      </c>
      <c r="D21" s="77"/>
      <c r="E21" s="77"/>
      <c r="F21" s="88"/>
      <c r="G21" s="77"/>
      <c r="H21" s="88"/>
      <c r="I21" s="77"/>
      <c r="J21" s="77"/>
      <c r="K21" s="77"/>
      <c r="L21" s="89"/>
      <c r="M21" s="90"/>
      <c r="N21" s="62"/>
      <c r="O21" s="91"/>
    </row>
    <row r="22" spans="1:15" ht="5.25" customHeight="1" x14ac:dyDescent="0.4">
      <c r="A22" s="67"/>
      <c r="B22" s="87"/>
      <c r="C22" s="77"/>
      <c r="D22" s="77"/>
      <c r="E22" s="77"/>
      <c r="F22" s="88"/>
      <c r="G22" s="77"/>
      <c r="H22" s="88"/>
      <c r="I22" s="77"/>
      <c r="J22" s="77"/>
      <c r="K22" s="77"/>
      <c r="L22" s="89"/>
      <c r="M22" s="90"/>
      <c r="N22" s="62"/>
      <c r="O22" s="91"/>
    </row>
    <row r="23" spans="1:15" x14ac:dyDescent="0.4">
      <c r="A23" s="67"/>
      <c r="B23" s="92"/>
      <c r="C23" s="93" t="s">
        <v>164</v>
      </c>
      <c r="D23" s="94"/>
      <c r="E23" s="94"/>
      <c r="F23" s="95" t="s">
        <v>123</v>
      </c>
      <c r="G23" s="96" t="s">
        <v>126</v>
      </c>
      <c r="H23" s="95" t="s">
        <v>122</v>
      </c>
      <c r="J23" s="77"/>
      <c r="K23" s="77"/>
      <c r="L23" s="97"/>
      <c r="M23" s="98"/>
      <c r="N23" s="62"/>
      <c r="O23" s="91"/>
    </row>
    <row r="24" spans="1:15" ht="13" thickBot="1" x14ac:dyDescent="0.45">
      <c r="A24" s="67"/>
      <c r="B24" s="82"/>
      <c r="C24" s="84"/>
      <c r="D24" s="99" t="s">
        <v>109</v>
      </c>
      <c r="E24" s="99" t="s">
        <v>108</v>
      </c>
      <c r="F24" s="99" t="str">
        <f>"P"&amp;(100-100*($G$16))</f>
        <v>P90</v>
      </c>
      <c r="G24" s="99" t="s">
        <v>106</v>
      </c>
      <c r="H24" s="99" t="str">
        <f>"P"&amp;(100-100*(1-$G$16))</f>
        <v>P10</v>
      </c>
      <c r="I24" s="99" t="s">
        <v>105</v>
      </c>
      <c r="J24" s="99" t="s">
        <v>181</v>
      </c>
      <c r="K24" s="100" t="s">
        <v>107</v>
      </c>
      <c r="L24" s="101" t="s">
        <v>110</v>
      </c>
      <c r="M24" s="102" t="s">
        <v>111</v>
      </c>
      <c r="N24" s="62"/>
      <c r="O24" s="78"/>
    </row>
    <row r="25" spans="1:15" ht="15.75" customHeight="1" thickBot="1" x14ac:dyDescent="0.45">
      <c r="A25" s="67"/>
      <c r="B25" s="103" t="str">
        <f>"Area &gt; "&amp;(I19)&amp;"°C"</f>
        <v>Area &gt; 250°C</v>
      </c>
      <c r="C25" s="104" t="s">
        <v>171</v>
      </c>
      <c r="D25" s="105">
        <f>LOGINV(0.01,L25,M25)</f>
        <v>0.39117451641060813</v>
      </c>
      <c r="E25" s="105">
        <f>LOGINV(0.1,L25,M25)</f>
        <v>1</v>
      </c>
      <c r="F25" s="25">
        <v>1</v>
      </c>
      <c r="G25" s="105">
        <f>EXP(L25)</f>
        <v>3.1622776601683795</v>
      </c>
      <c r="H25" s="25">
        <v>10</v>
      </c>
      <c r="I25" s="105">
        <f>LOGINV(0.9,L25,M25)</f>
        <v>10.000000000000002</v>
      </c>
      <c r="J25" s="105">
        <f>LOGINV(0.99,L25,M25)</f>
        <v>25.564037483216829</v>
      </c>
      <c r="K25" s="105">
        <f>EXP(L25+M25^2/2)</f>
        <v>4.7342172745355926</v>
      </c>
      <c r="L25" s="101">
        <f>((LN(F25)+LN(H25))/2)</f>
        <v>1.151292546497023</v>
      </c>
      <c r="M25" s="102">
        <f>((LN(H25)-LN(F25))/((NORMSINV(1-$G$16)-NORMSINV($G$16))))</f>
        <v>0.89835834737385423</v>
      </c>
      <c r="N25" s="62"/>
      <c r="O25" s="78"/>
    </row>
    <row r="26" spans="1:15" ht="13.7" thickBot="1" x14ac:dyDescent="0.45">
      <c r="A26" s="67"/>
      <c r="B26" s="103" t="str">
        <f>"Power Density "&amp;(I19)&amp;" to "&amp;(G19)&amp;" °C"</f>
        <v>Power Density 250 to 280 °C</v>
      </c>
      <c r="C26" s="104" t="s">
        <v>172</v>
      </c>
      <c r="D26" s="105">
        <f>LOGINV(0.01,L26,M26)</f>
        <v>6.9986568837381364</v>
      </c>
      <c r="E26" s="105">
        <f>LOGINV(0.1,L26,M26)</f>
        <v>10.000000000000007</v>
      </c>
      <c r="F26" s="25">
        <v>10</v>
      </c>
      <c r="G26" s="105">
        <f>EXP(L26)</f>
        <v>15.491933384829673</v>
      </c>
      <c r="H26" s="25">
        <v>24</v>
      </c>
      <c r="I26" s="105">
        <f>LOGINV(0.9,L26,M26)</f>
        <v>24.000000000000004</v>
      </c>
      <c r="J26" s="105">
        <f>LOGINV(0.99,L26,M26)</f>
        <v>34.292294076833059</v>
      </c>
      <c r="K26" s="105">
        <f>EXP(L26+M26^2/2)</f>
        <v>16.422512522362101</v>
      </c>
      <c r="L26" s="101">
        <f>((LN(F26)+LN(H26))/2)</f>
        <v>2.740319461670996</v>
      </c>
      <c r="M26" s="102">
        <f>((LN(H26)-LN(F26))/((NORMSINV(1-$G$16)-NORMSINV($G$16))))</f>
        <v>0.34156594275699931</v>
      </c>
      <c r="N26" s="107"/>
      <c r="O26" s="108"/>
    </row>
    <row r="27" spans="1:15" ht="7.5" customHeight="1" x14ac:dyDescent="0.4">
      <c r="A27" s="67"/>
      <c r="B27" s="103"/>
      <c r="C27" s="84"/>
      <c r="D27" s="106"/>
      <c r="E27" s="106"/>
      <c r="F27" s="84"/>
      <c r="G27" s="106"/>
      <c r="H27" s="84"/>
      <c r="I27" s="106"/>
      <c r="J27" s="106"/>
      <c r="K27" s="106"/>
      <c r="L27" s="101"/>
      <c r="M27" s="102"/>
      <c r="N27" s="107"/>
      <c r="O27" s="108"/>
    </row>
    <row r="28" spans="1:15" x14ac:dyDescent="0.4">
      <c r="A28" s="67"/>
      <c r="B28" s="109" t="s">
        <v>124</v>
      </c>
      <c r="C28" s="110"/>
      <c r="D28" s="232">
        <f>LOGINV(0.01,L28,M28)</f>
        <v>5.2370422542891388</v>
      </c>
      <c r="E28" s="232">
        <f>LOGINV(0.1,L28,M28)</f>
        <v>14.295025306526417</v>
      </c>
      <c r="F28" s="232">
        <f>LOGINV($G$16,L28,M28)</f>
        <v>14.295025306526417</v>
      </c>
      <c r="G28" s="232">
        <f>EXP(L28)</f>
        <v>48.98979485566359</v>
      </c>
      <c r="H28" s="232">
        <f>LOGINV(1-$G$16,L28,M28)</f>
        <v>167.89057371617793</v>
      </c>
      <c r="I28" s="232">
        <f>LOGINV(0.9,L28,M28)</f>
        <v>167.89057371617793</v>
      </c>
      <c r="J28" s="232">
        <f>LOGINV(0.99,L28,M28)</f>
        <v>458.27394232582373</v>
      </c>
      <c r="K28" s="232">
        <f>EXP(L28+M28^2/2)</f>
        <v>77.747742474643758</v>
      </c>
      <c r="L28" s="112">
        <f>L25+L26</f>
        <v>3.891612008168019</v>
      </c>
      <c r="M28" s="113">
        <f>(M25^2+M26^2)^0.5</f>
        <v>0.96110093827222975</v>
      </c>
      <c r="N28" s="114"/>
    </row>
    <row r="29" spans="1:15" ht="8.25" customHeight="1" x14ac:dyDescent="0.4">
      <c r="A29" s="67"/>
      <c r="B29" s="104"/>
      <c r="C29" s="84"/>
      <c r="D29" s="115"/>
      <c r="E29" s="115"/>
      <c r="F29" s="115"/>
      <c r="G29" s="115"/>
      <c r="H29" s="115"/>
      <c r="I29" s="115"/>
      <c r="J29" s="115"/>
      <c r="K29" s="115"/>
      <c r="L29" s="101"/>
      <c r="M29" s="101"/>
      <c r="N29" s="114"/>
    </row>
    <row r="30" spans="1:15" ht="13.5" customHeight="1" x14ac:dyDescent="0.4">
      <c r="A30" s="67"/>
      <c r="B30" s="65" t="s">
        <v>173</v>
      </c>
      <c r="C30" s="84"/>
      <c r="D30" s="115"/>
      <c r="E30" s="115"/>
      <c r="F30" s="115"/>
      <c r="G30" s="115"/>
      <c r="H30" s="115"/>
      <c r="I30" s="115"/>
      <c r="J30" s="115"/>
      <c r="K30" s="115"/>
      <c r="L30" s="101"/>
      <c r="M30" s="101"/>
      <c r="N30" s="114"/>
    </row>
    <row r="31" spans="1:15" ht="6" customHeight="1" x14ac:dyDescent="0.4">
      <c r="A31" s="67"/>
      <c r="B31" s="53"/>
      <c r="C31" s="116"/>
      <c r="D31" s="117"/>
      <c r="E31" s="117"/>
      <c r="F31" s="117"/>
      <c r="G31" s="117"/>
      <c r="H31" s="117"/>
      <c r="I31" s="117"/>
      <c r="J31" s="117"/>
      <c r="K31" s="117"/>
      <c r="L31" s="118"/>
      <c r="M31" s="119"/>
      <c r="N31" s="114"/>
    </row>
    <row r="32" spans="1:15" ht="17.25" customHeight="1" x14ac:dyDescent="0.4">
      <c r="A32" s="67"/>
      <c r="B32" s="120" t="s">
        <v>165</v>
      </c>
      <c r="C32" s="121" t="str">
        <f>INT((10*(K28*L11)+0.5)/10)&amp;"  MWe"</f>
        <v>31  MWe</v>
      </c>
      <c r="D32" s="122" t="s">
        <v>166</v>
      </c>
      <c r="E32" s="115"/>
      <c r="F32" s="115"/>
      <c r="G32" s="115"/>
      <c r="H32" s="115"/>
      <c r="I32" s="115"/>
      <c r="J32" s="115"/>
      <c r="K32" s="115"/>
      <c r="L32" s="101"/>
      <c r="M32" s="102"/>
      <c r="N32" s="114"/>
    </row>
    <row r="33" spans="1:18" ht="15.75" customHeight="1" x14ac:dyDescent="0.4">
      <c r="A33" s="67"/>
      <c r="B33" s="120" t="s">
        <v>167</v>
      </c>
      <c r="C33" s="121" t="str">
        <f>INT((10*(G28*L11)+0.5)/10)&amp;"  MWe"</f>
        <v>19  MWe</v>
      </c>
      <c r="D33" s="122" t="s">
        <v>168</v>
      </c>
      <c r="E33" s="115"/>
      <c r="F33" s="115"/>
      <c r="G33" s="115"/>
      <c r="H33" s="115"/>
      <c r="I33" s="115"/>
      <c r="J33" s="115"/>
      <c r="K33" s="115"/>
      <c r="L33" s="101"/>
      <c r="M33" s="102"/>
      <c r="N33" s="114"/>
    </row>
    <row r="34" spans="1:18" ht="6" customHeight="1" x14ac:dyDescent="0.4">
      <c r="A34" s="67"/>
      <c r="B34" s="109"/>
      <c r="C34" s="110"/>
      <c r="D34" s="111"/>
      <c r="E34" s="111"/>
      <c r="F34" s="111"/>
      <c r="G34" s="111"/>
      <c r="H34" s="111"/>
      <c r="I34" s="111"/>
      <c r="J34" s="111"/>
      <c r="K34" s="111"/>
      <c r="L34" s="112"/>
      <c r="M34" s="113"/>
      <c r="N34" s="114"/>
    </row>
    <row r="35" spans="1:18" ht="6" customHeight="1" x14ac:dyDescent="0.4">
      <c r="A35" s="67"/>
      <c r="B35" s="104"/>
      <c r="C35" s="84"/>
      <c r="D35" s="115"/>
      <c r="E35" s="115"/>
      <c r="F35" s="115"/>
      <c r="G35" s="115"/>
      <c r="H35" s="115"/>
      <c r="I35" s="115"/>
      <c r="J35" s="115"/>
      <c r="K35" s="115"/>
      <c r="L35" s="101"/>
      <c r="M35" s="101"/>
      <c r="N35" s="114"/>
    </row>
    <row r="36" spans="1:18" ht="12" customHeight="1" x14ac:dyDescent="0.4">
      <c r="A36" s="74"/>
      <c r="B36" s="123" t="s">
        <v>238</v>
      </c>
      <c r="C36" s="124"/>
      <c r="D36" s="125"/>
      <c r="E36" s="125"/>
      <c r="F36" s="125"/>
      <c r="G36" s="125"/>
      <c r="H36" s="125"/>
      <c r="I36" s="125"/>
      <c r="J36" s="125"/>
      <c r="K36" s="125"/>
      <c r="L36" s="126"/>
      <c r="M36" s="126"/>
      <c r="N36" s="127"/>
      <c r="P36" s="198"/>
      <c r="Q36" s="198"/>
    </row>
    <row r="37" spans="1:18" ht="13.7" x14ac:dyDescent="0.4">
      <c r="A37" s="128"/>
      <c r="B37" s="129"/>
      <c r="C37" s="77"/>
      <c r="D37" s="130"/>
      <c r="E37" s="130"/>
      <c r="F37" s="130"/>
      <c r="G37" s="130"/>
      <c r="H37" s="130"/>
      <c r="I37" s="130"/>
      <c r="J37" s="130"/>
      <c r="K37" s="130"/>
      <c r="L37" s="97"/>
      <c r="M37" s="97"/>
      <c r="N37" s="58"/>
      <c r="O37" s="131">
        <v>0.1</v>
      </c>
      <c r="P37" s="132">
        <f t="shared" ref="P37:P63" si="0">LOGINV(O37/100,$L$28,$M$28)*$L$11</f>
        <v>1.0087659101874589</v>
      </c>
      <c r="Q37" s="57">
        <f t="shared" ref="Q37:Q74" si="1">100-O37</f>
        <v>99.9</v>
      </c>
      <c r="R37" s="200">
        <f>LOGINV(O37/100,$L$28,$M$28)</f>
        <v>2.5132753913110153</v>
      </c>
    </row>
    <row r="38" spans="1:18" x14ac:dyDescent="0.4">
      <c r="A38" s="58"/>
      <c r="B38" s="58"/>
      <c r="C38" s="58"/>
      <c r="D38" s="58"/>
      <c r="E38" s="58"/>
      <c r="F38" s="58"/>
      <c r="G38" s="58"/>
      <c r="H38" s="58"/>
      <c r="I38" s="58"/>
      <c r="J38" s="58"/>
      <c r="K38" s="58"/>
      <c r="L38" s="58"/>
      <c r="M38" s="58"/>
      <c r="N38" s="58"/>
      <c r="O38" s="131">
        <v>1</v>
      </c>
      <c r="P38" s="132">
        <f t="shared" si="0"/>
        <v>2.1020178348153031</v>
      </c>
      <c r="Q38" s="57">
        <f t="shared" si="1"/>
        <v>99</v>
      </c>
      <c r="R38" s="200">
        <f t="shared" ref="R38:R108" si="2">LOGINV(O38/100,$L$28,$M$28)</f>
        <v>5.2370422542891388</v>
      </c>
    </row>
    <row r="39" spans="1:18" x14ac:dyDescent="0.4">
      <c r="A39" s="58"/>
      <c r="B39" s="58"/>
      <c r="C39" s="58"/>
      <c r="D39" s="58"/>
      <c r="E39" s="58"/>
      <c r="F39" s="58"/>
      <c r="G39" s="58"/>
      <c r="H39" s="58"/>
      <c r="I39" s="58"/>
      <c r="J39" s="58"/>
      <c r="K39" s="58"/>
      <c r="L39" s="58"/>
      <c r="M39" s="58"/>
      <c r="N39" s="58"/>
      <c r="O39" s="131">
        <v>2</v>
      </c>
      <c r="P39" s="132">
        <f t="shared" si="0"/>
        <v>2.7316146373367975</v>
      </c>
      <c r="Q39" s="57">
        <f t="shared" si="1"/>
        <v>98</v>
      </c>
      <c r="R39" s="200">
        <f t="shared" si="2"/>
        <v>6.805642198285387</v>
      </c>
    </row>
    <row r="40" spans="1:18" x14ac:dyDescent="0.4">
      <c r="A40" s="58"/>
      <c r="B40" s="58"/>
      <c r="C40" s="58"/>
      <c r="D40" s="58"/>
      <c r="E40" s="58"/>
      <c r="F40" s="58"/>
      <c r="G40" s="58"/>
      <c r="H40" s="58"/>
      <c r="I40" s="58"/>
      <c r="J40" s="58"/>
      <c r="K40" s="58"/>
      <c r="L40" s="58"/>
      <c r="M40" s="58"/>
      <c r="N40" s="58"/>
      <c r="O40" s="131">
        <v>3</v>
      </c>
      <c r="P40" s="132">
        <f t="shared" si="0"/>
        <v>3.2256045179401993</v>
      </c>
      <c r="Q40" s="57">
        <f t="shared" si="1"/>
        <v>97</v>
      </c>
      <c r="R40" s="200">
        <f t="shared" si="2"/>
        <v>8.0363862172287739</v>
      </c>
    </row>
    <row r="41" spans="1:18" x14ac:dyDescent="0.4">
      <c r="A41" s="58"/>
      <c r="B41" s="58"/>
      <c r="C41" s="58"/>
      <c r="D41" s="58"/>
      <c r="E41" s="58"/>
      <c r="F41" s="58"/>
      <c r="G41" s="58"/>
      <c r="H41" s="58"/>
      <c r="I41" s="58"/>
      <c r="J41" s="58"/>
      <c r="K41" s="58"/>
      <c r="L41" s="58"/>
      <c r="M41" s="58"/>
      <c r="N41" s="58"/>
      <c r="O41" s="131">
        <v>4</v>
      </c>
      <c r="P41" s="132">
        <f t="shared" si="0"/>
        <v>3.6552586467949348</v>
      </c>
      <c r="Q41" s="57">
        <f t="shared" si="1"/>
        <v>96</v>
      </c>
      <c r="R41" s="200">
        <f t="shared" si="2"/>
        <v>9.1068418481343745</v>
      </c>
    </row>
    <row r="42" spans="1:18" x14ac:dyDescent="0.4">
      <c r="A42" s="58"/>
      <c r="B42" s="58"/>
      <c r="C42" s="58"/>
      <c r="D42" s="58"/>
      <c r="E42" s="58"/>
      <c r="F42" s="58"/>
      <c r="G42" s="58"/>
      <c r="H42" s="58"/>
      <c r="I42" s="58"/>
      <c r="J42" s="58"/>
      <c r="K42" s="58"/>
      <c r="L42" s="58"/>
      <c r="M42" s="58"/>
      <c r="N42" s="58"/>
      <c r="O42" s="131">
        <v>5</v>
      </c>
      <c r="P42" s="132">
        <f t="shared" si="0"/>
        <v>4.0466222363266304</v>
      </c>
      <c r="Q42" s="57">
        <f t="shared" si="1"/>
        <v>95</v>
      </c>
      <c r="R42" s="200">
        <f t="shared" si="2"/>
        <v>10.08189906278824</v>
      </c>
    </row>
    <row r="43" spans="1:18" x14ac:dyDescent="0.4">
      <c r="A43" s="58"/>
      <c r="B43" s="58"/>
      <c r="C43" s="58"/>
      <c r="D43" s="58"/>
      <c r="E43" s="58"/>
      <c r="F43" s="58"/>
      <c r="G43" s="58"/>
      <c r="H43" s="58"/>
      <c r="I43" s="58"/>
      <c r="J43" s="58"/>
      <c r="K43" s="58"/>
      <c r="L43" s="58"/>
      <c r="M43" s="58"/>
      <c r="N43" s="58"/>
      <c r="O43" s="131">
        <v>6</v>
      </c>
      <c r="P43" s="132">
        <f t="shared" si="0"/>
        <v>4.4125754489598208</v>
      </c>
      <c r="Q43" s="57">
        <f t="shared" si="1"/>
        <v>94</v>
      </c>
      <c r="R43" s="200">
        <f t="shared" si="2"/>
        <v>10.993647957545489</v>
      </c>
    </row>
    <row r="44" spans="1:18" x14ac:dyDescent="0.4">
      <c r="A44" s="58"/>
      <c r="B44" s="58"/>
      <c r="C44" s="58"/>
      <c r="D44" s="58"/>
      <c r="E44" s="58"/>
      <c r="F44" s="58"/>
      <c r="G44" s="58"/>
      <c r="H44" s="58"/>
      <c r="I44" s="58"/>
      <c r="J44" s="58"/>
      <c r="K44" s="58"/>
      <c r="L44" s="58"/>
      <c r="M44" s="58"/>
      <c r="N44" s="58"/>
      <c r="O44" s="131">
        <v>7</v>
      </c>
      <c r="P44" s="132">
        <f t="shared" si="0"/>
        <v>4.7605763351115113</v>
      </c>
      <c r="Q44" s="57">
        <f t="shared" si="1"/>
        <v>93</v>
      </c>
      <c r="R44" s="200">
        <f t="shared" si="2"/>
        <v>11.860669785391494</v>
      </c>
    </row>
    <row r="45" spans="1:18" x14ac:dyDescent="0.4">
      <c r="A45" s="58"/>
      <c r="B45" s="58"/>
      <c r="C45" s="58"/>
      <c r="D45" s="58"/>
      <c r="E45" s="58"/>
      <c r="F45" s="58"/>
      <c r="G45" s="58"/>
      <c r="H45" s="58"/>
      <c r="I45" s="58"/>
      <c r="J45" s="58"/>
      <c r="K45" s="58"/>
      <c r="L45" s="58"/>
      <c r="M45" s="58"/>
      <c r="N45" s="58"/>
      <c r="O45" s="131">
        <v>8</v>
      </c>
      <c r="P45" s="132">
        <f t="shared" si="0"/>
        <v>5.0953954890839315</v>
      </c>
      <c r="Q45" s="57">
        <f t="shared" si="1"/>
        <v>92</v>
      </c>
      <c r="R45" s="200">
        <f t="shared" si="2"/>
        <v>12.694850175232466</v>
      </c>
    </row>
    <row r="46" spans="1:18" x14ac:dyDescent="0.4">
      <c r="A46" s="58"/>
      <c r="B46" s="58"/>
      <c r="C46" s="58"/>
      <c r="D46" s="58"/>
      <c r="E46" s="58"/>
      <c r="F46" s="58"/>
      <c r="G46" s="58"/>
      <c r="H46" s="58"/>
      <c r="I46" s="58"/>
      <c r="J46" s="58"/>
      <c r="K46" s="58"/>
      <c r="L46" s="58"/>
      <c r="M46" s="58"/>
      <c r="N46" s="58"/>
      <c r="O46" s="131">
        <v>9</v>
      </c>
      <c r="P46" s="132">
        <f t="shared" si="0"/>
        <v>5.4203043159123592</v>
      </c>
      <c r="Q46" s="57">
        <f t="shared" si="1"/>
        <v>91</v>
      </c>
      <c r="R46" s="200">
        <f t="shared" si="2"/>
        <v>13.504339622329141</v>
      </c>
    </row>
    <row r="47" spans="1:18" x14ac:dyDescent="0.4">
      <c r="A47" s="58"/>
      <c r="B47" s="58"/>
      <c r="C47" s="58"/>
      <c r="D47" s="58"/>
      <c r="E47" s="58"/>
      <c r="F47" s="58"/>
      <c r="G47" s="58"/>
      <c r="H47" s="58"/>
      <c r="I47" s="58"/>
      <c r="J47" s="58"/>
      <c r="K47" s="58"/>
      <c r="L47" s="58"/>
      <c r="M47" s="58"/>
      <c r="N47" s="58"/>
      <c r="O47" s="131">
        <v>10</v>
      </c>
      <c r="P47" s="132">
        <f t="shared" si="0"/>
        <v>5.7376657824070412</v>
      </c>
      <c r="Q47" s="57">
        <f t="shared" si="1"/>
        <v>90</v>
      </c>
      <c r="R47" s="200">
        <f t="shared" si="2"/>
        <v>14.295025306526417</v>
      </c>
    </row>
    <row r="48" spans="1:18" x14ac:dyDescent="0.4">
      <c r="A48" s="58"/>
      <c r="B48" s="58"/>
      <c r="C48" s="58"/>
      <c r="D48" s="58"/>
      <c r="E48" s="58"/>
      <c r="F48" s="58"/>
      <c r="G48" s="58"/>
      <c r="H48" s="58"/>
      <c r="I48" s="58"/>
      <c r="J48" s="58"/>
      <c r="K48" s="58"/>
      <c r="L48" s="58"/>
      <c r="M48" s="58"/>
      <c r="N48" s="58"/>
      <c r="O48" s="131">
        <v>11</v>
      </c>
      <c r="P48" s="132">
        <f t="shared" si="0"/>
        <v>6.0492576050918441</v>
      </c>
      <c r="Q48" s="57">
        <f t="shared" si="1"/>
        <v>89</v>
      </c>
      <c r="R48" s="200">
        <f t="shared" si="2"/>
        <v>15.071336294218234</v>
      </c>
    </row>
    <row r="49" spans="1:18" x14ac:dyDescent="0.4">
      <c r="A49" s="58"/>
      <c r="B49" s="58"/>
      <c r="C49" s="58"/>
      <c r="D49" s="58"/>
      <c r="E49" s="58"/>
      <c r="F49" s="58"/>
      <c r="G49" s="58"/>
      <c r="H49" s="58"/>
      <c r="I49" s="58"/>
      <c r="J49" s="58"/>
      <c r="K49" s="58"/>
      <c r="L49" s="58"/>
      <c r="M49" s="58"/>
      <c r="N49" s="58"/>
      <c r="O49" s="131">
        <v>12</v>
      </c>
      <c r="P49" s="132">
        <f t="shared" si="0"/>
        <v>6.3564622544225582</v>
      </c>
      <c r="Q49" s="57">
        <f t="shared" si="1"/>
        <v>88</v>
      </c>
      <c r="R49" s="200">
        <f t="shared" si="2"/>
        <v>15.836716921638263</v>
      </c>
    </row>
    <row r="50" spans="1:18" x14ac:dyDescent="0.4">
      <c r="A50" s="58"/>
      <c r="B50" s="58"/>
      <c r="C50" s="58"/>
      <c r="D50" s="58"/>
      <c r="E50" s="58"/>
      <c r="F50" s="58"/>
      <c r="G50" s="58"/>
      <c r="H50" s="58"/>
      <c r="I50" s="58"/>
      <c r="J50" s="58"/>
      <c r="K50" s="58"/>
      <c r="L50" s="58"/>
      <c r="M50" s="58"/>
      <c r="N50" s="58"/>
      <c r="O50" s="131">
        <v>13</v>
      </c>
      <c r="P50" s="132">
        <f t="shared" si="0"/>
        <v>6.6603851327118599</v>
      </c>
      <c r="Q50" s="57">
        <f t="shared" si="1"/>
        <v>87</v>
      </c>
      <c r="R50" s="200">
        <f t="shared" si="2"/>
        <v>16.59392122755991</v>
      </c>
    </row>
    <row r="51" spans="1:18" x14ac:dyDescent="0.4">
      <c r="A51" s="58"/>
      <c r="B51" s="58"/>
      <c r="C51" s="58"/>
      <c r="D51" s="58"/>
      <c r="E51" s="58"/>
      <c r="F51" s="58"/>
      <c r="G51" s="58"/>
      <c r="H51" s="58"/>
      <c r="I51" s="58"/>
      <c r="J51" s="58"/>
      <c r="K51" s="58"/>
      <c r="L51" s="58"/>
      <c r="M51" s="58"/>
      <c r="N51" s="58"/>
      <c r="O51" s="131">
        <v>14</v>
      </c>
      <c r="P51" s="132">
        <f t="shared" si="0"/>
        <v>6.9619314950606022</v>
      </c>
      <c r="Q51" s="57">
        <f t="shared" si="1"/>
        <v>86</v>
      </c>
      <c r="R51" s="200">
        <f t="shared" si="2"/>
        <v>17.345204596849833</v>
      </c>
    </row>
    <row r="52" spans="1:18" x14ac:dyDescent="0.4">
      <c r="A52" s="58"/>
      <c r="B52" s="58"/>
      <c r="C52" s="58"/>
      <c r="D52" s="58"/>
      <c r="E52" s="58"/>
      <c r="F52" s="58"/>
      <c r="G52" s="58"/>
      <c r="H52" s="58"/>
      <c r="I52" s="58"/>
      <c r="J52" s="58"/>
      <c r="K52" s="58"/>
      <c r="L52" s="58"/>
      <c r="M52" s="58"/>
      <c r="N52" s="58"/>
      <c r="O52" s="131">
        <v>15</v>
      </c>
      <c r="P52" s="132">
        <f t="shared" si="0"/>
        <v>7.2618584323518887</v>
      </c>
      <c r="Q52" s="57">
        <f t="shared" si="1"/>
        <v>85</v>
      </c>
      <c r="R52" s="200">
        <f t="shared" si="2"/>
        <v>18.092453272754625</v>
      </c>
    </row>
    <row r="53" spans="1:18" x14ac:dyDescent="0.4">
      <c r="A53" s="58"/>
      <c r="B53" s="58"/>
      <c r="C53" s="58"/>
      <c r="D53" s="58"/>
      <c r="E53" s="58"/>
      <c r="F53" s="58"/>
      <c r="G53" s="58"/>
      <c r="H53" s="58"/>
      <c r="I53" s="58"/>
      <c r="J53" s="58"/>
      <c r="K53" s="58"/>
      <c r="L53" s="58"/>
      <c r="M53" s="58"/>
      <c r="N53" s="58"/>
      <c r="O53" s="131">
        <v>16</v>
      </c>
      <c r="P53" s="132">
        <f t="shared" si="0"/>
        <v>7.5608111315604045</v>
      </c>
      <c r="Q53" s="57">
        <f t="shared" si="1"/>
        <v>84</v>
      </c>
      <c r="R53" s="200">
        <f t="shared" si="2"/>
        <v>18.837274697129626</v>
      </c>
    </row>
    <row r="54" spans="1:18" x14ac:dyDescent="0.4">
      <c r="A54" s="58"/>
      <c r="B54" s="58"/>
      <c r="C54" s="58"/>
      <c r="D54" s="58"/>
      <c r="E54" s="58"/>
      <c r="F54" s="58"/>
      <c r="G54" s="58"/>
      <c r="H54" s="58"/>
      <c r="I54" s="58"/>
      <c r="J54" s="58"/>
      <c r="K54" s="58"/>
      <c r="L54" s="58"/>
      <c r="M54" s="58"/>
      <c r="N54" s="58"/>
      <c r="O54" s="131">
        <v>17</v>
      </c>
      <c r="P54" s="132">
        <f t="shared" si="0"/>
        <v>7.8593488659705146</v>
      </c>
      <c r="Q54" s="57">
        <f t="shared" si="1"/>
        <v>83</v>
      </c>
      <c r="R54" s="200">
        <f t="shared" si="2"/>
        <v>19.581062263395861</v>
      </c>
    </row>
    <row r="55" spans="1:18" x14ac:dyDescent="0.4">
      <c r="A55" s="58"/>
      <c r="B55" s="58"/>
      <c r="C55" s="58"/>
      <c r="D55" s="58"/>
      <c r="E55" s="58"/>
      <c r="F55" s="58"/>
      <c r="G55" s="58"/>
      <c r="H55" s="58"/>
      <c r="I55" s="58"/>
      <c r="J55" s="58"/>
      <c r="K55" s="58"/>
      <c r="L55" s="58"/>
      <c r="M55" s="58"/>
      <c r="N55" s="58"/>
      <c r="O55" s="131">
        <v>18</v>
      </c>
      <c r="P55" s="132">
        <f t="shared" si="0"/>
        <v>8.1579640715359165</v>
      </c>
      <c r="Q55" s="57">
        <f t="shared" si="1"/>
        <v>82</v>
      </c>
      <c r="R55" s="200">
        <f t="shared" si="2"/>
        <v>20.325042844063322</v>
      </c>
    </row>
    <row r="56" spans="1:18" x14ac:dyDescent="0.4">
      <c r="A56" s="58"/>
      <c r="B56" s="58"/>
      <c r="C56" s="58"/>
      <c r="D56" s="58"/>
      <c r="E56" s="58"/>
      <c r="F56" s="58"/>
      <c r="G56" s="58"/>
      <c r="H56" s="58"/>
      <c r="I56" s="58"/>
      <c r="J56" s="58"/>
      <c r="K56" s="58"/>
      <c r="L56" s="58"/>
      <c r="M56" s="58"/>
      <c r="N56" s="58"/>
      <c r="O56" s="131">
        <v>19</v>
      </c>
      <c r="P56" s="132">
        <f t="shared" si="0"/>
        <v>8.457096646438055</v>
      </c>
      <c r="Q56" s="57">
        <f t="shared" si="1"/>
        <v>81</v>
      </c>
      <c r="R56" s="200">
        <f t="shared" si="2"/>
        <v>21.070312417161144</v>
      </c>
    </row>
    <row r="57" spans="1:18" x14ac:dyDescent="0.4">
      <c r="A57" s="58"/>
      <c r="B57" s="58"/>
      <c r="C57" s="58"/>
      <c r="D57" s="58"/>
      <c r="E57" s="58"/>
      <c r="F57" s="58"/>
      <c r="G57" s="58"/>
      <c r="H57" s="58"/>
      <c r="I57" s="58"/>
      <c r="J57" s="58"/>
      <c r="K57" s="58"/>
      <c r="L57" s="58"/>
      <c r="M57" s="58"/>
      <c r="N57" s="58"/>
      <c r="O57" s="131">
        <v>20</v>
      </c>
      <c r="P57" s="132">
        <f t="shared" si="0"/>
        <v>8.7571448752437195</v>
      </c>
      <c r="Q57" s="57">
        <f t="shared" si="1"/>
        <v>80</v>
      </c>
      <c r="R57" s="200">
        <f t="shared" si="2"/>
        <v>21.817863283073731</v>
      </c>
    </row>
    <row r="58" spans="1:18" x14ac:dyDescent="0.4">
      <c r="A58" s="58"/>
      <c r="B58" s="58"/>
      <c r="C58" s="58"/>
      <c r="D58" s="58"/>
      <c r="E58" s="58"/>
      <c r="F58" s="58"/>
      <c r="G58" s="58"/>
      <c r="H58" s="58"/>
      <c r="I58" s="58"/>
      <c r="J58" s="58"/>
      <c r="K58" s="58"/>
      <c r="L58" s="58"/>
      <c r="M58" s="58"/>
      <c r="N58" s="58"/>
      <c r="O58" s="131">
        <v>21</v>
      </c>
      <c r="P58" s="132">
        <f t="shared" si="0"/>
        <v>9.0584739207042624</v>
      </c>
      <c r="Q58" s="57">
        <f t="shared" si="1"/>
        <v>79</v>
      </c>
      <c r="R58" s="200">
        <f t="shared" si="2"/>
        <v>22.568605221312392</v>
      </c>
    </row>
    <row r="59" spans="1:18" x14ac:dyDescent="0.4">
      <c r="A59" s="58"/>
      <c r="B59" s="58"/>
      <c r="C59" s="58"/>
      <c r="D59" s="58"/>
      <c r="E59" s="58"/>
      <c r="F59" s="58"/>
      <c r="G59" s="58"/>
      <c r="H59" s="58"/>
      <c r="I59" s="58"/>
      <c r="J59" s="58"/>
      <c r="K59" s="58"/>
      <c r="L59" s="58"/>
      <c r="M59" s="58"/>
      <c r="N59" s="58"/>
      <c r="O59" s="131">
        <v>22</v>
      </c>
      <c r="P59" s="132">
        <f t="shared" si="0"/>
        <v>9.3614225325159346</v>
      </c>
      <c r="Q59" s="57">
        <f t="shared" si="1"/>
        <v>78</v>
      </c>
      <c r="R59" s="200">
        <f t="shared" si="2"/>
        <v>23.323382204960282</v>
      </c>
    </row>
    <row r="60" spans="1:18" x14ac:dyDescent="0.4">
      <c r="A60" s="58"/>
      <c r="B60" s="58"/>
      <c r="C60" s="58"/>
      <c r="D60" s="58"/>
      <c r="E60" s="58"/>
      <c r="F60" s="58"/>
      <c r="G60" s="58"/>
      <c r="H60" s="58"/>
      <c r="I60" s="58"/>
      <c r="J60" s="58"/>
      <c r="K60" s="58"/>
      <c r="L60" s="58"/>
      <c r="M60" s="58"/>
      <c r="N60" s="58"/>
      <c r="O60" s="131">
        <v>23</v>
      </c>
      <c r="P60" s="132">
        <f t="shared" si="0"/>
        <v>9.6663084294009192</v>
      </c>
      <c r="Q60" s="57">
        <f t="shared" si="1"/>
        <v>77</v>
      </c>
      <c r="R60" s="200">
        <f t="shared" si="2"/>
        <v>24.082985809781174</v>
      </c>
    </row>
    <row r="61" spans="1:18" x14ac:dyDescent="0.4">
      <c r="A61" s="58"/>
      <c r="B61" s="58"/>
      <c r="C61" s="58"/>
      <c r="D61" s="58"/>
      <c r="E61" s="58"/>
      <c r="F61" s="58"/>
      <c r="G61" s="58"/>
      <c r="H61" s="58"/>
      <c r="I61" s="58"/>
      <c r="J61" s="58"/>
      <c r="K61" s="58"/>
      <c r="L61" s="58"/>
      <c r="M61" s="58"/>
      <c r="N61" s="58"/>
      <c r="O61" s="131">
        <v>24</v>
      </c>
      <c r="P61" s="132">
        <f t="shared" si="0"/>
        <v>9.973432681270328</v>
      </c>
      <c r="Q61" s="57">
        <f t="shared" si="1"/>
        <v>76</v>
      </c>
      <c r="R61" s="200">
        <f t="shared" si="2"/>
        <v>24.848166132096736</v>
      </c>
    </row>
    <row r="62" spans="1:18" ht="6.75" customHeight="1" x14ac:dyDescent="0.4">
      <c r="B62" s="201"/>
      <c r="C62" s="201"/>
      <c r="D62" s="201"/>
      <c r="E62" s="201"/>
      <c r="F62" s="201"/>
      <c r="G62" s="201"/>
      <c r="H62" s="201"/>
      <c r="I62" s="201"/>
      <c r="J62" s="201"/>
      <c r="K62" s="201"/>
      <c r="L62" s="201"/>
      <c r="M62" s="201"/>
      <c r="N62" s="58"/>
      <c r="O62" s="131">
        <v>25</v>
      </c>
      <c r="P62" s="132">
        <f t="shared" si="0"/>
        <v>10.283083329451289</v>
      </c>
      <c r="Q62" s="57">
        <f t="shared" si="1"/>
        <v>75</v>
      </c>
      <c r="R62" s="200">
        <f t="shared" si="2"/>
        <v>25.619640808349519</v>
      </c>
    </row>
    <row r="63" spans="1:18" x14ac:dyDescent="0.4">
      <c r="B63" s="58"/>
      <c r="C63" s="58"/>
      <c r="D63" s="58"/>
      <c r="E63" s="58"/>
      <c r="F63" s="58"/>
      <c r="G63" s="58"/>
      <c r="H63" s="58"/>
      <c r="I63" s="58"/>
      <c r="J63" s="58"/>
      <c r="K63" s="58"/>
      <c r="L63" s="58"/>
      <c r="M63" s="58"/>
      <c r="N63" s="58"/>
      <c r="O63" s="131">
        <v>26</v>
      </c>
      <c r="P63" s="132">
        <f t="shared" si="0"/>
        <v>10.595538421056585</v>
      </c>
      <c r="Q63" s="57">
        <f t="shared" si="1"/>
        <v>74</v>
      </c>
      <c r="R63" s="200">
        <f t="shared" si="2"/>
        <v>26.398102575039761</v>
      </c>
    </row>
    <row r="64" spans="1:18" x14ac:dyDescent="0.4">
      <c r="B64" s="58"/>
      <c r="C64" s="58"/>
      <c r="D64" s="58"/>
      <c r="E64" s="58"/>
      <c r="F64" s="58"/>
      <c r="G64" s="58"/>
      <c r="H64" s="58"/>
      <c r="I64" s="58"/>
      <c r="J64" s="58"/>
      <c r="K64" s="58"/>
      <c r="L64" s="58"/>
      <c r="M64" s="58"/>
      <c r="N64" s="58"/>
      <c r="O64" s="131"/>
      <c r="P64" s="132"/>
      <c r="R64" s="200"/>
    </row>
    <row r="65" spans="2:18" x14ac:dyDescent="0.4">
      <c r="B65" s="58"/>
      <c r="C65" s="58"/>
      <c r="D65" s="58"/>
      <c r="E65" s="58"/>
      <c r="F65" s="58"/>
      <c r="G65" s="58"/>
      <c r="H65" s="58"/>
      <c r="I65" s="58"/>
      <c r="J65" s="58"/>
      <c r="K65" s="58"/>
      <c r="L65" s="58"/>
      <c r="M65" s="58"/>
      <c r="N65" s="58"/>
      <c r="O65" s="131"/>
      <c r="P65" s="132"/>
      <c r="R65" s="200"/>
    </row>
    <row r="66" spans="2:18" x14ac:dyDescent="0.4">
      <c r="B66" s="58"/>
      <c r="C66" s="58"/>
      <c r="D66" s="58"/>
      <c r="E66" s="58"/>
      <c r="F66" s="58"/>
      <c r="G66" s="58"/>
      <c r="H66" s="58"/>
      <c r="I66" s="58"/>
      <c r="J66" s="58"/>
      <c r="K66" s="58"/>
      <c r="L66" s="58"/>
      <c r="M66" s="58"/>
      <c r="N66" s="58"/>
      <c r="O66" s="131"/>
      <c r="P66" s="132"/>
      <c r="R66" s="200"/>
    </row>
    <row r="67" spans="2:18" x14ac:dyDescent="0.4">
      <c r="O67"/>
      <c r="P67" s="132" t="e">
        <f>LOGINV(O67/100,$L$28,$M$28)*$L$11</f>
        <v>#NUM!</v>
      </c>
      <c r="Q67" s="57">
        <f t="shared" si="1"/>
        <v>100</v>
      </c>
      <c r="R67" s="200" t="e">
        <f t="shared" si="2"/>
        <v>#NUM!</v>
      </c>
    </row>
    <row r="68" spans="2:18" ht="15.75" customHeight="1" x14ac:dyDescent="0.4">
      <c r="O68"/>
      <c r="P68" s="132"/>
      <c r="R68" s="200"/>
    </row>
    <row r="69" spans="2:18" x14ac:dyDescent="0.4">
      <c r="O69"/>
      <c r="P69" s="132"/>
      <c r="R69" s="200"/>
    </row>
    <row r="70" spans="2:18" x14ac:dyDescent="0.4">
      <c r="N70" s="58"/>
      <c r="O70" s="131"/>
      <c r="P70" s="132"/>
      <c r="R70" s="200"/>
    </row>
    <row r="71" spans="2:18" ht="12" customHeight="1" x14ac:dyDescent="0.4">
      <c r="N71" s="58"/>
      <c r="O71" s="131">
        <v>28</v>
      </c>
      <c r="P71" s="132">
        <f t="shared" ref="P71:P82" si="3">LOGINV(O71/100,$L$28,$M$28)*$L$11</f>
        <v>11.229939283404248</v>
      </c>
      <c r="Q71" s="57">
        <f t="shared" si="1"/>
        <v>72</v>
      </c>
      <c r="R71" s="200">
        <f t="shared" si="2"/>
        <v>27.978671525142939</v>
      </c>
    </row>
    <row r="72" spans="2:18" ht="18" customHeight="1" x14ac:dyDescent="0.4">
      <c r="N72" s="58"/>
      <c r="O72" s="131">
        <v>29</v>
      </c>
      <c r="P72" s="132">
        <f t="shared" si="3"/>
        <v>11.552412717065716</v>
      </c>
      <c r="Q72" s="57">
        <f t="shared" si="1"/>
        <v>71</v>
      </c>
      <c r="R72" s="200">
        <f t="shared" si="2"/>
        <v>28.782093346784713</v>
      </c>
    </row>
    <row r="73" spans="2:18" ht="6.75" customHeight="1" x14ac:dyDescent="0.4">
      <c r="N73" s="58"/>
      <c r="O73" s="131">
        <v>30</v>
      </c>
      <c r="P73" s="132">
        <f t="shared" si="3"/>
        <v>11.8787496110664</v>
      </c>
      <c r="Q73" s="57">
        <f t="shared" si="1"/>
        <v>70</v>
      </c>
      <c r="R73" s="200">
        <f t="shared" si="2"/>
        <v>29.595140731401802</v>
      </c>
    </row>
    <row r="74" spans="2:18" ht="33.75" customHeight="1" x14ac:dyDescent="0.4">
      <c r="N74" s="58"/>
      <c r="O74" s="131">
        <v>31</v>
      </c>
      <c r="P74" s="132">
        <f t="shared" si="3"/>
        <v>12.209210763717893</v>
      </c>
      <c r="Q74" s="57">
        <f t="shared" si="1"/>
        <v>69</v>
      </c>
      <c r="R74" s="200">
        <f t="shared" si="2"/>
        <v>30.41846344121555</v>
      </c>
    </row>
    <row r="75" spans="2:18" ht="3" customHeight="1" x14ac:dyDescent="0.4">
      <c r="N75" s="58"/>
      <c r="O75" s="131">
        <v>32</v>
      </c>
      <c r="P75" s="132">
        <f t="shared" si="3"/>
        <v>12.544058496944892</v>
      </c>
      <c r="Q75" s="57">
        <f t="shared" ref="Q75:Q107" si="4">100-O75</f>
        <v>68</v>
      </c>
      <c r="R75" s="200">
        <f t="shared" si="2"/>
        <v>31.252715034431368</v>
      </c>
    </row>
    <row r="76" spans="2:18" ht="21" customHeight="1" x14ac:dyDescent="0.4">
      <c r="N76" s="58"/>
      <c r="O76" s="131">
        <v>33</v>
      </c>
      <c r="P76" s="132">
        <f t="shared" si="3"/>
        <v>12.883558007012995</v>
      </c>
      <c r="Q76" s="57">
        <f t="shared" si="4"/>
        <v>67</v>
      </c>
      <c r="R76" s="200">
        <f t="shared" si="2"/>
        <v>32.098556230490175</v>
      </c>
    </row>
    <row r="77" spans="2:18" ht="17.25" customHeight="1" x14ac:dyDescent="0.4">
      <c r="N77" s="58"/>
      <c r="O77" s="131">
        <v>34</v>
      </c>
      <c r="P77" s="132">
        <f t="shared" si="3"/>
        <v>13.227978646945484</v>
      </c>
      <c r="Q77" s="57">
        <f t="shared" si="4"/>
        <v>66</v>
      </c>
      <c r="R77" s="200">
        <f t="shared" si="2"/>
        <v>32.956658105127332</v>
      </c>
    </row>
    <row r="78" spans="2:18" ht="33.75" customHeight="1" x14ac:dyDescent="0.4">
      <c r="N78" s="58"/>
      <c r="O78" s="131">
        <v>35</v>
      </c>
      <c r="P78" s="132">
        <f t="shared" si="3"/>
        <v>13.577595163250846</v>
      </c>
      <c r="Q78" s="57">
        <f t="shared" si="4"/>
        <v>65</v>
      </c>
      <c r="R78" s="200">
        <f t="shared" si="2"/>
        <v>33.827705171599739</v>
      </c>
    </row>
    <row r="79" spans="2:18" ht="6" customHeight="1" x14ac:dyDescent="0.4">
      <c r="N79" s="58"/>
      <c r="O79" s="131">
        <v>36</v>
      </c>
      <c r="P79" s="132">
        <f t="shared" si="3"/>
        <v>13.932688906591515</v>
      </c>
      <c r="Q79" s="57">
        <f t="shared" si="4"/>
        <v>64</v>
      </c>
      <c r="R79" s="200">
        <f t="shared" si="2"/>
        <v>34.712398396989137</v>
      </c>
    </row>
    <row r="80" spans="2:18" ht="34.5" customHeight="1" x14ac:dyDescent="0.4">
      <c r="N80" s="58"/>
      <c r="O80" s="131">
        <v>37</v>
      </c>
      <c r="P80" s="132">
        <f t="shared" si="3"/>
        <v>14.293549033823519</v>
      </c>
      <c r="Q80" s="57">
        <f t="shared" si="4"/>
        <v>63</v>
      </c>
      <c r="R80" s="200">
        <f t="shared" si="2"/>
        <v>35.611458197006584</v>
      </c>
    </row>
    <row r="81" spans="14:18" x14ac:dyDescent="0.4">
      <c r="N81" s="58"/>
      <c r="O81" s="131">
        <v>38</v>
      </c>
      <c r="P81" s="132">
        <f t="shared" si="3"/>
        <v>14.660473717268342</v>
      </c>
      <c r="Q81" s="57">
        <f t="shared" si="4"/>
        <v>62</v>
      </c>
      <c r="R81" s="200">
        <f t="shared" si="2"/>
        <v>36.525627448815548</v>
      </c>
    </row>
    <row r="82" spans="14:18" ht="6.75" customHeight="1" x14ac:dyDescent="0.4">
      <c r="N82" s="58"/>
      <c r="O82" s="131">
        <v>39</v>
      </c>
      <c r="P82" s="132">
        <f t="shared" si="3"/>
        <v>15.033771376025186</v>
      </c>
      <c r="Q82" s="57">
        <f t="shared" si="4"/>
        <v>61</v>
      </c>
      <c r="R82" s="200">
        <f t="shared" si="2"/>
        <v>37.4556745587672</v>
      </c>
    </row>
    <row r="83" spans="14:18" x14ac:dyDescent="0.4">
      <c r="N83" s="58"/>
      <c r="O83" s="131"/>
      <c r="P83" s="132"/>
      <c r="R83" s="200"/>
    </row>
    <row r="84" spans="14:18" x14ac:dyDescent="0.4">
      <c r="N84" s="58"/>
      <c r="O84" s="131">
        <v>40</v>
      </c>
      <c r="P84" s="132">
        <f t="shared" ref="P84:P115" si="5">LOGINV(O84/100,$L$28,$M$28)*$L$11</f>
        <v>15.413761943512021</v>
      </c>
      <c r="Q84" s="57">
        <f t="shared" si="4"/>
        <v>60</v>
      </c>
      <c r="R84" s="200">
        <f t="shared" si="2"/>
        <v>38.402396620397433</v>
      </c>
    </row>
    <row r="85" spans="14:18" x14ac:dyDescent="0.4">
      <c r="N85" s="58"/>
      <c r="O85" s="131">
        <v>41</v>
      </c>
      <c r="P85" s="132">
        <f t="shared" si="5"/>
        <v>15.800778185179471</v>
      </c>
      <c r="Q85" s="57">
        <f t="shared" si="4"/>
        <v>59</v>
      </c>
      <c r="R85" s="200">
        <f t="shared" si="2"/>
        <v>39.366622697426273</v>
      </c>
    </row>
    <row r="86" spans="14:18" x14ac:dyDescent="0.4">
      <c r="N86" s="58"/>
      <c r="O86" s="131">
        <v>42</v>
      </c>
      <c r="P86" s="132">
        <f t="shared" si="5"/>
        <v>16.195167080433603</v>
      </c>
      <c r="Q86" s="57">
        <f t="shared" si="4"/>
        <v>58</v>
      </c>
      <c r="R86" s="200">
        <f t="shared" si="2"/>
        <v>40.349217266729617</v>
      </c>
    </row>
    <row r="87" spans="14:18" x14ac:dyDescent="0.4">
      <c r="N87" s="58"/>
      <c r="O87" s="131">
        <v>43</v>
      </c>
      <c r="P87" s="132">
        <f t="shared" si="5"/>
        <v>16.597291283210687</v>
      </c>
      <c r="Q87" s="57">
        <f t="shared" si="4"/>
        <v>57</v>
      </c>
      <c r="R87" s="200">
        <f t="shared" si="2"/>
        <v>41.351083857267355</v>
      </c>
    </row>
    <row r="88" spans="14:18" x14ac:dyDescent="0.4">
      <c r="N88" s="58"/>
      <c r="O88" s="131">
        <v>44</v>
      </c>
      <c r="P88" s="132">
        <f t="shared" si="5"/>
        <v>17.007530676358581</v>
      </c>
      <c r="Q88" s="57">
        <f t="shared" si="4"/>
        <v>56</v>
      </c>
      <c r="R88" s="200">
        <f t="shared" si="2"/>
        <v>42.373168922724581</v>
      </c>
    </row>
    <row r="89" spans="14:18" x14ac:dyDescent="0.4">
      <c r="N89" s="58"/>
      <c r="O89" s="131">
        <v>45</v>
      </c>
      <c r="P89" s="132">
        <f t="shared" si="5"/>
        <v>17.426284035999032</v>
      </c>
      <c r="Q89" s="57">
        <f t="shared" si="4"/>
        <v>55</v>
      </c>
      <c r="R89" s="200">
        <f t="shared" si="2"/>
        <v>43.416465988163267</v>
      </c>
    </row>
    <row r="90" spans="14:18" x14ac:dyDescent="0.4">
      <c r="N90" s="58"/>
      <c r="O90" s="131">
        <v>46</v>
      </c>
      <c r="P90" s="132">
        <f t="shared" si="5"/>
        <v>17.853970823385637</v>
      </c>
      <c r="Q90" s="57">
        <f t="shared" si="4"/>
        <v>54</v>
      </c>
      <c r="R90" s="200">
        <f t="shared" si="2"/>
        <v>44.482020114321109</v>
      </c>
    </row>
    <row r="91" spans="14:18" x14ac:dyDescent="0.4">
      <c r="N91" s="58"/>
      <c r="O91" s="131">
        <v>47</v>
      </c>
      <c r="P91" s="132">
        <f t="shared" si="5"/>
        <v>18.291033123458028</v>
      </c>
      <c r="Q91" s="57">
        <f t="shared" si="4"/>
        <v>53</v>
      </c>
      <c r="R91" s="200">
        <f t="shared" si="2"/>
        <v>45.570932727394649</v>
      </c>
    </row>
    <row r="92" spans="14:18" x14ac:dyDescent="0.4">
      <c r="N92" s="58"/>
      <c r="O92" s="131">
        <v>48</v>
      </c>
      <c r="P92" s="132">
        <f t="shared" si="5"/>
        <v>18.737937751359858</v>
      </c>
      <c r="Q92" s="57">
        <f t="shared" si="4"/>
        <v>52</v>
      </c>
      <c r="R92" s="200">
        <f t="shared" si="2"/>
        <v>46.684366867293321</v>
      </c>
    </row>
    <row r="93" spans="14:18" x14ac:dyDescent="0.4">
      <c r="N93" s="58"/>
      <c r="O93" s="131">
        <v>49</v>
      </c>
      <c r="P93" s="132">
        <f t="shared" si="5"/>
        <v>19.195178550683671</v>
      </c>
      <c r="Q93" s="57">
        <f t="shared" si="4"/>
        <v>51</v>
      </c>
      <c r="R93" s="200">
        <f t="shared" si="2"/>
        <v>47.823552913568783</v>
      </c>
    </row>
    <row r="94" spans="14:18" x14ac:dyDescent="0.4">
      <c r="N94" s="58"/>
      <c r="O94" s="131">
        <v>50</v>
      </c>
      <c r="P94" s="132">
        <f t="shared" si="5"/>
        <v>19.663278910191973</v>
      </c>
      <c r="Q94" s="57">
        <f t="shared" si="4"/>
        <v>50</v>
      </c>
      <c r="R94" s="200">
        <f t="shared" si="2"/>
        <v>48.98979485566359</v>
      </c>
    </row>
    <row r="95" spans="14:18" x14ac:dyDescent="0.4">
      <c r="N95" s="58"/>
      <c r="O95" s="131">
        <v>51</v>
      </c>
      <c r="P95" s="132">
        <f t="shared" si="5"/>
        <v>20.142794529318373</v>
      </c>
      <c r="Q95" s="57">
        <f t="shared" si="4"/>
        <v>49</v>
      </c>
      <c r="R95" s="200">
        <f t="shared" si="2"/>
        <v>50.184477182979435</v>
      </c>
    </row>
    <row r="96" spans="14:18" x14ac:dyDescent="0.4">
      <c r="N96" s="58"/>
      <c r="O96" s="131">
        <v>52</v>
      </c>
      <c r="P96" s="132">
        <f t="shared" si="5"/>
        <v>20.63431646697304</v>
      </c>
      <c r="Q96" s="57">
        <f t="shared" si="4"/>
        <v>48</v>
      </c>
      <c r="R96" s="200">
        <f t="shared" si="2"/>
        <v>51.409072480779912</v>
      </c>
    </row>
    <row r="97" spans="2:18" x14ac:dyDescent="0.4">
      <c r="N97" s="58"/>
      <c r="O97" s="131">
        <v>53</v>
      </c>
      <c r="P97" s="132">
        <f t="shared" si="5"/>
        <v>21.138474513182828</v>
      </c>
      <c r="Q97" s="57">
        <f t="shared" si="4"/>
        <v>47</v>
      </c>
      <c r="R97" s="200">
        <f t="shared" si="2"/>
        <v>52.665149830415018</v>
      </c>
    </row>
    <row r="98" spans="2:18" x14ac:dyDescent="0.4">
      <c r="B98" s="58"/>
      <c r="C98" s="58"/>
      <c r="D98" s="58"/>
      <c r="E98" s="58"/>
      <c r="F98" s="58"/>
      <c r="G98" s="58"/>
      <c r="H98" s="58"/>
      <c r="I98" s="58"/>
      <c r="J98" s="58"/>
      <c r="K98" s="58"/>
      <c r="L98" s="58"/>
      <c r="M98" s="58"/>
      <c r="N98" s="58"/>
      <c r="O98" s="131">
        <v>54</v>
      </c>
      <c r="P98" s="132">
        <f t="shared" si="5"/>
        <v>21.655940929037616</v>
      </c>
      <c r="Q98" s="57">
        <f t="shared" si="4"/>
        <v>46</v>
      </c>
      <c r="R98" s="200">
        <f t="shared" si="2"/>
        <v>53.954384127156935</v>
      </c>
    </row>
    <row r="99" spans="2:18" x14ac:dyDescent="0.4">
      <c r="B99" s="58"/>
      <c r="C99" s="58"/>
      <c r="D99" s="58"/>
      <c r="E99" s="58"/>
      <c r="F99" s="58"/>
      <c r="G99" s="58"/>
      <c r="H99" s="58"/>
      <c r="I99" s="58"/>
      <c r="J99" s="58"/>
      <c r="K99" s="58"/>
      <c r="L99" s="58"/>
      <c r="M99" s="58"/>
      <c r="N99" s="58"/>
      <c r="O99" s="131">
        <v>55</v>
      </c>
      <c r="P99" s="132">
        <f t="shared" si="5"/>
        <v>22.18743460747422</v>
      </c>
      <c r="Q99" s="57">
        <f t="shared" si="4"/>
        <v>45</v>
      </c>
      <c r="R99" s="200">
        <f t="shared" si="2"/>
        <v>55.278566446525609</v>
      </c>
    </row>
    <row r="100" spans="2:18" x14ac:dyDescent="0.4">
      <c r="B100" s="58"/>
      <c r="C100" s="58"/>
      <c r="D100" s="58"/>
      <c r="E100" s="58"/>
      <c r="F100" s="58"/>
      <c r="G100" s="58"/>
      <c r="H100" s="58"/>
      <c r="I100" s="58"/>
      <c r="J100" s="58"/>
      <c r="K100" s="58"/>
      <c r="L100" s="58"/>
      <c r="M100" s="58"/>
      <c r="N100" s="58"/>
      <c r="O100" s="131">
        <v>56</v>
      </c>
      <c r="P100" s="132">
        <f t="shared" si="5"/>
        <v>22.733725715835877</v>
      </c>
      <c r="Q100" s="57">
        <f t="shared" si="4"/>
        <v>44</v>
      </c>
      <c r="R100" s="200">
        <f t="shared" si="2"/>
        <v>56.63961561092713</v>
      </c>
    </row>
    <row r="101" spans="2:18" x14ac:dyDescent="0.4">
      <c r="B101" s="58"/>
      <c r="C101" s="58"/>
      <c r="D101" s="58"/>
      <c r="E101" s="58"/>
      <c r="F101" s="58"/>
      <c r="G101" s="58"/>
      <c r="H101" s="58"/>
      <c r="I101" s="58"/>
      <c r="J101" s="58"/>
      <c r="K101" s="58"/>
      <c r="L101" s="58"/>
      <c r="M101" s="58"/>
      <c r="N101" s="58"/>
      <c r="O101" s="131">
        <v>57</v>
      </c>
      <c r="P101" s="132">
        <f t="shared" si="5"/>
        <v>23.295640891180728</v>
      </c>
      <c r="Q101" s="57">
        <f t="shared" si="4"/>
        <v>43</v>
      </c>
      <c r="R101" s="200">
        <f t="shared" si="2"/>
        <v>58.039591133430648</v>
      </c>
    </row>
    <row r="102" spans="2:18" x14ac:dyDescent="0.4">
      <c r="B102" s="58"/>
      <c r="C102" s="58"/>
      <c r="D102" s="58"/>
      <c r="E102" s="58"/>
      <c r="F102" s="58"/>
      <c r="G102" s="58"/>
      <c r="H102" s="58"/>
      <c r="I102" s="58"/>
      <c r="J102" s="58"/>
      <c r="K102" s="58"/>
      <c r="L102" s="58"/>
      <c r="M102" s="58"/>
      <c r="N102" s="58"/>
      <c r="O102" s="131">
        <v>58</v>
      </c>
      <c r="P102" s="132">
        <f t="shared" si="5"/>
        <v>23.874069071329917</v>
      </c>
      <c r="Q102" s="57">
        <f t="shared" si="4"/>
        <v>42</v>
      </c>
      <c r="R102" s="200">
        <f t="shared" si="2"/>
        <v>59.480707745449799</v>
      </c>
    </row>
    <row r="103" spans="2:18" x14ac:dyDescent="0.4">
      <c r="B103" s="58"/>
      <c r="C103" s="58"/>
      <c r="D103" s="58"/>
      <c r="E103" s="58"/>
      <c r="F103" s="58"/>
      <c r="G103" s="58"/>
      <c r="H103" s="58"/>
      <c r="I103" s="58"/>
      <c r="J103" s="58"/>
      <c r="K103" s="58"/>
      <c r="L103" s="58"/>
      <c r="M103" s="58"/>
      <c r="N103" s="58"/>
      <c r="O103" s="131">
        <v>59</v>
      </c>
      <c r="P103" s="132">
        <f t="shared" si="5"/>
        <v>24.469968059083211</v>
      </c>
      <c r="Q103" s="57">
        <f t="shared" si="4"/>
        <v>41</v>
      </c>
      <c r="R103" s="200">
        <f t="shared" si="2"/>
        <v>60.965351751063743</v>
      </c>
    </row>
    <row r="104" spans="2:18" x14ac:dyDescent="0.4">
      <c r="B104" s="58"/>
      <c r="C104" s="58"/>
      <c r="D104" s="58"/>
      <c r="E104" s="58"/>
      <c r="F104" s="58"/>
      <c r="G104" s="58"/>
      <c r="H104" s="58"/>
      <c r="I104" s="58"/>
      <c r="J104" s="58"/>
      <c r="K104" s="58"/>
      <c r="L104" s="58"/>
      <c r="M104" s="58"/>
      <c r="N104" s="58"/>
      <c r="O104" s="131">
        <v>60</v>
      </c>
      <c r="P104" s="132">
        <f t="shared" si="5"/>
        <v>25.084371934441837</v>
      </c>
      <c r="Q104" s="57">
        <f t="shared" si="4"/>
        <v>40</v>
      </c>
      <c r="R104" s="200">
        <f t="shared" si="2"/>
        <v>62.496099494093642</v>
      </c>
    </row>
    <row r="105" spans="2:18" x14ac:dyDescent="0.4">
      <c r="B105" s="58"/>
      <c r="C105" s="58"/>
      <c r="D105" s="58"/>
      <c r="E105" s="58"/>
      <c r="F105" s="58"/>
      <c r="G105" s="58"/>
      <c r="H105" s="58"/>
      <c r="I105" s="58"/>
      <c r="J105" s="58"/>
      <c r="K105" s="58"/>
      <c r="L105" s="58"/>
      <c r="M105" s="58"/>
      <c r="N105" s="58"/>
      <c r="O105" s="131">
        <v>61</v>
      </c>
      <c r="P105" s="132">
        <f t="shared" si="5"/>
        <v>25.718399450758877</v>
      </c>
      <c r="Q105" s="57">
        <f t="shared" si="4"/>
        <v>39</v>
      </c>
      <c r="R105" s="200">
        <f t="shared" si="2"/>
        <v>64.075738276571471</v>
      </c>
    </row>
    <row r="106" spans="2:18" x14ac:dyDescent="0.4">
      <c r="B106" s="58"/>
      <c r="C106" s="58"/>
      <c r="D106" s="58"/>
      <c r="E106" s="58"/>
      <c r="F106" s="58"/>
      <c r="G106" s="58"/>
      <c r="H106" s="58"/>
      <c r="I106" s="58"/>
      <c r="J106" s="58"/>
      <c r="K106" s="58"/>
      <c r="L106" s="58"/>
      <c r="M106" s="58"/>
      <c r="N106" s="58"/>
      <c r="O106" s="131">
        <v>62</v>
      </c>
      <c r="P106" s="132">
        <f t="shared" si="5"/>
        <v>26.373263576372562</v>
      </c>
      <c r="Q106" s="57">
        <f t="shared" si="4"/>
        <v>38</v>
      </c>
      <c r="R106" s="200">
        <f t="shared" si="2"/>
        <v>65.707290131105722</v>
      </c>
    </row>
    <row r="107" spans="2:18" x14ac:dyDescent="0.4">
      <c r="B107" s="58"/>
      <c r="C107" s="58"/>
      <c r="D107" s="58"/>
      <c r="E107" s="58"/>
      <c r="F107" s="58"/>
      <c r="G107" s="58"/>
      <c r="H107" s="58"/>
      <c r="I107" s="58"/>
      <c r="J107" s="58"/>
      <c r="K107" s="58"/>
      <c r="L107" s="58"/>
      <c r="M107" s="58"/>
      <c r="N107" s="58"/>
      <c r="O107" s="131">
        <v>63</v>
      </c>
      <c r="P107" s="132">
        <f t="shared" si="5"/>
        <v>27.050282374591823</v>
      </c>
      <c r="Q107" s="57">
        <f t="shared" si="4"/>
        <v>37</v>
      </c>
      <c r="R107" s="200">
        <f t="shared" si="2"/>
        <v>67.394038927665704</v>
      </c>
    </row>
    <row r="108" spans="2:18" x14ac:dyDescent="0.4">
      <c r="B108" s="58"/>
      <c r="C108" s="58"/>
      <c r="D108" s="58"/>
      <c r="E108" s="58"/>
      <c r="F108" s="58"/>
      <c r="G108" s="58"/>
      <c r="H108" s="58"/>
      <c r="I108" s="58"/>
      <c r="J108" s="58"/>
      <c r="K108" s="58"/>
      <c r="L108" s="58"/>
      <c r="M108" s="58"/>
      <c r="N108" s="58"/>
      <c r="O108" s="131">
        <v>64</v>
      </c>
      <c r="P108" s="132">
        <f t="shared" si="5"/>
        <v>27.750891453341794</v>
      </c>
      <c r="Q108" s="57">
        <f t="shared" ref="Q108:Q143" si="6">100-O108</f>
        <v>36</v>
      </c>
      <c r="R108" s="200">
        <f t="shared" si="2"/>
        <v>69.139561391072661</v>
      </c>
    </row>
    <row r="109" spans="2:18" x14ac:dyDescent="0.4">
      <c r="B109" s="58"/>
      <c r="C109" s="58"/>
      <c r="D109" s="58"/>
      <c r="E109" s="58"/>
      <c r="F109" s="58"/>
      <c r="G109" s="58"/>
      <c r="H109" s="58"/>
      <c r="I109" s="58"/>
      <c r="J109" s="58"/>
      <c r="K109" s="58"/>
      <c r="L109" s="58"/>
      <c r="M109" s="58"/>
      <c r="N109" s="58"/>
      <c r="O109" s="131">
        <v>65</v>
      </c>
      <c r="P109" s="132">
        <f t="shared" si="5"/>
        <v>28.476658263202118</v>
      </c>
      <c r="Q109" s="57">
        <f t="shared" si="6"/>
        <v>35</v>
      </c>
      <c r="R109" s="200">
        <f t="shared" ref="R109:R143" si="7">LOGINV(O109/100,$L$28,$M$28)</f>
        <v>70.947762723642768</v>
      </c>
    </row>
    <row r="110" spans="2:18" x14ac:dyDescent="0.4">
      <c r="B110" s="58"/>
      <c r="C110" s="58"/>
      <c r="D110" s="58"/>
      <c r="E110" s="58"/>
      <c r="F110" s="58"/>
      <c r="G110" s="58"/>
      <c r="H110" s="58"/>
      <c r="I110" s="58"/>
      <c r="J110" s="58"/>
      <c r="K110" s="58"/>
      <c r="L110" s="58"/>
      <c r="M110" s="58"/>
      <c r="N110" s="58"/>
      <c r="O110" s="131">
        <v>66</v>
      </c>
      <c r="P110" s="132">
        <f t="shared" si="5"/>
        <v>29.229298581403576</v>
      </c>
      <c r="Q110" s="57">
        <f t="shared" si="6"/>
        <v>34</v>
      </c>
      <c r="R110" s="200">
        <f t="shared" si="7"/>
        <v>72.822917674004543</v>
      </c>
    </row>
    <row r="111" spans="2:18" x14ac:dyDescent="0.4">
      <c r="B111" s="58"/>
      <c r="C111" s="58"/>
      <c r="D111" s="58"/>
      <c r="E111" s="58"/>
      <c r="F111" s="58"/>
      <c r="G111" s="58"/>
      <c r="H111" s="58"/>
      <c r="I111" s="58"/>
      <c r="J111" s="58"/>
      <c r="K111" s="58"/>
      <c r="L111" s="58"/>
      <c r="M111" s="58"/>
      <c r="N111" s="58"/>
      <c r="O111" s="131">
        <v>67</v>
      </c>
      <c r="P111" s="132">
        <f t="shared" si="5"/>
        <v>30.01069559274972</v>
      </c>
      <c r="Q111" s="57">
        <f t="shared" si="6"/>
        <v>33</v>
      </c>
      <c r="R111" s="200">
        <f t="shared" si="7"/>
        <v>74.769718075988081</v>
      </c>
    </row>
    <row r="112" spans="2:18" x14ac:dyDescent="0.4">
      <c r="B112" s="58"/>
      <c r="C112" s="58"/>
      <c r="D112" s="58"/>
      <c r="E112" s="58"/>
      <c r="F112" s="58"/>
      <c r="G112" s="58"/>
      <c r="H112" s="58"/>
      <c r="I112" s="58"/>
      <c r="J112" s="58"/>
      <c r="K112" s="58"/>
      <c r="L112" s="58"/>
      <c r="M112" s="58"/>
      <c r="N112" s="58"/>
      <c r="O112" s="131">
        <v>68</v>
      </c>
      <c r="P112" s="132">
        <f t="shared" si="5"/>
        <v>30.822922070569742</v>
      </c>
      <c r="Q112" s="57">
        <f t="shared" si="6"/>
        <v>32</v>
      </c>
      <c r="R112" s="200">
        <f t="shared" si="7"/>
        <v>76.793328111042641</v>
      </c>
    </row>
    <row r="113" spans="2:18" x14ac:dyDescent="0.4">
      <c r="B113" s="58"/>
      <c r="C113" s="58"/>
      <c r="D113" s="58"/>
      <c r="E113" s="58"/>
      <c r="F113" s="58"/>
      <c r="G113" s="58"/>
      <c r="H113" s="58"/>
      <c r="I113" s="58"/>
      <c r="J113" s="58"/>
      <c r="K113" s="58"/>
      <c r="L113" s="58"/>
      <c r="M113" s="58"/>
      <c r="N113" s="58"/>
      <c r="O113" s="131">
        <v>69</v>
      </c>
      <c r="P113" s="132">
        <f t="shared" si="5"/>
        <v>31.668266277210293</v>
      </c>
      <c r="Q113" s="57">
        <f t="shared" si="6"/>
        <v>31</v>
      </c>
      <c r="R113" s="200">
        <f t="shared" si="7"/>
        <v>78.899448837646318</v>
      </c>
    </row>
    <row r="114" spans="2:18" x14ac:dyDescent="0.4">
      <c r="B114" s="58"/>
      <c r="C114" s="58"/>
      <c r="D114" s="58"/>
      <c r="E114" s="58"/>
      <c r="F114" s="58"/>
      <c r="G114" s="58"/>
      <c r="H114" s="58"/>
      <c r="I114" s="58"/>
      <c r="J114" s="58"/>
      <c r="K114" s="58"/>
      <c r="L114" s="58"/>
      <c r="M114" s="58"/>
      <c r="N114" s="58"/>
      <c r="O114" s="131">
        <v>70</v>
      </c>
      <c r="P114" s="132">
        <f t="shared" si="5"/>
        <v>32.549262351636514</v>
      </c>
      <c r="Q114" s="57">
        <f t="shared" si="6"/>
        <v>30</v>
      </c>
      <c r="R114" s="200">
        <f t="shared" si="7"/>
        <v>81.094393900059828</v>
      </c>
    </row>
    <row r="115" spans="2:18" x14ac:dyDescent="0.4">
      <c r="B115" s="58"/>
      <c r="C115" s="58"/>
      <c r="D115" s="58"/>
      <c r="E115" s="58"/>
      <c r="F115" s="58"/>
      <c r="G115" s="58"/>
      <c r="H115" s="58"/>
      <c r="I115" s="58"/>
      <c r="J115" s="58"/>
      <c r="K115" s="58"/>
      <c r="L115" s="58"/>
      <c r="M115" s="58"/>
      <c r="N115" s="58"/>
      <c r="O115" s="131">
        <v>71</v>
      </c>
      <c r="P115" s="132">
        <f t="shared" si="5"/>
        <v>33.468726141408773</v>
      </c>
      <c r="Q115" s="57">
        <f t="shared" si="6"/>
        <v>29</v>
      </c>
      <c r="R115" s="200">
        <f t="shared" si="7"/>
        <v>83.385178801392144</v>
      </c>
    </row>
    <row r="116" spans="2:18" x14ac:dyDescent="0.4">
      <c r="B116" s="58"/>
      <c r="C116" s="58"/>
      <c r="D116" s="58"/>
      <c r="E116" s="58"/>
      <c r="F116" s="58"/>
      <c r="G116" s="58"/>
      <c r="H116" s="58"/>
      <c r="I116" s="58"/>
      <c r="J116" s="58"/>
      <c r="K116" s="58"/>
      <c r="L116" s="58"/>
      <c r="M116" s="58"/>
      <c r="N116" s="58"/>
      <c r="O116" s="131">
        <v>72</v>
      </c>
      <c r="P116" s="132">
        <f t="shared" ref="P116:P143" si="8">LOGINV(O116/100,$L$28,$M$28)*$L$11</f>
        <v>34.429797681220684</v>
      </c>
      <c r="Q116" s="57">
        <f t="shared" si="6"/>
        <v>28</v>
      </c>
      <c r="R116" s="200">
        <f t="shared" si="7"/>
        <v>85.779626736146199</v>
      </c>
    </row>
    <row r="117" spans="2:18" x14ac:dyDescent="0.4">
      <c r="B117" s="58"/>
      <c r="C117" s="58"/>
      <c r="D117" s="58"/>
      <c r="E117" s="58"/>
      <c r="F117" s="58"/>
      <c r="G117" s="58"/>
      <c r="H117" s="58"/>
      <c r="I117" s="58"/>
      <c r="J117" s="58"/>
      <c r="K117" s="58"/>
      <c r="L117" s="58"/>
      <c r="M117" s="58"/>
      <c r="N117" s="58"/>
      <c r="O117" s="131">
        <v>73</v>
      </c>
      <c r="P117" s="132">
        <f t="shared" si="8"/>
        <v>35.435991838993274</v>
      </c>
      <c r="Q117" s="57">
        <f t="shared" si="6"/>
        <v>27</v>
      </c>
      <c r="R117" s="200">
        <f t="shared" si="7"/>
        <v>88.286494771705435</v>
      </c>
    </row>
    <row r="118" spans="2:18" x14ac:dyDescent="0.4">
      <c r="B118" s="58"/>
      <c r="C118" s="58"/>
      <c r="D118" s="58"/>
      <c r="E118" s="58"/>
      <c r="F118" s="58"/>
      <c r="G118" s="58"/>
      <c r="H118" s="58"/>
      <c r="I118" s="58"/>
      <c r="J118" s="58"/>
      <c r="K118" s="58"/>
      <c r="L118" s="58"/>
      <c r="M118" s="58"/>
      <c r="N118" s="58"/>
      <c r="O118" s="131">
        <v>74</v>
      </c>
      <c r="P118" s="132">
        <f t="shared" si="8"/>
        <v>36.491259069158673</v>
      </c>
      <c r="Q118" s="57">
        <f t="shared" si="6"/>
        <v>26</v>
      </c>
      <c r="R118" s="200">
        <f t="shared" si="7"/>
        <v>90.915625211233063</v>
      </c>
    </row>
    <row r="119" spans="2:18" x14ac:dyDescent="0.4">
      <c r="B119" s="58"/>
      <c r="C119" s="58"/>
      <c r="D119" s="58"/>
      <c r="E119" s="58"/>
      <c r="F119" s="58"/>
      <c r="G119" s="58"/>
      <c r="H119" s="58"/>
      <c r="I119" s="58"/>
      <c r="J119" s="58"/>
      <c r="K119" s="58"/>
      <c r="L119" s="58"/>
      <c r="M119" s="58"/>
      <c r="N119" s="58"/>
      <c r="O119" s="131">
        <v>75</v>
      </c>
      <c r="P119" s="132">
        <f t="shared" si="8"/>
        <v>37.600058767649024</v>
      </c>
      <c r="Q119" s="57">
        <f t="shared" si="6"/>
        <v>25</v>
      </c>
      <c r="R119" s="200">
        <f t="shared" si="7"/>
        <v>93.678128352909425</v>
      </c>
    </row>
    <row r="120" spans="2:18" x14ac:dyDescent="0.4">
      <c r="B120" s="58"/>
      <c r="C120" s="58"/>
      <c r="D120" s="58"/>
      <c r="E120" s="58"/>
      <c r="F120" s="58"/>
      <c r="G120" s="58"/>
      <c r="H120" s="58"/>
      <c r="I120" s="58"/>
      <c r="J120" s="58"/>
      <c r="K120" s="58"/>
      <c r="L120" s="58"/>
      <c r="M120" s="58"/>
      <c r="N120" s="58"/>
      <c r="O120" s="131">
        <v>76</v>
      </c>
      <c r="P120" s="132">
        <f t="shared" si="8"/>
        <v>38.76744846597321</v>
      </c>
      <c r="Q120" s="57">
        <f t="shared" si="6"/>
        <v>24</v>
      </c>
      <c r="R120" s="200">
        <f t="shared" si="7"/>
        <v>96.586604711238138</v>
      </c>
    </row>
    <row r="121" spans="2:18" x14ac:dyDescent="0.4">
      <c r="B121" s="58"/>
      <c r="C121" s="58"/>
      <c r="D121" s="58"/>
      <c r="E121" s="58"/>
      <c r="F121" s="58"/>
      <c r="G121" s="58"/>
      <c r="H121" s="58"/>
      <c r="I121" s="58"/>
      <c r="J121" s="58"/>
      <c r="K121" s="58"/>
      <c r="L121" s="58"/>
      <c r="M121" s="58"/>
      <c r="N121" s="58"/>
      <c r="O121" s="131">
        <v>77</v>
      </c>
      <c r="P121" s="132">
        <f t="shared" si="8"/>
        <v>39.999193107059092</v>
      </c>
      <c r="Q121" s="57">
        <f t="shared" si="6"/>
        <v>23</v>
      </c>
      <c r="R121" s="200">
        <f t="shared" si="7"/>
        <v>99.655417270779409</v>
      </c>
    </row>
    <row r="122" spans="2:18" x14ac:dyDescent="0.4">
      <c r="B122" s="58"/>
      <c r="C122" s="58"/>
      <c r="D122" s="58"/>
      <c r="E122" s="58"/>
      <c r="F122" s="58"/>
      <c r="G122" s="58"/>
      <c r="H122" s="58"/>
      <c r="I122" s="58"/>
      <c r="J122" s="58"/>
      <c r="K122" s="58"/>
      <c r="L122" s="58"/>
      <c r="M122" s="58"/>
      <c r="N122" s="58"/>
      <c r="O122" s="131">
        <v>78</v>
      </c>
      <c r="P122" s="132">
        <f t="shared" si="8"/>
        <v>41.301900021821531</v>
      </c>
      <c r="Q122" s="57">
        <f t="shared" si="6"/>
        <v>22</v>
      </c>
      <c r="R122" s="200">
        <f t="shared" si="7"/>
        <v>102.90102777158899</v>
      </c>
    </row>
    <row r="123" spans="2:18" x14ac:dyDescent="0.4">
      <c r="B123" s="58"/>
      <c r="C123" s="58"/>
      <c r="D123" s="58"/>
      <c r="E123" s="58"/>
      <c r="F123" s="58"/>
      <c r="G123" s="58"/>
      <c r="H123" s="58"/>
      <c r="I123" s="58"/>
      <c r="J123" s="58"/>
      <c r="K123" s="58"/>
      <c r="L123" s="58"/>
      <c r="M123" s="58"/>
      <c r="N123" s="58"/>
      <c r="O123" s="131">
        <v>79</v>
      </c>
      <c r="P123" s="132">
        <f t="shared" si="8"/>
        <v>42.683187133351062</v>
      </c>
      <c r="Q123" s="57">
        <f t="shared" si="6"/>
        <v>21</v>
      </c>
      <c r="R123" s="200">
        <f t="shared" si="7"/>
        <v>106.34241577913686</v>
      </c>
    </row>
    <row r="124" spans="2:18" x14ac:dyDescent="0.4">
      <c r="B124" s="58"/>
      <c r="C124" s="58"/>
      <c r="D124" s="58"/>
      <c r="E124" s="58"/>
      <c r="F124" s="58"/>
      <c r="G124" s="58"/>
      <c r="H124" s="58"/>
      <c r="I124" s="58"/>
      <c r="J124" s="58"/>
      <c r="K124" s="58"/>
      <c r="L124" s="58"/>
      <c r="M124" s="58"/>
      <c r="N124" s="58"/>
      <c r="O124" s="131">
        <v>80</v>
      </c>
      <c r="P124" s="132">
        <f t="shared" si="8"/>
        <v>44.1518945967238</v>
      </c>
      <c r="Q124" s="57">
        <f t="shared" si="6"/>
        <v>20</v>
      </c>
      <c r="R124" s="200">
        <f t="shared" si="7"/>
        <v>110.0016059712832</v>
      </c>
    </row>
    <row r="125" spans="2:18" x14ac:dyDescent="0.4">
      <c r="B125" s="58"/>
      <c r="C125" s="58"/>
      <c r="D125" s="58"/>
      <c r="E125" s="58"/>
      <c r="F125" s="58"/>
      <c r="G125" s="58"/>
      <c r="H125" s="58"/>
      <c r="I125" s="58"/>
      <c r="J125" s="58"/>
      <c r="K125" s="58"/>
      <c r="L125" s="58"/>
      <c r="M125" s="58"/>
      <c r="N125" s="58"/>
      <c r="O125" s="131">
        <v>81</v>
      </c>
      <c r="P125" s="132">
        <f t="shared" si="8"/>
        <v>45.71835390610638</v>
      </c>
      <c r="Q125" s="57">
        <f t="shared" si="6"/>
        <v>19</v>
      </c>
      <c r="R125" s="200">
        <f t="shared" si="7"/>
        <v>113.90433860132389</v>
      </c>
    </row>
    <row r="126" spans="2:18" x14ac:dyDescent="0.4">
      <c r="B126" s="58"/>
      <c r="C126" s="58"/>
      <c r="D126" s="58"/>
      <c r="E126" s="58"/>
      <c r="F126" s="58"/>
      <c r="G126" s="58"/>
      <c r="H126" s="58"/>
      <c r="I126" s="58"/>
      <c r="J126" s="58"/>
      <c r="K126" s="58"/>
      <c r="L126" s="58"/>
      <c r="M126" s="58"/>
      <c r="N126" s="58"/>
      <c r="O126" s="131">
        <v>82</v>
      </c>
      <c r="P126" s="132">
        <f t="shared" si="8"/>
        <v>47.394734042657447</v>
      </c>
      <c r="Q126" s="57">
        <f t="shared" si="6"/>
        <v>18</v>
      </c>
      <c r="R126" s="200">
        <f t="shared" si="7"/>
        <v>118.08093190322626</v>
      </c>
    </row>
    <row r="127" spans="2:18" x14ac:dyDescent="0.4">
      <c r="B127" s="58"/>
      <c r="C127" s="58"/>
      <c r="D127" s="58"/>
      <c r="E127" s="58"/>
      <c r="F127" s="58"/>
      <c r="G127" s="58"/>
      <c r="H127" s="58"/>
      <c r="I127" s="58"/>
      <c r="J127" s="58"/>
      <c r="K127" s="58"/>
      <c r="L127" s="58"/>
      <c r="M127" s="58"/>
      <c r="N127" s="58"/>
      <c r="O127" s="131">
        <v>83</v>
      </c>
      <c r="P127" s="132">
        <f t="shared" si="8"/>
        <v>49.195492412112891</v>
      </c>
      <c r="Q127" s="57">
        <f t="shared" si="6"/>
        <v>17</v>
      </c>
      <c r="R127" s="200">
        <f t="shared" si="7"/>
        <v>122.56740557362289</v>
      </c>
    </row>
    <row r="128" spans="2:18" x14ac:dyDescent="0.4">
      <c r="B128" s="58"/>
      <c r="C128" s="58"/>
      <c r="D128" s="58"/>
      <c r="E128" s="58"/>
      <c r="F128" s="58"/>
      <c r="G128" s="58"/>
      <c r="H128" s="58"/>
      <c r="I128" s="58"/>
      <c r="J128" s="58"/>
      <c r="K128" s="58"/>
      <c r="L128" s="58"/>
      <c r="M128" s="58"/>
      <c r="N128" s="58"/>
      <c r="O128" s="131">
        <v>84</v>
      </c>
      <c r="P128" s="132">
        <f t="shared" si="8"/>
        <v>51.137970618795862</v>
      </c>
      <c r="Q128" s="57">
        <f t="shared" si="6"/>
        <v>16</v>
      </c>
      <c r="R128" s="200">
        <f t="shared" si="7"/>
        <v>127.40696510444312</v>
      </c>
    </row>
    <row r="129" spans="2:18" x14ac:dyDescent="0.4">
      <c r="B129" s="58"/>
      <c r="C129" s="58"/>
      <c r="D129" s="58"/>
      <c r="E129" s="58"/>
      <c r="F129" s="58"/>
      <c r="G129" s="58"/>
      <c r="H129" s="58"/>
      <c r="I129" s="58"/>
      <c r="J129" s="58"/>
      <c r="K129" s="58"/>
      <c r="L129" s="58"/>
      <c r="M129" s="58"/>
      <c r="N129" s="58"/>
      <c r="O129" s="131">
        <v>85</v>
      </c>
      <c r="P129" s="132">
        <f t="shared" si="8"/>
        <v>53.243194025579285</v>
      </c>
      <c r="Q129" s="57">
        <f t="shared" si="6"/>
        <v>15</v>
      </c>
      <c r="R129" s="200">
        <f t="shared" si="7"/>
        <v>132.6519938351399</v>
      </c>
    </row>
    <row r="130" spans="2:18" x14ac:dyDescent="0.4">
      <c r="B130" s="58"/>
      <c r="C130" s="58"/>
      <c r="D130" s="58"/>
      <c r="E130" s="58"/>
      <c r="F130" s="58"/>
      <c r="G130" s="58"/>
      <c r="H130" s="58"/>
      <c r="I130" s="58"/>
      <c r="J130" s="58"/>
      <c r="K130" s="58"/>
      <c r="L130" s="58"/>
      <c r="M130" s="58"/>
      <c r="N130" s="58"/>
      <c r="O130" s="131">
        <v>86</v>
      </c>
      <c r="P130" s="132">
        <f t="shared" si="8"/>
        <v>55.536963811597346</v>
      </c>
      <c r="Q130" s="57">
        <f t="shared" si="6"/>
        <v>14</v>
      </c>
      <c r="R130" s="200">
        <f t="shared" si="7"/>
        <v>138.3667737442475</v>
      </c>
    </row>
    <row r="131" spans="2:18" x14ac:dyDescent="0.4">
      <c r="B131" s="58"/>
      <c r="C131" s="58"/>
      <c r="D131" s="58"/>
      <c r="E131" s="58"/>
      <c r="F131" s="58"/>
      <c r="G131" s="58"/>
      <c r="H131" s="58"/>
      <c r="I131" s="58"/>
      <c r="J131" s="58"/>
      <c r="K131" s="58"/>
      <c r="L131" s="58"/>
      <c r="M131" s="58"/>
      <c r="N131" s="58"/>
      <c r="O131" s="131">
        <v>87</v>
      </c>
      <c r="P131" s="132">
        <f t="shared" si="8"/>
        <v>58.051378380663294</v>
      </c>
      <c r="Q131" s="57">
        <f t="shared" si="6"/>
        <v>13</v>
      </c>
      <c r="R131" s="200">
        <f t="shared" si="7"/>
        <v>144.63127594061237</v>
      </c>
    </row>
    <row r="132" spans="2:18" x14ac:dyDescent="0.4">
      <c r="B132" s="58"/>
      <c r="C132" s="58"/>
      <c r="D132" s="58"/>
      <c r="E132" s="58"/>
      <c r="F132" s="58"/>
      <c r="G132" s="58"/>
      <c r="H132" s="58"/>
      <c r="I132" s="58"/>
      <c r="J132" s="58"/>
      <c r="K132" s="58"/>
      <c r="L132" s="58"/>
      <c r="M132" s="58"/>
      <c r="N132" s="58"/>
      <c r="O132" s="131">
        <v>88</v>
      </c>
      <c r="P132" s="132">
        <f t="shared" si="8"/>
        <v>60.827001250733375</v>
      </c>
      <c r="Q132" s="57">
        <f t="shared" si="6"/>
        <v>12</v>
      </c>
      <c r="R132" s="200">
        <f t="shared" si="7"/>
        <v>151.54656182057519</v>
      </c>
    </row>
    <row r="133" spans="2:18" x14ac:dyDescent="0.4">
      <c r="B133" s="58"/>
      <c r="C133" s="58"/>
      <c r="D133" s="58"/>
      <c r="E133" s="58"/>
      <c r="F133" s="58"/>
      <c r="G133" s="58"/>
      <c r="H133" s="58"/>
      <c r="I133" s="58"/>
      <c r="J133" s="58"/>
      <c r="K133" s="58"/>
      <c r="L133" s="58"/>
      <c r="M133" s="58"/>
      <c r="N133" s="58"/>
      <c r="O133" s="131">
        <v>89</v>
      </c>
      <c r="P133" s="132">
        <f t="shared" si="8"/>
        <v>63.91603114645833</v>
      </c>
      <c r="Q133" s="57">
        <f t="shared" si="6"/>
        <v>11</v>
      </c>
      <c r="R133" s="200">
        <f t="shared" si="7"/>
        <v>159.24268114969374</v>
      </c>
    </row>
    <row r="134" spans="2:18" x14ac:dyDescent="0.4">
      <c r="B134" s="58"/>
      <c r="C134" s="58"/>
      <c r="D134" s="58"/>
      <c r="E134" s="58"/>
      <c r="F134" s="58"/>
      <c r="G134" s="58"/>
      <c r="H134" s="58"/>
      <c r="I134" s="58"/>
      <c r="J134" s="58"/>
      <c r="K134" s="58"/>
      <c r="L134" s="58"/>
      <c r="M134" s="58"/>
      <c r="N134" s="58"/>
      <c r="O134" s="131">
        <v>90</v>
      </c>
      <c r="P134" s="132">
        <f t="shared" si="8"/>
        <v>67.38707902533092</v>
      </c>
      <c r="Q134" s="57">
        <f t="shared" si="6"/>
        <v>10</v>
      </c>
      <c r="R134" s="200">
        <f t="shared" si="7"/>
        <v>167.89057371617793</v>
      </c>
    </row>
    <row r="135" spans="2:18" x14ac:dyDescent="0.4">
      <c r="B135" s="58"/>
      <c r="C135" s="58"/>
      <c r="D135" s="58"/>
      <c r="E135" s="58"/>
      <c r="F135" s="58"/>
      <c r="G135" s="58"/>
      <c r="H135" s="58"/>
      <c r="I135" s="58"/>
      <c r="J135" s="58"/>
      <c r="K135" s="58"/>
      <c r="L135" s="58"/>
      <c r="M135" s="58"/>
      <c r="N135" s="58"/>
      <c r="O135" s="131">
        <v>91</v>
      </c>
      <c r="P135" s="132">
        <f t="shared" si="8"/>
        <v>71.3326254330278</v>
      </c>
      <c r="Q135" s="57">
        <f t="shared" si="6"/>
        <v>9</v>
      </c>
      <c r="R135" s="200">
        <f t="shared" si="7"/>
        <v>177.72064885214024</v>
      </c>
    </row>
    <row r="136" spans="2:18" x14ac:dyDescent="0.4">
      <c r="B136" s="58"/>
      <c r="C136" s="58"/>
      <c r="D136" s="58"/>
      <c r="E136" s="58"/>
      <c r="F136" s="58"/>
      <c r="G136" s="58"/>
      <c r="H136" s="58"/>
      <c r="I136" s="58"/>
      <c r="J136" s="58"/>
      <c r="K136" s="58"/>
      <c r="L136" s="58"/>
      <c r="M136" s="58"/>
      <c r="N136" s="58"/>
      <c r="O136" s="131">
        <v>92</v>
      </c>
      <c r="P136" s="132">
        <f t="shared" si="8"/>
        <v>75.881163361769183</v>
      </c>
      <c r="Q136" s="57">
        <f t="shared" si="6"/>
        <v>8</v>
      </c>
      <c r="R136" s="200">
        <f t="shared" si="7"/>
        <v>189.05303858428945</v>
      </c>
    </row>
    <row r="137" spans="2:18" x14ac:dyDescent="0.4">
      <c r="B137" s="58"/>
      <c r="C137" s="58"/>
      <c r="D137" s="58"/>
      <c r="E137" s="58"/>
      <c r="F137" s="58"/>
      <c r="G137" s="58"/>
      <c r="H137" s="58"/>
      <c r="I137" s="58"/>
      <c r="J137" s="58"/>
      <c r="K137" s="58"/>
      <c r="L137" s="58"/>
      <c r="M137" s="58"/>
      <c r="N137" s="58"/>
      <c r="O137" s="131">
        <v>93</v>
      </c>
      <c r="P137" s="132">
        <f t="shared" si="8"/>
        <v>81.218010232986643</v>
      </c>
      <c r="Q137" s="57">
        <f t="shared" si="6"/>
        <v>7</v>
      </c>
      <c r="R137" s="200">
        <f t="shared" si="7"/>
        <v>202.34944935032485</v>
      </c>
    </row>
    <row r="138" spans="2:18" x14ac:dyDescent="0.4">
      <c r="B138" s="58"/>
      <c r="C138" s="58"/>
      <c r="D138" s="58"/>
      <c r="E138" s="58"/>
      <c r="F138" s="58"/>
      <c r="G138" s="58"/>
      <c r="H138" s="58"/>
      <c r="I138" s="58"/>
      <c r="J138" s="58"/>
      <c r="K138" s="58"/>
      <c r="L138" s="58"/>
      <c r="M138" s="58"/>
      <c r="N138" s="58"/>
      <c r="O138" s="131">
        <v>94</v>
      </c>
      <c r="P138" s="132">
        <f t="shared" si="8"/>
        <v>87.623326098853312</v>
      </c>
      <c r="Q138" s="57">
        <f t="shared" si="6"/>
        <v>6</v>
      </c>
      <c r="R138" s="200">
        <f t="shared" si="7"/>
        <v>218.30788190309138</v>
      </c>
    </row>
    <row r="139" spans="2:18" x14ac:dyDescent="0.4">
      <c r="B139" s="58"/>
      <c r="C139" s="58"/>
      <c r="D139" s="58"/>
      <c r="E139" s="58"/>
      <c r="F139" s="58"/>
      <c r="G139" s="58"/>
      <c r="H139" s="58"/>
      <c r="I139" s="58"/>
      <c r="J139" s="58"/>
      <c r="K139" s="58"/>
      <c r="L139" s="58"/>
      <c r="M139" s="58"/>
      <c r="N139" s="58"/>
      <c r="O139" s="131">
        <v>95</v>
      </c>
      <c r="P139" s="132">
        <f t="shared" si="8"/>
        <v>95.547475133478571</v>
      </c>
      <c r="Q139" s="57">
        <f t="shared" si="6"/>
        <v>5</v>
      </c>
      <c r="R139" s="200">
        <f t="shared" si="7"/>
        <v>238.05038961937979</v>
      </c>
    </row>
    <row r="140" spans="2:18" x14ac:dyDescent="0.4">
      <c r="B140" s="58"/>
      <c r="C140" s="58"/>
      <c r="D140" s="58"/>
      <c r="E140" s="58"/>
      <c r="F140" s="58"/>
      <c r="G140" s="58"/>
      <c r="H140" s="58"/>
      <c r="I140" s="58"/>
      <c r="J140" s="58"/>
      <c r="K140" s="58"/>
      <c r="L140" s="58"/>
      <c r="M140" s="58"/>
      <c r="N140" s="58"/>
      <c r="O140" s="131">
        <v>96</v>
      </c>
      <c r="P140" s="132">
        <f t="shared" si="8"/>
        <v>105.77761380553044</v>
      </c>
      <c r="Q140" s="57">
        <f t="shared" si="6"/>
        <v>4</v>
      </c>
      <c r="R140" s="200">
        <f t="shared" si="7"/>
        <v>263.5381222186993</v>
      </c>
    </row>
    <row r="141" spans="2:18" x14ac:dyDescent="0.4">
      <c r="B141" s="58"/>
      <c r="C141" s="58"/>
      <c r="D141" s="58"/>
      <c r="E141" s="58"/>
      <c r="F141" s="58"/>
      <c r="G141" s="58"/>
      <c r="H141" s="58"/>
      <c r="I141" s="58"/>
      <c r="J141" s="58"/>
      <c r="K141" s="58"/>
      <c r="L141" s="58"/>
      <c r="M141" s="58"/>
      <c r="N141" s="58"/>
      <c r="O141" s="131">
        <v>97</v>
      </c>
      <c r="P141" s="132">
        <f t="shared" si="8"/>
        <v>119.8673102513209</v>
      </c>
      <c r="Q141" s="57">
        <f t="shared" si="6"/>
        <v>3</v>
      </c>
      <c r="R141" s="200">
        <f t="shared" si="7"/>
        <v>298.6416948024189</v>
      </c>
    </row>
    <row r="142" spans="2:18" x14ac:dyDescent="0.4">
      <c r="B142" s="58"/>
      <c r="C142" s="58"/>
      <c r="D142" s="58"/>
      <c r="E142" s="58"/>
      <c r="F142" s="58"/>
      <c r="G142" s="58"/>
      <c r="H142" s="58"/>
      <c r="I142" s="58"/>
      <c r="J142" s="58"/>
      <c r="K142" s="58"/>
      <c r="L142" s="58"/>
      <c r="M142" s="58"/>
      <c r="N142" s="58"/>
      <c r="O142" s="131">
        <v>98</v>
      </c>
      <c r="P142" s="132">
        <f t="shared" si="8"/>
        <v>141.54432042323563</v>
      </c>
      <c r="Q142" s="57">
        <f t="shared" si="6"/>
        <v>2</v>
      </c>
      <c r="R142" s="200">
        <f t="shared" si="7"/>
        <v>352.64857159323731</v>
      </c>
    </row>
    <row r="143" spans="2:18" x14ac:dyDescent="0.4">
      <c r="B143" s="58"/>
      <c r="C143" s="58"/>
      <c r="D143" s="58"/>
      <c r="E143" s="58"/>
      <c r="F143" s="58"/>
      <c r="G143" s="58"/>
      <c r="H143" s="58"/>
      <c r="I143" s="58"/>
      <c r="J143" s="58"/>
      <c r="K143" s="58"/>
      <c r="L143" s="58"/>
      <c r="M143" s="58"/>
      <c r="N143" s="58"/>
      <c r="O143" s="131">
        <v>99</v>
      </c>
      <c r="P143" s="132">
        <f t="shared" si="8"/>
        <v>183.9397036010275</v>
      </c>
      <c r="Q143" s="57">
        <f t="shared" si="6"/>
        <v>1</v>
      </c>
      <c r="R143" s="200">
        <f t="shared" si="7"/>
        <v>458.27394232582373</v>
      </c>
    </row>
    <row r="144" spans="2:18" x14ac:dyDescent="0.4">
      <c r="O144" s="131"/>
      <c r="P144" s="199"/>
      <c r="Q144" s="198"/>
    </row>
    <row r="145" spans="16:17" x14ac:dyDescent="0.4">
      <c r="P145" s="198"/>
      <c r="Q145" s="198"/>
    </row>
  </sheetData>
  <sheetProtection password="DAA7" sheet="1" objects="1" scenarios="1" selectLockedCells="1"/>
  <mergeCells count="16">
    <mergeCell ref="B3:M3"/>
    <mergeCell ref="B4:M4"/>
    <mergeCell ref="B5:M5"/>
    <mergeCell ref="B8:M8"/>
    <mergeCell ref="C11:D11"/>
    <mergeCell ref="F9:G9"/>
    <mergeCell ref="C9:D9"/>
    <mergeCell ref="C10:D10"/>
    <mergeCell ref="L11:M11"/>
    <mergeCell ref="F11:G11"/>
    <mergeCell ref="L10:M10"/>
    <mergeCell ref="L9:M9"/>
    <mergeCell ref="F10:G10"/>
    <mergeCell ref="I10:J10"/>
    <mergeCell ref="I9:J9"/>
    <mergeCell ref="I11:J11"/>
  </mergeCells>
  <phoneticPr fontId="0" type="noConversion"/>
  <printOptions horizontalCentered="1"/>
  <pageMargins left="0.5" right="0.5" top="1" bottom="1" header="0.5" footer="0.5"/>
  <pageSetup scale="72" orientation="portrait" horizontalDpi="4294967293"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69"/>
  <sheetViews>
    <sheetView showGridLines="0" tabSelected="1" topLeftCell="A34" zoomScaleNormal="100" workbookViewId="0">
      <selection activeCell="M42" sqref="M42"/>
    </sheetView>
  </sheetViews>
  <sheetFormatPr defaultRowHeight="12.7" x14ac:dyDescent="0.4"/>
  <cols>
    <col min="1" max="1" width="0.41015625" customWidth="1"/>
    <col min="2" max="2" width="3.64453125" customWidth="1"/>
    <col min="3" max="3" width="22.64453125" customWidth="1"/>
    <col min="4" max="4" width="9.3515625" customWidth="1"/>
    <col min="5" max="5" width="8.52734375" customWidth="1"/>
    <col min="6" max="6" width="8.3515625" customWidth="1"/>
    <col min="7" max="7" width="8.1171875" customWidth="1"/>
    <col min="8" max="8" width="8" customWidth="1"/>
    <col min="9" max="9" width="8.1171875" customWidth="1"/>
    <col min="10" max="10" width="8.64453125" customWidth="1"/>
    <col min="12" max="12" width="10" bestFit="1" customWidth="1"/>
    <col min="13" max="13" width="10.1171875" customWidth="1"/>
    <col min="14" max="14" width="0.52734375" customWidth="1"/>
    <col min="15" max="15" width="1.87890625" customWidth="1"/>
  </cols>
  <sheetData>
    <row r="1" spans="1:14" ht="15.35" x14ac:dyDescent="0.5">
      <c r="A1" s="17" t="s">
        <v>147</v>
      </c>
      <c r="B1" s="58"/>
      <c r="C1" s="148"/>
      <c r="D1" s="148"/>
      <c r="E1" s="148"/>
      <c r="F1" s="148"/>
      <c r="G1" s="148"/>
      <c r="H1" s="148"/>
      <c r="I1" s="148"/>
      <c r="J1" s="148"/>
      <c r="K1" s="148"/>
      <c r="L1" s="148"/>
      <c r="M1" s="148"/>
    </row>
    <row r="2" spans="1:14" ht="5.25" customHeight="1" x14ac:dyDescent="0.5">
      <c r="B2" s="149"/>
      <c r="C2" s="148"/>
      <c r="D2" s="148"/>
      <c r="E2" s="148"/>
      <c r="F2" s="148"/>
      <c r="G2" s="148"/>
      <c r="H2" s="148"/>
      <c r="I2" s="148"/>
      <c r="J2" s="148"/>
      <c r="K2" s="148"/>
      <c r="L2" s="148"/>
      <c r="M2" s="148"/>
    </row>
    <row r="3" spans="1:14" ht="12.75" customHeight="1" x14ac:dyDescent="0.5">
      <c r="B3" s="149"/>
      <c r="C3" s="150" t="s">
        <v>146</v>
      </c>
      <c r="D3" s="148"/>
      <c r="E3" s="148"/>
      <c r="F3" s="148"/>
      <c r="G3" s="148"/>
      <c r="H3" s="148"/>
      <c r="I3" s="148"/>
      <c r="J3" s="148"/>
      <c r="K3" s="148"/>
      <c r="L3" s="148"/>
      <c r="M3" s="148"/>
    </row>
    <row r="4" spans="1:14" s="4" customFormat="1" ht="4.5" customHeight="1" thickBot="1" x14ac:dyDescent="0.45">
      <c r="B4" s="9"/>
      <c r="C4" s="9"/>
      <c r="D4" s="9"/>
      <c r="E4" s="9"/>
      <c r="F4" s="9"/>
      <c r="G4" s="9"/>
      <c r="H4" s="9"/>
      <c r="I4" s="9"/>
      <c r="J4" s="9"/>
      <c r="K4" s="9"/>
      <c r="L4" s="9"/>
      <c r="M4" s="9"/>
    </row>
    <row r="5" spans="1:14" s="4" customFormat="1" ht="13" thickBot="1" x14ac:dyDescent="0.45">
      <c r="A5" s="9" t="s">
        <v>100</v>
      </c>
      <c r="B5" s="128"/>
      <c r="C5" s="146"/>
      <c r="D5" s="250" t="s">
        <v>265</v>
      </c>
      <c r="E5" s="251"/>
      <c r="F5" s="251"/>
      <c r="G5" s="251"/>
      <c r="H5" s="252"/>
      <c r="I5" s="195"/>
      <c r="J5" s="9"/>
      <c r="K5" s="18" t="s">
        <v>102</v>
      </c>
      <c r="L5" s="7">
        <v>41909</v>
      </c>
      <c r="M5" s="11"/>
    </row>
    <row r="6" spans="1:14" s="4" customFormat="1" ht="13" thickBot="1" x14ac:dyDescent="0.45">
      <c r="A6" s="9" t="s">
        <v>103</v>
      </c>
      <c r="B6" s="128"/>
      <c r="C6" s="146"/>
      <c r="D6" s="253" t="s">
        <v>264</v>
      </c>
      <c r="E6" s="254"/>
      <c r="F6" s="254"/>
      <c r="G6" s="254"/>
      <c r="H6" s="254"/>
      <c r="I6" s="255"/>
      <c r="J6" s="9"/>
      <c r="K6" s="18" t="s">
        <v>125</v>
      </c>
      <c r="L6" s="8" t="s">
        <v>65</v>
      </c>
      <c r="M6" s="11"/>
    </row>
    <row r="7" spans="1:14" s="4" customFormat="1" ht="8.25" customHeight="1" thickBot="1" x14ac:dyDescent="0.45">
      <c r="A7" s="9"/>
      <c r="B7" s="128"/>
      <c r="C7" s="146"/>
      <c r="D7" s="52"/>
      <c r="E7" s="52"/>
      <c r="F7" s="52"/>
      <c r="G7" s="52"/>
      <c r="H7" s="52"/>
      <c r="I7" s="52"/>
      <c r="J7" s="9"/>
      <c r="K7" s="18"/>
      <c r="L7" s="196"/>
      <c r="M7" s="11"/>
    </row>
    <row r="8" spans="1:14" s="4" customFormat="1" ht="13" thickBot="1" x14ac:dyDescent="0.45">
      <c r="A8" s="9" t="s">
        <v>101</v>
      </c>
      <c r="B8" s="128"/>
      <c r="C8" s="146"/>
      <c r="D8" s="256" t="s">
        <v>266</v>
      </c>
      <c r="E8" s="257"/>
      <c r="F8" s="257"/>
      <c r="G8" s="257"/>
      <c r="H8" s="257"/>
      <c r="I8" s="257"/>
      <c r="J8" s="257"/>
      <c r="K8" s="257"/>
      <c r="L8" s="258"/>
      <c r="M8" s="11"/>
    </row>
    <row r="9" spans="1:14" s="4" customFormat="1" ht="6.75" customHeight="1" x14ac:dyDescent="0.4">
      <c r="B9" s="146"/>
      <c r="C9" s="146"/>
      <c r="D9" s="9"/>
      <c r="E9" s="9"/>
      <c r="F9" s="9"/>
      <c r="G9" s="9"/>
      <c r="H9" s="9"/>
      <c r="I9" s="9"/>
      <c r="J9" s="9"/>
      <c r="K9" s="9"/>
      <c r="L9" s="9"/>
      <c r="M9" s="9"/>
    </row>
    <row r="10" spans="1:14" ht="15.75" customHeight="1" x14ac:dyDescent="0.4">
      <c r="A10" s="1" t="s">
        <v>128</v>
      </c>
      <c r="B10" s="58"/>
      <c r="C10" s="147"/>
      <c r="D10" s="61"/>
      <c r="E10" s="61"/>
      <c r="F10" s="61"/>
      <c r="G10" s="61"/>
      <c r="H10" s="61"/>
      <c r="I10" s="61"/>
      <c r="J10" s="61"/>
      <c r="K10" s="61"/>
      <c r="L10" s="61"/>
      <c r="M10" s="61"/>
    </row>
    <row r="11" spans="1:14" ht="3" customHeight="1" x14ac:dyDescent="0.4">
      <c r="A11" s="29"/>
      <c r="B11" s="2"/>
      <c r="C11" s="30"/>
      <c r="D11" s="16"/>
      <c r="E11" s="16"/>
      <c r="F11" s="16"/>
      <c r="G11" s="16"/>
      <c r="H11" s="16"/>
      <c r="I11" s="16"/>
      <c r="J11" s="16"/>
      <c r="K11" s="16"/>
      <c r="L11" s="16"/>
      <c r="M11" s="16"/>
      <c r="N11" s="5"/>
    </row>
    <row r="12" spans="1:14" s="23" customFormat="1" ht="12.75" customHeight="1" x14ac:dyDescent="0.4">
      <c r="A12" s="31"/>
      <c r="B12" s="21"/>
      <c r="C12" s="22"/>
      <c r="D12" s="22"/>
      <c r="E12" s="22"/>
      <c r="F12" s="22"/>
      <c r="G12" s="22"/>
      <c r="H12" s="22"/>
      <c r="I12" s="22"/>
      <c r="J12" s="22"/>
      <c r="K12" s="22"/>
      <c r="L12" s="22"/>
      <c r="M12" s="22"/>
      <c r="N12" s="32"/>
    </row>
    <row r="13" spans="1:14" s="23" customFormat="1" ht="149.25" customHeight="1" x14ac:dyDescent="0.4">
      <c r="A13" s="31"/>
      <c r="B13" s="21"/>
      <c r="C13" s="22"/>
      <c r="D13" s="22"/>
      <c r="E13" s="22"/>
      <c r="F13" s="22"/>
      <c r="G13" s="22"/>
      <c r="H13" s="22"/>
      <c r="I13" s="22"/>
      <c r="J13" s="22"/>
      <c r="K13" s="22"/>
      <c r="L13" s="22"/>
      <c r="M13" s="22"/>
      <c r="N13" s="32"/>
    </row>
    <row r="14" spans="1:14" s="23" customFormat="1" ht="17.45" customHeight="1" x14ac:dyDescent="0.4">
      <c r="A14" s="31"/>
      <c r="B14" s="21"/>
      <c r="C14" s="22"/>
      <c r="D14" s="22"/>
      <c r="E14" s="22"/>
      <c r="F14" s="22"/>
      <c r="G14" s="22"/>
      <c r="H14" s="22"/>
      <c r="I14" s="22"/>
      <c r="J14" s="22"/>
      <c r="K14" s="22"/>
      <c r="L14" s="22"/>
      <c r="M14" s="22"/>
      <c r="N14" s="32"/>
    </row>
    <row r="15" spans="1:14" s="23" customFormat="1" ht="7.95" customHeight="1" x14ac:dyDescent="0.4">
      <c r="A15" s="31"/>
      <c r="B15" s="21"/>
      <c r="C15" s="22"/>
      <c r="D15" s="22"/>
      <c r="E15" s="22"/>
      <c r="F15" s="22"/>
      <c r="G15" s="22"/>
      <c r="H15" s="22"/>
      <c r="I15" s="22"/>
      <c r="J15" s="22"/>
      <c r="K15" s="22"/>
      <c r="L15" s="22"/>
      <c r="M15" s="22"/>
      <c r="N15" s="32"/>
    </row>
    <row r="16" spans="1:14" s="23" customFormat="1" ht="3.75" customHeight="1" x14ac:dyDescent="0.4">
      <c r="A16" s="33"/>
      <c r="B16" s="34"/>
      <c r="C16" s="35"/>
      <c r="D16" s="35"/>
      <c r="E16" s="35"/>
      <c r="F16" s="35"/>
      <c r="G16" s="35"/>
      <c r="H16" s="35"/>
      <c r="I16" s="35"/>
      <c r="J16" s="35"/>
      <c r="K16" s="35"/>
      <c r="L16" s="35"/>
      <c r="M16" s="35"/>
      <c r="N16" s="36"/>
    </row>
    <row r="17" spans="1:14" s="23" customFormat="1" ht="9" customHeight="1" x14ac:dyDescent="0.4">
      <c r="B17" s="60"/>
      <c r="C17" s="61"/>
      <c r="D17" s="61"/>
      <c r="E17" s="61"/>
      <c r="F17" s="61"/>
      <c r="G17" s="61"/>
      <c r="H17" s="61"/>
      <c r="I17" s="61"/>
      <c r="J17" s="61"/>
      <c r="K17" s="61"/>
      <c r="L17" s="61"/>
      <c r="M17" s="22"/>
    </row>
    <row r="18" spans="1:14" ht="17.25" customHeight="1" x14ac:dyDescent="0.4">
      <c r="A18" s="47" t="s">
        <v>144</v>
      </c>
      <c r="B18" s="58"/>
      <c r="C18" s="61"/>
      <c r="D18" s="61"/>
      <c r="E18" s="61"/>
      <c r="F18" s="14"/>
      <c r="G18" s="61"/>
      <c r="H18" s="61"/>
      <c r="I18" s="61"/>
      <c r="J18" s="61"/>
      <c r="K18" s="61"/>
      <c r="L18" s="61"/>
      <c r="M18" s="14"/>
    </row>
    <row r="19" spans="1:14" ht="3.75" customHeight="1" x14ac:dyDescent="0.4">
      <c r="A19" s="51"/>
      <c r="B19" s="55"/>
      <c r="C19" s="55"/>
      <c r="D19" s="55"/>
      <c r="E19" s="55"/>
      <c r="F19" s="16"/>
      <c r="G19" s="55"/>
      <c r="H19" s="55"/>
      <c r="I19" s="55"/>
      <c r="J19" s="55"/>
      <c r="K19" s="55"/>
      <c r="L19" s="55"/>
      <c r="M19" s="16"/>
      <c r="N19" s="5"/>
    </row>
    <row r="20" spans="1:14" ht="12.75" customHeight="1" x14ac:dyDescent="0.4">
      <c r="A20" s="41"/>
      <c r="B20" s="144" t="s">
        <v>112</v>
      </c>
      <c r="C20" s="60"/>
      <c r="D20" s="60"/>
      <c r="E20" s="60"/>
      <c r="F20" s="205">
        <v>2</v>
      </c>
      <c r="G20" s="60" t="s">
        <v>132</v>
      </c>
      <c r="H20" s="60"/>
      <c r="I20" s="145" t="s">
        <v>133</v>
      </c>
      <c r="J20" s="136">
        <f>1-'1. Lognormal MWe from Area'!L11</f>
        <v>0.59862499999999996</v>
      </c>
      <c r="K20" s="70"/>
      <c r="L20" s="137" t="s">
        <v>127</v>
      </c>
      <c r="M20" s="39">
        <v>0.5</v>
      </c>
      <c r="N20" s="6"/>
    </row>
    <row r="21" spans="1:14" s="23" customFormat="1" ht="12.75" customHeight="1" x14ac:dyDescent="0.4">
      <c r="A21" s="31"/>
      <c r="B21" s="21"/>
      <c r="C21" s="22"/>
      <c r="D21" s="22"/>
      <c r="E21" s="22"/>
      <c r="F21" s="22"/>
      <c r="G21" s="22"/>
      <c r="H21" s="22"/>
      <c r="I21" s="22"/>
      <c r="J21" s="22"/>
      <c r="K21" s="22"/>
      <c r="L21" s="22"/>
      <c r="M21" s="22"/>
      <c r="N21" s="32"/>
    </row>
    <row r="22" spans="1:14" s="23" customFormat="1" ht="18" customHeight="1" x14ac:dyDescent="0.4">
      <c r="A22" s="31"/>
      <c r="B22" s="21"/>
      <c r="C22" s="22"/>
      <c r="D22" s="22"/>
      <c r="E22" s="22"/>
      <c r="F22" s="22"/>
      <c r="G22" s="22"/>
      <c r="H22" s="22"/>
      <c r="I22" s="22"/>
      <c r="J22" s="22"/>
      <c r="K22" s="22"/>
      <c r="L22" s="22"/>
      <c r="M22" s="22"/>
      <c r="N22" s="32"/>
    </row>
    <row r="23" spans="1:14" s="23" customFormat="1" ht="37.200000000000003" customHeight="1" x14ac:dyDescent="0.4">
      <c r="A23" s="31"/>
      <c r="B23" s="21"/>
      <c r="C23" s="22"/>
      <c r="D23" s="22"/>
      <c r="E23" s="22"/>
      <c r="F23" s="22"/>
      <c r="G23" s="22"/>
      <c r="H23" s="22"/>
      <c r="I23" s="22"/>
      <c r="J23" s="22"/>
      <c r="K23" s="22"/>
      <c r="L23" s="22"/>
      <c r="M23" s="22"/>
      <c r="N23" s="32"/>
    </row>
    <row r="24" spans="1:14" s="23" customFormat="1" ht="12.75" customHeight="1" x14ac:dyDescent="0.4">
      <c r="A24" s="31"/>
      <c r="B24" s="21"/>
      <c r="C24" s="22"/>
      <c r="D24" s="22"/>
      <c r="E24" s="22"/>
      <c r="F24" s="22"/>
      <c r="G24" s="22"/>
      <c r="H24" s="22"/>
      <c r="I24" s="22"/>
      <c r="J24" s="22"/>
      <c r="K24" s="22"/>
      <c r="L24" s="22"/>
      <c r="M24" s="22"/>
      <c r="N24" s="32"/>
    </row>
    <row r="25" spans="1:14" ht="15.75" customHeight="1" x14ac:dyDescent="0.4">
      <c r="A25" s="41"/>
      <c r="B25" s="60"/>
      <c r="C25" s="143" t="s">
        <v>130</v>
      </c>
      <c r="D25" s="61"/>
      <c r="E25" s="61"/>
      <c r="F25" s="61"/>
      <c r="G25" s="61"/>
      <c r="H25" s="14"/>
      <c r="I25" s="14"/>
      <c r="J25" s="14"/>
      <c r="K25" s="14"/>
      <c r="L25" s="14"/>
      <c r="M25" s="14"/>
      <c r="N25" s="6"/>
    </row>
    <row r="26" spans="1:14" ht="12.75" customHeight="1" x14ac:dyDescent="0.4">
      <c r="A26" s="41"/>
      <c r="B26" s="70" t="s">
        <v>136</v>
      </c>
      <c r="C26" s="60"/>
      <c r="D26" s="38">
        <v>20</v>
      </c>
      <c r="E26" s="138" t="s">
        <v>104</v>
      </c>
      <c r="F26" s="38">
        <v>2</v>
      </c>
      <c r="G26" s="60" t="s">
        <v>132</v>
      </c>
      <c r="H26" s="60"/>
      <c r="I26" s="135" t="s">
        <v>210</v>
      </c>
      <c r="J26" s="136">
        <f>LOGNORMDIST($D$26,'1. Lognormal MWe from Area'!L28,'1. Lognormal MWe from Area'!M28)</f>
        <v>0.17563232954532598</v>
      </c>
      <c r="K26" s="60"/>
      <c r="L26" s="137" t="s">
        <v>127</v>
      </c>
      <c r="M26" s="39">
        <v>0.15</v>
      </c>
      <c r="N26" s="6"/>
    </row>
    <row r="27" spans="1:14" s="23" customFormat="1" ht="12.75" customHeight="1" x14ac:dyDescent="0.4">
      <c r="A27" s="31"/>
      <c r="B27" s="21"/>
      <c r="C27" s="22"/>
      <c r="D27" s="22"/>
      <c r="E27" s="22"/>
      <c r="F27" s="22"/>
      <c r="G27" s="22"/>
      <c r="H27" s="22"/>
      <c r="I27" s="22"/>
      <c r="J27" s="22"/>
      <c r="K27" s="22"/>
      <c r="L27" s="22"/>
      <c r="M27" s="22"/>
      <c r="N27" s="32"/>
    </row>
    <row r="28" spans="1:14" s="23" customFormat="1" ht="83.45" customHeight="1" x14ac:dyDescent="0.4">
      <c r="A28" s="31"/>
      <c r="B28" s="21"/>
      <c r="C28" s="22"/>
      <c r="D28" s="22"/>
      <c r="E28" s="22"/>
      <c r="F28" s="22"/>
      <c r="G28" s="22"/>
      <c r="H28" s="22"/>
      <c r="I28" s="22"/>
      <c r="J28" s="22"/>
      <c r="K28" s="22"/>
      <c r="L28" s="22"/>
      <c r="M28" s="22"/>
      <c r="N28" s="32"/>
    </row>
    <row r="29" spans="1:14" s="23" customFormat="1" ht="13.5" customHeight="1" x14ac:dyDescent="0.4">
      <c r="A29" s="31"/>
      <c r="B29" s="21"/>
      <c r="C29" s="22"/>
      <c r="D29" s="22"/>
      <c r="E29" s="22"/>
      <c r="F29" s="22"/>
      <c r="G29" s="22"/>
      <c r="H29" s="22"/>
      <c r="I29" s="22"/>
      <c r="J29" s="22"/>
      <c r="K29" s="22"/>
      <c r="L29" s="22"/>
      <c r="M29" s="22"/>
      <c r="N29" s="32"/>
    </row>
    <row r="30" spans="1:14" ht="15" customHeight="1" x14ac:dyDescent="0.4">
      <c r="A30" s="41"/>
      <c r="B30" s="60"/>
      <c r="C30" s="140" t="s">
        <v>129</v>
      </c>
      <c r="D30" s="61"/>
      <c r="E30" s="61"/>
      <c r="F30" s="61"/>
      <c r="G30" s="61"/>
      <c r="H30" s="61"/>
      <c r="I30" s="61"/>
      <c r="J30" s="61"/>
      <c r="K30" s="61"/>
      <c r="L30" s="61"/>
      <c r="M30" s="61"/>
      <c r="N30" s="6"/>
    </row>
    <row r="31" spans="1:14" ht="12" customHeight="1" x14ac:dyDescent="0.4">
      <c r="A31" s="41"/>
      <c r="B31" s="70" t="s">
        <v>137</v>
      </c>
      <c r="C31" s="134"/>
      <c r="D31" s="141">
        <f>D26</f>
        <v>20</v>
      </c>
      <c r="E31" s="138" t="s">
        <v>121</v>
      </c>
      <c r="F31" s="139"/>
      <c r="G31" s="60"/>
      <c r="H31" s="60"/>
      <c r="I31" s="135" t="s">
        <v>131</v>
      </c>
      <c r="J31" s="136">
        <f>1-J36-J42</f>
        <v>0.29214580825801789</v>
      </c>
      <c r="K31" s="60"/>
      <c r="L31" s="137" t="s">
        <v>127</v>
      </c>
      <c r="M31" s="142">
        <f>1-M36-M42</f>
        <v>0.30000000000000004</v>
      </c>
      <c r="N31" s="6"/>
    </row>
    <row r="32" spans="1:14" s="23" customFormat="1" ht="12.75" customHeight="1" x14ac:dyDescent="0.4">
      <c r="A32" s="31"/>
      <c r="B32" s="21"/>
      <c r="C32" s="22"/>
      <c r="D32" s="22"/>
      <c r="E32" s="22"/>
      <c r="F32" s="22"/>
      <c r="G32" s="22"/>
      <c r="H32" s="22"/>
      <c r="I32" s="22"/>
      <c r="J32" s="22"/>
      <c r="K32" s="22"/>
      <c r="L32" s="22"/>
      <c r="M32" s="22"/>
      <c r="N32" s="32"/>
    </row>
    <row r="33" spans="1:14" s="23" customFormat="1" ht="31.95" customHeight="1" x14ac:dyDescent="0.4">
      <c r="A33" s="31"/>
      <c r="B33" s="21"/>
      <c r="C33" s="22"/>
      <c r="D33" s="22"/>
      <c r="E33" s="22"/>
      <c r="F33" s="22"/>
      <c r="G33" s="22"/>
      <c r="H33" s="22"/>
      <c r="I33" s="22"/>
      <c r="J33" s="22"/>
      <c r="K33" s="22"/>
      <c r="L33" s="22"/>
      <c r="M33" s="22"/>
      <c r="N33" s="32"/>
    </row>
    <row r="34" spans="1:14" s="23" customFormat="1" ht="12.75" customHeight="1" x14ac:dyDescent="0.4">
      <c r="A34" s="31"/>
      <c r="B34" s="21"/>
      <c r="C34" s="22"/>
      <c r="D34" s="22"/>
      <c r="E34" s="22"/>
      <c r="F34" s="22"/>
      <c r="G34" s="22"/>
      <c r="H34" s="22"/>
      <c r="I34" s="22"/>
      <c r="J34" s="22"/>
      <c r="K34" s="22"/>
      <c r="L34" s="22"/>
      <c r="M34" s="22"/>
      <c r="N34" s="32"/>
    </row>
    <row r="35" spans="1:14" ht="7.5" customHeight="1" x14ac:dyDescent="0.4">
      <c r="A35" s="41"/>
      <c r="B35" s="13"/>
      <c r="C35" s="14"/>
      <c r="D35" s="14"/>
      <c r="E35" s="14"/>
      <c r="F35" s="14"/>
      <c r="G35" s="14"/>
      <c r="H35" s="14"/>
      <c r="I35" s="14"/>
      <c r="J35" s="14"/>
      <c r="K35" s="14"/>
      <c r="L35" s="14"/>
      <c r="M35" s="14"/>
      <c r="N35" s="6"/>
    </row>
    <row r="36" spans="1:14" ht="12.75" customHeight="1" x14ac:dyDescent="0.4">
      <c r="A36" s="41"/>
      <c r="B36" s="70" t="s">
        <v>138</v>
      </c>
      <c r="C36" s="60"/>
      <c r="D36" s="50">
        <v>40</v>
      </c>
      <c r="E36" s="138" t="s">
        <v>121</v>
      </c>
      <c r="F36" s="139"/>
      <c r="G36" s="138"/>
      <c r="H36" s="60"/>
      <c r="I36" s="135" t="s">
        <v>131</v>
      </c>
      <c r="J36" s="136">
        <f>(1-LOGNORMDIST($D$36,'1. Lognormal MWe from Area'!L28,'1. Lognormal MWe from Area'!M28))/(1-LOGNORMDIST(D26,'1. Lognormal MWe from Area'!L28,'1. Lognormal MWe from Area'!M28))-J42</f>
        <v>0.33795434810405939</v>
      </c>
      <c r="K36" s="60"/>
      <c r="L36" s="137" t="s">
        <v>127</v>
      </c>
      <c r="M36" s="39">
        <v>0.35</v>
      </c>
      <c r="N36" s="6"/>
    </row>
    <row r="37" spans="1:14" s="23" customFormat="1" ht="12.75" customHeight="1" x14ac:dyDescent="0.4">
      <c r="A37" s="31"/>
      <c r="B37" s="21"/>
      <c r="C37" s="22"/>
      <c r="D37" s="22"/>
      <c r="E37" s="22"/>
      <c r="F37" s="22"/>
      <c r="G37" s="22"/>
      <c r="H37" s="22"/>
      <c r="I37" s="22"/>
      <c r="J37" s="22"/>
      <c r="K37" s="22"/>
      <c r="L37" s="22"/>
      <c r="M37" s="22" t="s">
        <v>135</v>
      </c>
      <c r="N37" s="32"/>
    </row>
    <row r="38" spans="1:14" s="23" customFormat="1" ht="18" customHeight="1" x14ac:dyDescent="0.4">
      <c r="A38" s="31"/>
      <c r="B38" s="21"/>
      <c r="C38" s="22"/>
      <c r="D38" s="22"/>
      <c r="E38" s="22"/>
      <c r="F38" s="22"/>
      <c r="G38" s="22"/>
      <c r="H38" s="22"/>
      <c r="I38" s="22"/>
      <c r="J38" s="22"/>
      <c r="K38" s="22"/>
      <c r="L38" s="22"/>
      <c r="M38" s="22"/>
      <c r="N38" s="32"/>
    </row>
    <row r="39" spans="1:14" s="23" customFormat="1" ht="12" customHeight="1" x14ac:dyDescent="0.4">
      <c r="A39" s="31"/>
      <c r="B39" s="21"/>
      <c r="C39" s="22"/>
      <c r="D39" s="22"/>
      <c r="E39" s="22"/>
      <c r="F39" s="22"/>
      <c r="G39" s="22"/>
      <c r="H39" s="22"/>
      <c r="I39" s="22"/>
      <c r="J39" s="22"/>
      <c r="K39" s="22"/>
      <c r="L39" s="22"/>
      <c r="M39" s="22"/>
      <c r="N39" s="32"/>
    </row>
    <row r="40" spans="1:14" ht="12.75" customHeight="1" x14ac:dyDescent="0.4">
      <c r="A40" s="41"/>
      <c r="B40" s="13"/>
      <c r="C40" s="14"/>
      <c r="D40" s="14"/>
      <c r="E40" s="14"/>
      <c r="F40" s="14"/>
      <c r="G40" s="14"/>
      <c r="H40" s="14"/>
      <c r="I40" s="14"/>
      <c r="J40" s="14"/>
      <c r="K40" s="14"/>
      <c r="L40" s="14"/>
      <c r="M40" s="14"/>
      <c r="N40" s="6"/>
    </row>
    <row r="41" spans="1:14" ht="4.5" customHeight="1" x14ac:dyDescent="0.4">
      <c r="A41" s="41"/>
      <c r="B41" s="13"/>
      <c r="C41" s="14"/>
      <c r="D41" s="14"/>
      <c r="E41" s="14"/>
      <c r="F41" s="14"/>
      <c r="G41" s="14"/>
      <c r="H41" s="14"/>
      <c r="I41" s="14"/>
      <c r="J41" s="14"/>
      <c r="K41" s="14"/>
      <c r="L41" s="14"/>
      <c r="M41" s="14"/>
      <c r="N41" s="6"/>
    </row>
    <row r="42" spans="1:14" ht="12.75" customHeight="1" x14ac:dyDescent="0.4">
      <c r="A42" s="41"/>
      <c r="B42" s="70" t="s">
        <v>134</v>
      </c>
      <c r="C42" s="134"/>
      <c r="D42" s="38">
        <v>80</v>
      </c>
      <c r="E42" s="13" t="s">
        <v>121</v>
      </c>
      <c r="F42" s="60"/>
      <c r="G42" s="60"/>
      <c r="H42" s="60"/>
      <c r="I42" s="135" t="s">
        <v>131</v>
      </c>
      <c r="J42" s="136">
        <f>(1-LOGNORMDIST($D$42,'1. Lognormal MWe from Area'!L28,'1. Lognormal MWe from Area'!M28))/(1-LOGNORMDIST(D26,'1. Lognormal MWe from Area'!L28,'1. Lognormal MWe from Area'!M28))</f>
        <v>0.36989984363792267</v>
      </c>
      <c r="K42" s="60"/>
      <c r="L42" s="137" t="s">
        <v>127</v>
      </c>
      <c r="M42" s="39">
        <v>0.35</v>
      </c>
      <c r="N42" s="6"/>
    </row>
    <row r="43" spans="1:14" s="23" customFormat="1" ht="12.75" customHeight="1" x14ac:dyDescent="0.4">
      <c r="A43" s="31"/>
      <c r="B43" s="21"/>
      <c r="C43" s="22"/>
      <c r="D43" s="22"/>
      <c r="E43" s="22"/>
      <c r="F43" s="22"/>
      <c r="G43" s="22"/>
      <c r="H43" s="22"/>
      <c r="I43" s="22"/>
      <c r="J43" s="22"/>
      <c r="K43" s="22"/>
      <c r="L43" s="22"/>
      <c r="M43" s="22"/>
      <c r="N43" s="32"/>
    </row>
    <row r="44" spans="1:14" s="23" customFormat="1" ht="18" customHeight="1" x14ac:dyDescent="0.4">
      <c r="A44" s="31"/>
      <c r="B44" s="21"/>
      <c r="C44" s="22"/>
      <c r="D44" s="22"/>
      <c r="E44" s="22"/>
      <c r="F44" s="22"/>
      <c r="G44" s="22"/>
      <c r="H44" s="22"/>
      <c r="I44" s="22"/>
      <c r="J44" s="22"/>
      <c r="K44" s="22"/>
      <c r="L44" s="22"/>
      <c r="M44" s="22"/>
      <c r="N44" s="32"/>
    </row>
    <row r="45" spans="1:14" s="23" customFormat="1" ht="10.5" customHeight="1" x14ac:dyDescent="0.4">
      <c r="A45" s="31"/>
      <c r="B45" s="21"/>
      <c r="C45" s="22"/>
      <c r="D45" s="22"/>
      <c r="E45" s="22"/>
      <c r="F45" s="22"/>
      <c r="G45" s="22"/>
      <c r="H45" s="22"/>
      <c r="I45" s="22"/>
      <c r="J45" s="22"/>
      <c r="K45" s="22"/>
      <c r="L45" s="22"/>
      <c r="M45" s="22"/>
      <c r="N45" s="32"/>
    </row>
    <row r="46" spans="1:14" ht="4.5" customHeight="1" x14ac:dyDescent="0.4">
      <c r="A46" s="42"/>
      <c r="B46" s="10"/>
      <c r="C46" s="15"/>
      <c r="D46" s="15"/>
      <c r="E46" s="15"/>
      <c r="F46" s="15"/>
      <c r="G46" s="15"/>
      <c r="H46" s="15"/>
      <c r="I46" s="15"/>
      <c r="J46" s="15"/>
      <c r="K46" s="15"/>
      <c r="L46" s="15"/>
      <c r="M46" s="15"/>
      <c r="N46" s="24"/>
    </row>
    <row r="47" spans="1:14" ht="6" customHeight="1" x14ac:dyDescent="0.4">
      <c r="B47" s="13"/>
      <c r="C47" s="14"/>
      <c r="D47" s="14"/>
      <c r="E47" s="14"/>
      <c r="F47" s="14"/>
      <c r="G47" s="14"/>
      <c r="H47" s="14"/>
      <c r="I47" s="14"/>
      <c r="J47" s="14"/>
      <c r="K47" s="14"/>
      <c r="L47" s="14"/>
      <c r="M47" s="14"/>
    </row>
    <row r="48" spans="1:14" s="49" customFormat="1" ht="14.25" customHeight="1" x14ac:dyDescent="0.4">
      <c r="A48" s="48" t="s">
        <v>149</v>
      </c>
      <c r="B48" s="151"/>
      <c r="C48" s="152"/>
      <c r="D48" s="152"/>
      <c r="E48" s="152"/>
      <c r="F48" s="152"/>
      <c r="G48" s="152"/>
      <c r="H48" s="152"/>
      <c r="I48" s="152"/>
      <c r="J48" s="152"/>
      <c r="K48" s="152"/>
      <c r="L48" s="152"/>
      <c r="M48" s="152"/>
    </row>
    <row r="49" spans="1:14" ht="3" customHeight="1" x14ac:dyDescent="0.4">
      <c r="A49" s="40"/>
      <c r="B49" s="46"/>
      <c r="C49" s="16"/>
      <c r="D49" s="16"/>
      <c r="E49" s="16"/>
      <c r="F49" s="16"/>
      <c r="G49" s="16"/>
      <c r="H49" s="16"/>
      <c r="I49" s="16"/>
      <c r="J49" s="16"/>
      <c r="K49" s="16"/>
      <c r="L49" s="16"/>
      <c r="M49" s="16"/>
      <c r="N49" s="5"/>
    </row>
    <row r="50" spans="1:14" ht="13.5" customHeight="1" thickBot="1" x14ac:dyDescent="0.45">
      <c r="A50" s="41"/>
      <c r="B50" s="61"/>
      <c r="C50" s="153"/>
      <c r="D50" s="154"/>
      <c r="E50" s="154"/>
      <c r="F50" s="203" t="s">
        <v>113</v>
      </c>
      <c r="G50" s="206">
        <f>F20</f>
        <v>2</v>
      </c>
      <c r="H50" s="177" t="s">
        <v>175</v>
      </c>
      <c r="I50" s="19"/>
      <c r="J50" s="202" t="s">
        <v>148</v>
      </c>
      <c r="K50" s="153"/>
      <c r="L50" s="153"/>
      <c r="M50" s="153"/>
      <c r="N50" s="6"/>
    </row>
    <row r="51" spans="1:14" ht="13.5" customHeight="1" thickTop="1" thickBot="1" x14ac:dyDescent="0.45">
      <c r="A51" s="41"/>
      <c r="B51" s="156" t="s">
        <v>145</v>
      </c>
      <c r="C51" s="61"/>
      <c r="D51" s="61"/>
      <c r="E51" s="157">
        <f>M20</f>
        <v>0.5</v>
      </c>
      <c r="F51" s="158"/>
      <c r="G51" s="193">
        <v>-12</v>
      </c>
      <c r="H51" s="183" t="s">
        <v>116</v>
      </c>
      <c r="I51" s="19"/>
      <c r="J51" s="184"/>
      <c r="K51" s="153"/>
      <c r="L51" s="153"/>
      <c r="M51" s="153"/>
      <c r="N51" s="6"/>
    </row>
    <row r="52" spans="1:14" ht="14.25" customHeight="1" thickTop="1" x14ac:dyDescent="0.4">
      <c r="A52" s="41"/>
      <c r="B52" s="159"/>
      <c r="C52" s="160" t="s">
        <v>140</v>
      </c>
      <c r="D52" s="161" t="str">
        <f>(ROUND((((L56*K57+L60*K60+L64*K64)*G59*E56)),0))&amp;" MW"</f>
        <v>20 MW</v>
      </c>
      <c r="E52" s="162"/>
      <c r="F52" s="154"/>
      <c r="G52" s="194">
        <v>12</v>
      </c>
      <c r="H52" s="89" t="s">
        <v>119</v>
      </c>
      <c r="I52" s="19"/>
      <c r="J52" s="154"/>
      <c r="K52" s="153"/>
      <c r="L52" s="153"/>
      <c r="M52" s="153"/>
      <c r="N52" s="6"/>
    </row>
    <row r="53" spans="1:14" ht="15" customHeight="1" thickBot="1" x14ac:dyDescent="0.45">
      <c r="A53" s="41"/>
      <c r="B53" s="163"/>
      <c r="C53" s="164" t="s">
        <v>139</v>
      </c>
      <c r="D53" s="165"/>
      <c r="E53" s="166"/>
      <c r="F53" s="154"/>
      <c r="G53" s="154"/>
      <c r="H53" s="155" t="str">
        <f>"Appraisal Failure (&lt;"&amp;L56&amp;" MW)"</f>
        <v>Appraisal Failure (&lt;20 MW)</v>
      </c>
      <c r="I53" s="197">
        <f>F26</f>
        <v>2</v>
      </c>
      <c r="J53" s="177" t="s">
        <v>115</v>
      </c>
      <c r="K53" s="153"/>
      <c r="L53" s="192" t="s">
        <v>114</v>
      </c>
      <c r="M53" s="155"/>
      <c r="N53" s="6"/>
    </row>
    <row r="54" spans="1:14" ht="12" customHeight="1" thickTop="1" x14ac:dyDescent="0.4">
      <c r="A54" s="41"/>
      <c r="B54" s="163"/>
      <c r="C54" s="167" t="s">
        <v>118</v>
      </c>
      <c r="D54" s="168">
        <f>(((L57*K57+L61*K60+L65*K64)*G59*E56)+G54*I54*E56+E51*G51)</f>
        <v>0.42249999999999854</v>
      </c>
      <c r="E54" s="169"/>
      <c r="F54" s="154"/>
      <c r="G54" s="157">
        <f>M26</f>
        <v>0.15</v>
      </c>
      <c r="H54" s="158"/>
      <c r="I54" s="194">
        <v>-26</v>
      </c>
      <c r="J54" s="177" t="s">
        <v>116</v>
      </c>
      <c r="K54" s="153"/>
      <c r="L54" s="192" t="s">
        <v>117</v>
      </c>
      <c r="M54" s="155"/>
      <c r="N54" s="6"/>
    </row>
    <row r="55" spans="1:14" ht="12" customHeight="1" x14ac:dyDescent="0.4">
      <c r="A55" s="41"/>
      <c r="B55" s="163"/>
      <c r="C55" s="167" t="s">
        <v>120</v>
      </c>
      <c r="D55" s="168">
        <f>(((L58*K57+L62*K60+L66*K64)*G59*E56)+G54*I55*E56+E51*G52)</f>
        <v>74.674999999999997</v>
      </c>
      <c r="E55" s="157"/>
      <c r="F55" s="170"/>
      <c r="G55" s="157"/>
      <c r="H55" s="170"/>
      <c r="I55" s="194">
        <v>26</v>
      </c>
      <c r="J55" s="183" t="s">
        <v>119</v>
      </c>
      <c r="K55" s="153"/>
      <c r="L55" s="192"/>
      <c r="M55" s="155"/>
      <c r="N55" s="6"/>
    </row>
    <row r="56" spans="1:14" ht="12" customHeight="1" thickBot="1" x14ac:dyDescent="0.45">
      <c r="A56" s="41"/>
      <c r="B56" s="163"/>
      <c r="C56" s="171"/>
      <c r="D56" s="165"/>
      <c r="E56" s="162">
        <f>1-E51</f>
        <v>0.5</v>
      </c>
      <c r="F56" s="172"/>
      <c r="G56" s="153"/>
      <c r="H56" s="170"/>
      <c r="I56" s="154"/>
      <c r="J56" s="154"/>
      <c r="K56" s="153"/>
      <c r="L56" s="37">
        <f>D31</f>
        <v>20</v>
      </c>
      <c r="M56" s="177" t="str">
        <f>"MW but &lt;"&amp;$L$60</f>
        <v>MW but &lt;40</v>
      </c>
      <c r="N56" s="6"/>
    </row>
    <row r="57" spans="1:14" ht="12" customHeight="1" thickTop="1" x14ac:dyDescent="0.4">
      <c r="A57" s="41"/>
      <c r="B57" s="163"/>
      <c r="C57" s="173" t="s">
        <v>143</v>
      </c>
      <c r="D57" s="174">
        <f>E56*G59</f>
        <v>0.42499999999999999</v>
      </c>
      <c r="E57" s="153"/>
      <c r="F57" s="203" t="s">
        <v>248</v>
      </c>
      <c r="G57" s="181"/>
      <c r="H57" s="170"/>
      <c r="I57" s="154"/>
      <c r="J57" s="186" t="s">
        <v>123</v>
      </c>
      <c r="K57" s="189">
        <f>1-$K$60-$K$64</f>
        <v>0.30000000000000004</v>
      </c>
      <c r="L57" s="194">
        <v>-2</v>
      </c>
      <c r="M57" s="177" t="s">
        <v>116</v>
      </c>
      <c r="N57" s="6"/>
    </row>
    <row r="58" spans="1:14" ht="12" customHeight="1" x14ac:dyDescent="0.4">
      <c r="A58" s="41"/>
      <c r="B58" s="163"/>
      <c r="C58" s="175" t="s">
        <v>141</v>
      </c>
      <c r="D58" s="176" t="str">
        <f>ROUND((K57*L56+K60*L60+K64*L64),0)&amp;" MW"</f>
        <v>48 MW</v>
      </c>
      <c r="E58" s="177"/>
      <c r="F58" s="154"/>
      <c r="G58" s="153"/>
      <c r="H58" s="170"/>
      <c r="I58" s="154"/>
      <c r="J58" s="170"/>
      <c r="K58" s="190"/>
      <c r="L58" s="194">
        <v>80</v>
      </c>
      <c r="M58" s="183" t="s">
        <v>119</v>
      </c>
      <c r="N58" s="6"/>
    </row>
    <row r="59" spans="1:14" ht="12" customHeight="1" thickBot="1" x14ac:dyDescent="0.45">
      <c r="A59" s="41"/>
      <c r="B59" s="178"/>
      <c r="C59" s="179" t="s">
        <v>142</v>
      </c>
      <c r="D59" s="180"/>
      <c r="E59" s="177"/>
      <c r="F59" s="153"/>
      <c r="G59" s="157">
        <f>1-G54</f>
        <v>0.85</v>
      </c>
      <c r="H59" s="170"/>
      <c r="I59" s="154"/>
      <c r="J59" s="170"/>
      <c r="K59" s="183"/>
      <c r="L59" s="20"/>
      <c r="M59" s="155"/>
      <c r="N59" s="6"/>
    </row>
    <row r="60" spans="1:14" ht="13.5" customHeight="1" thickTop="1" thickBot="1" x14ac:dyDescent="0.45">
      <c r="A60" s="41"/>
      <c r="B60" s="153"/>
      <c r="C60" s="153"/>
      <c r="D60" s="61"/>
      <c r="E60" s="154"/>
      <c r="F60" s="154"/>
      <c r="G60" s="154"/>
      <c r="H60" s="204" t="str">
        <f>"Appraisal Success (&gt;"&amp;L56&amp;" MW)"</f>
        <v>Appraisal Success (&gt;20 MW)</v>
      </c>
      <c r="I60" s="185"/>
      <c r="J60" s="187" t="s">
        <v>126</v>
      </c>
      <c r="K60" s="191">
        <f>M36</f>
        <v>0.35</v>
      </c>
      <c r="L60" s="37">
        <f>D36</f>
        <v>40</v>
      </c>
      <c r="M60" s="177" t="str">
        <f>"MW but &lt;"&amp;$L$64</f>
        <v>MW but &lt;80</v>
      </c>
      <c r="N60" s="6"/>
    </row>
    <row r="61" spans="1:14" ht="12" customHeight="1" thickTop="1" x14ac:dyDescent="0.4">
      <c r="A61" s="41"/>
      <c r="B61" s="153"/>
      <c r="C61" s="153"/>
      <c r="D61" s="154"/>
      <c r="E61" s="153"/>
      <c r="F61" s="153"/>
      <c r="G61" s="154"/>
      <c r="H61" s="154"/>
      <c r="I61" s="154"/>
      <c r="J61" s="158"/>
      <c r="K61" s="160"/>
      <c r="L61" s="194">
        <v>14</v>
      </c>
      <c r="M61" s="177" t="s">
        <v>116</v>
      </c>
      <c r="N61" s="6"/>
    </row>
    <row r="62" spans="1:14" ht="12" customHeight="1" x14ac:dyDescent="0.4">
      <c r="A62" s="41"/>
      <c r="B62" s="153"/>
      <c r="C62" s="153"/>
      <c r="D62" s="154"/>
      <c r="E62" s="153"/>
      <c r="F62" s="153"/>
      <c r="G62" s="154"/>
      <c r="H62" s="154"/>
      <c r="I62" s="154"/>
      <c r="J62" s="170"/>
      <c r="K62" s="190"/>
      <c r="L62" s="194">
        <v>140</v>
      </c>
      <c r="M62" s="183" t="s">
        <v>119</v>
      </c>
      <c r="N62" s="6"/>
    </row>
    <row r="63" spans="1:14" ht="12" customHeight="1" x14ac:dyDescent="0.4">
      <c r="A63" s="41"/>
      <c r="B63" s="153"/>
      <c r="C63" s="153"/>
      <c r="D63" s="154"/>
      <c r="E63" s="61"/>
      <c r="F63" s="153"/>
      <c r="G63" s="61"/>
      <c r="H63" s="61"/>
      <c r="I63" s="61"/>
      <c r="J63" s="170"/>
      <c r="K63" s="183"/>
      <c r="L63" s="20"/>
      <c r="M63" s="155"/>
      <c r="N63" s="6"/>
    </row>
    <row r="64" spans="1:14" ht="12" customHeight="1" thickBot="1" x14ac:dyDescent="0.45">
      <c r="A64" s="41"/>
      <c r="B64" s="153"/>
      <c r="C64" s="153"/>
      <c r="D64" s="153"/>
      <c r="E64" s="153"/>
      <c r="F64" s="153"/>
      <c r="G64" s="153"/>
      <c r="H64" s="153"/>
      <c r="I64" s="177"/>
      <c r="J64" s="188" t="s">
        <v>122</v>
      </c>
      <c r="K64" s="191">
        <f>M42</f>
        <v>0.35</v>
      </c>
      <c r="L64" s="37">
        <f>D42</f>
        <v>80</v>
      </c>
      <c r="M64" s="177" t="s">
        <v>104</v>
      </c>
      <c r="N64" s="6"/>
    </row>
    <row r="65" spans="1:20" ht="12" customHeight="1" thickTop="1" x14ac:dyDescent="0.4">
      <c r="A65" s="41"/>
      <c r="B65" s="153"/>
      <c r="C65" s="153"/>
      <c r="D65" s="154"/>
      <c r="E65" s="154"/>
      <c r="F65" s="154"/>
      <c r="G65" s="154"/>
      <c r="H65" s="154"/>
      <c r="I65" s="154"/>
      <c r="J65" s="154"/>
      <c r="K65" s="160"/>
      <c r="L65" s="194">
        <v>44</v>
      </c>
      <c r="M65" s="177" t="s">
        <v>116</v>
      </c>
      <c r="N65" s="6"/>
    </row>
    <row r="66" spans="1:20" ht="12" customHeight="1" x14ac:dyDescent="0.4">
      <c r="A66" s="41"/>
      <c r="B66" s="182" t="s">
        <v>84</v>
      </c>
      <c r="C66" s="153"/>
      <c r="D66" s="154"/>
      <c r="E66" s="154"/>
      <c r="F66" s="154"/>
      <c r="G66" s="154"/>
      <c r="H66" s="154"/>
      <c r="I66" s="154"/>
      <c r="J66" s="154"/>
      <c r="K66" s="190"/>
      <c r="L66" s="194">
        <v>240</v>
      </c>
      <c r="M66" s="183" t="s">
        <v>119</v>
      </c>
      <c r="N66" s="6"/>
    </row>
    <row r="67" spans="1:20" ht="4.5" customHeight="1" x14ac:dyDescent="0.4">
      <c r="A67" s="42"/>
      <c r="B67" s="12"/>
      <c r="C67" s="43"/>
      <c r="D67" s="44"/>
      <c r="E67" s="44"/>
      <c r="F67" s="44"/>
      <c r="G67" s="44"/>
      <c r="H67" s="44"/>
      <c r="I67" s="44"/>
      <c r="J67" s="44"/>
      <c r="K67" s="45"/>
      <c r="L67" s="43"/>
      <c r="M67" s="43"/>
      <c r="N67" s="24"/>
    </row>
    <row r="68" spans="1:20" ht="5.25" customHeight="1" x14ac:dyDescent="0.4">
      <c r="B68" s="13"/>
      <c r="C68" s="14"/>
      <c r="D68" s="14"/>
      <c r="E68" s="14"/>
      <c r="F68" s="14"/>
      <c r="G68" s="14"/>
      <c r="H68" s="14"/>
      <c r="I68" s="14"/>
      <c r="J68" s="14"/>
      <c r="K68" s="14"/>
      <c r="L68" s="14"/>
      <c r="M68" s="14"/>
    </row>
    <row r="69" spans="1:20" x14ac:dyDescent="0.4">
      <c r="M69" s="3"/>
      <c r="N69" s="3"/>
      <c r="O69" s="3"/>
      <c r="P69" s="3"/>
      <c r="Q69" s="3"/>
      <c r="R69" s="3"/>
      <c r="S69" s="3"/>
      <c r="T69" s="3"/>
    </row>
  </sheetData>
  <sheetProtection password="DAA7" sheet="1" objects="1" scenarios="1" formatRows="0" selectLockedCells="1"/>
  <customSheetViews>
    <customSheetView guid="{79A97261-3DC7-4D19-A3DF-02993B73D3BA}" fitToPage="1" showRuler="0" topLeftCell="A28">
      <selection activeCell="A36" sqref="A36:IV36"/>
      <pageMargins left="0.51181102362204722" right="0.51181102362204722" top="0.39370078740157483" bottom="0.39370078740157483" header="0.39370078740157483" footer="0.39370078740157483"/>
      <printOptions horizontalCentered="1" verticalCentered="1"/>
      <pageSetup paperSize="8" orientation="portrait" r:id="rId1"/>
      <headerFooter alignWithMargins="0"/>
    </customSheetView>
  </customSheetViews>
  <mergeCells count="3">
    <mergeCell ref="D5:H5"/>
    <mergeCell ref="D6:I6"/>
    <mergeCell ref="D8:L8"/>
  </mergeCells>
  <phoneticPr fontId="0" type="noConversion"/>
  <printOptions horizontalCentered="1" verticalCentered="1"/>
  <pageMargins left="0.51181102362204722" right="0.51181102362204722" top="0.39370078740157483" bottom="0.39370078740157483" header="0.39370078740157483" footer="0.39370078740157483"/>
  <pageSetup paperSize="8" scale="68"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90"/>
  <sheetViews>
    <sheetView workbookViewId="0">
      <selection activeCell="A7" sqref="A7"/>
    </sheetView>
  </sheetViews>
  <sheetFormatPr defaultRowHeight="12.7" x14ac:dyDescent="0.4"/>
  <cols>
    <col min="1" max="1" width="93.1171875" customWidth="1"/>
  </cols>
  <sheetData>
    <row r="1" spans="1:1" ht="18" customHeight="1" x14ac:dyDescent="0.4">
      <c r="A1" s="207" t="s">
        <v>239</v>
      </c>
    </row>
    <row r="2" spans="1:1" ht="19.5" customHeight="1" x14ac:dyDescent="0.4">
      <c r="A2" s="231" t="s">
        <v>308</v>
      </c>
    </row>
    <row r="3" spans="1:1" ht="18" customHeight="1" x14ac:dyDescent="0.4">
      <c r="A3" s="207" t="s">
        <v>309</v>
      </c>
    </row>
    <row r="4" spans="1:1" ht="32.1" customHeight="1" x14ac:dyDescent="0.4">
      <c r="A4" s="208" t="s">
        <v>310</v>
      </c>
    </row>
    <row r="5" spans="1:1" ht="6" customHeight="1" x14ac:dyDescent="0.4">
      <c r="A5" s="209"/>
    </row>
    <row r="6" spans="1:1" ht="22.5" customHeight="1" x14ac:dyDescent="0.4">
      <c r="A6" s="210" t="s">
        <v>311</v>
      </c>
    </row>
    <row r="7" spans="1:1" ht="22.5" customHeight="1" x14ac:dyDescent="0.4">
      <c r="A7" s="210" t="s">
        <v>233</v>
      </c>
    </row>
    <row r="8" spans="1:1" ht="13.5" customHeight="1" x14ac:dyDescent="0.4">
      <c r="A8" s="210" t="s">
        <v>232</v>
      </c>
    </row>
    <row r="9" spans="1:1" ht="15" customHeight="1" x14ac:dyDescent="0.4">
      <c r="A9" s="210" t="s">
        <v>98</v>
      </c>
    </row>
    <row r="10" spans="1:1" ht="29.25" customHeight="1" x14ac:dyDescent="0.4">
      <c r="A10" s="211" t="s">
        <v>228</v>
      </c>
    </row>
    <row r="11" spans="1:1" ht="30.75" customHeight="1" x14ac:dyDescent="0.4">
      <c r="A11" s="212" t="s">
        <v>229</v>
      </c>
    </row>
    <row r="12" spans="1:1" ht="39.75" customHeight="1" x14ac:dyDescent="0.4">
      <c r="A12" s="213" t="s">
        <v>230</v>
      </c>
    </row>
    <row r="13" spans="1:1" ht="15" customHeight="1" x14ac:dyDescent="0.4">
      <c r="A13" s="211" t="s">
        <v>231</v>
      </c>
    </row>
    <row r="14" spans="1:1" ht="6.75" customHeight="1" x14ac:dyDescent="0.4">
      <c r="A14" s="214"/>
    </row>
    <row r="15" spans="1:1" ht="9" customHeight="1" x14ac:dyDescent="0.4">
      <c r="A15" s="215"/>
    </row>
    <row r="16" spans="1:1" ht="20.25" customHeight="1" x14ac:dyDescent="0.4">
      <c r="A16" s="216" t="s">
        <v>247</v>
      </c>
    </row>
    <row r="17" spans="1:1" ht="7.5" customHeight="1" x14ac:dyDescent="0.4">
      <c r="A17" s="215"/>
    </row>
    <row r="18" spans="1:1" ht="47.25" customHeight="1" x14ac:dyDescent="0.4">
      <c r="A18" s="217" t="s">
        <v>66</v>
      </c>
    </row>
    <row r="19" spans="1:1" ht="46.5" customHeight="1" x14ac:dyDescent="0.4">
      <c r="A19" s="217" t="s">
        <v>67</v>
      </c>
    </row>
    <row r="20" spans="1:1" ht="30.75" customHeight="1" x14ac:dyDescent="0.4">
      <c r="A20" s="217" t="s">
        <v>68</v>
      </c>
    </row>
    <row r="21" spans="1:1" ht="44.25" customHeight="1" x14ac:dyDescent="0.4">
      <c r="A21" s="217" t="s">
        <v>249</v>
      </c>
    </row>
    <row r="22" spans="1:1" ht="66" customHeight="1" x14ac:dyDescent="0.4">
      <c r="A22" s="224" t="s">
        <v>330</v>
      </c>
    </row>
    <row r="23" spans="1:1" ht="318" customHeight="1" x14ac:dyDescent="0.4">
      <c r="A23" s="224"/>
    </row>
    <row r="24" spans="1:1" ht="42.75" customHeight="1" x14ac:dyDescent="0.4">
      <c r="A24" s="218" t="s">
        <v>255</v>
      </c>
    </row>
    <row r="25" spans="1:1" ht="49.5" customHeight="1" x14ac:dyDescent="0.4">
      <c r="A25" s="219" t="s">
        <v>69</v>
      </c>
    </row>
    <row r="26" spans="1:1" ht="39.35" customHeight="1" x14ac:dyDescent="0.4">
      <c r="A26" s="228" t="s">
        <v>313</v>
      </c>
    </row>
    <row r="27" spans="1:1" ht="36.35" customHeight="1" x14ac:dyDescent="0.4">
      <c r="A27" s="219" t="s">
        <v>243</v>
      </c>
    </row>
    <row r="28" spans="1:1" ht="33.75" customHeight="1" x14ac:dyDescent="0.4">
      <c r="A28" s="228" t="s">
        <v>312</v>
      </c>
    </row>
    <row r="29" spans="1:1" ht="45" customHeight="1" x14ac:dyDescent="0.4">
      <c r="A29" s="229" t="s">
        <v>314</v>
      </c>
    </row>
    <row r="30" spans="1:1" ht="46.2" customHeight="1" x14ac:dyDescent="0.4">
      <c r="A30" s="229" t="s">
        <v>315</v>
      </c>
    </row>
    <row r="31" spans="1:1" ht="47.45" customHeight="1" x14ac:dyDescent="0.4">
      <c r="A31" s="229" t="s">
        <v>316</v>
      </c>
    </row>
    <row r="32" spans="1:1" ht="7.85" customHeight="1" x14ac:dyDescent="0.4">
      <c r="A32" s="229"/>
    </row>
    <row r="33" spans="1:1" ht="5.25" customHeight="1" x14ac:dyDescent="0.4">
      <c r="A33" s="220"/>
    </row>
    <row r="34" spans="1:1" ht="5.25" customHeight="1" x14ac:dyDescent="0.4">
      <c r="A34" s="215"/>
    </row>
    <row r="35" spans="1:1" ht="20.25" customHeight="1" x14ac:dyDescent="0.4">
      <c r="A35" s="216" t="s">
        <v>93</v>
      </c>
    </row>
    <row r="36" spans="1:1" ht="28.5" customHeight="1" x14ac:dyDescent="0.4">
      <c r="A36" s="217" t="s">
        <v>217</v>
      </c>
    </row>
    <row r="37" spans="1:1" ht="49.5" customHeight="1" x14ac:dyDescent="0.4">
      <c r="A37" s="217" t="s">
        <v>216</v>
      </c>
    </row>
    <row r="38" spans="1:1" ht="45" customHeight="1" x14ac:dyDescent="0.4">
      <c r="A38" s="224" t="s">
        <v>317</v>
      </c>
    </row>
    <row r="39" spans="1:1" ht="30.75" customHeight="1" x14ac:dyDescent="0.4">
      <c r="A39" s="216" t="s">
        <v>256</v>
      </c>
    </row>
    <row r="40" spans="1:1" ht="22.5" customHeight="1" x14ac:dyDescent="0.4">
      <c r="A40" s="216" t="s">
        <v>87</v>
      </c>
    </row>
    <row r="41" spans="1:1" ht="18" customHeight="1" x14ac:dyDescent="0.4">
      <c r="A41" s="217" t="s">
        <v>94</v>
      </c>
    </row>
    <row r="42" spans="1:1" ht="31.5" customHeight="1" x14ac:dyDescent="0.4">
      <c r="A42" s="217" t="s">
        <v>90</v>
      </c>
    </row>
    <row r="43" spans="1:1" ht="31.5" customHeight="1" x14ac:dyDescent="0.4">
      <c r="A43" s="217" t="s">
        <v>85</v>
      </c>
    </row>
    <row r="44" spans="1:1" ht="31.5" customHeight="1" x14ac:dyDescent="0.4">
      <c r="A44" s="217" t="s">
        <v>26</v>
      </c>
    </row>
    <row r="45" spans="1:1" ht="45.6" customHeight="1" x14ac:dyDescent="0.4">
      <c r="A45" s="217" t="s">
        <v>27</v>
      </c>
    </row>
    <row r="46" spans="1:1" ht="48.6" customHeight="1" x14ac:dyDescent="0.4">
      <c r="A46" s="221" t="s">
        <v>331</v>
      </c>
    </row>
    <row r="47" spans="1:1" ht="24" customHeight="1" x14ac:dyDescent="0.4">
      <c r="A47" s="216" t="s">
        <v>49</v>
      </c>
    </row>
    <row r="48" spans="1:1" ht="34.200000000000003" customHeight="1" x14ac:dyDescent="0.4">
      <c r="A48" s="217" t="s">
        <v>51</v>
      </c>
    </row>
    <row r="49" spans="1:1" ht="39.6" customHeight="1" x14ac:dyDescent="0.4">
      <c r="A49" s="217" t="s">
        <v>332</v>
      </c>
    </row>
    <row r="50" spans="1:1" ht="30" customHeight="1" x14ac:dyDescent="0.4">
      <c r="A50" s="217" t="s">
        <v>50</v>
      </c>
    </row>
    <row r="51" spans="1:1" ht="47.45" customHeight="1" x14ac:dyDescent="0.4">
      <c r="A51" s="222" t="s">
        <v>52</v>
      </c>
    </row>
    <row r="52" spans="1:1" ht="7.5" customHeight="1" x14ac:dyDescent="0.4">
      <c r="A52" s="217"/>
    </row>
    <row r="53" spans="1:1" ht="19.5" customHeight="1" x14ac:dyDescent="0.4">
      <c r="A53" s="216" t="s">
        <v>282</v>
      </c>
    </row>
    <row r="54" spans="1:1" ht="38.25" customHeight="1" x14ac:dyDescent="0.4">
      <c r="A54" s="218" t="s">
        <v>86</v>
      </c>
    </row>
    <row r="55" spans="1:1" ht="37.85" customHeight="1" x14ac:dyDescent="0.4">
      <c r="A55" s="217" t="s">
        <v>276</v>
      </c>
    </row>
    <row r="56" spans="1:1" ht="33" customHeight="1" x14ac:dyDescent="0.4">
      <c r="A56" s="224" t="s">
        <v>318</v>
      </c>
    </row>
    <row r="57" spans="1:1" ht="33" customHeight="1" x14ac:dyDescent="0.4">
      <c r="A57" s="224" t="s">
        <v>272</v>
      </c>
    </row>
    <row r="58" spans="1:1" ht="34.200000000000003" customHeight="1" x14ac:dyDescent="0.4">
      <c r="A58" s="224" t="s">
        <v>273</v>
      </c>
    </row>
    <row r="59" spans="1:1" ht="49.2" customHeight="1" x14ac:dyDescent="0.4">
      <c r="A59" s="224" t="s">
        <v>293</v>
      </c>
    </row>
    <row r="60" spans="1:1" ht="19.2" customHeight="1" x14ac:dyDescent="0.4">
      <c r="A60" s="224" t="s">
        <v>327</v>
      </c>
    </row>
    <row r="61" spans="1:1" ht="33.6" customHeight="1" x14ac:dyDescent="0.4">
      <c r="A61" s="224" t="s">
        <v>328</v>
      </c>
    </row>
    <row r="62" spans="1:1" ht="37.85" customHeight="1" x14ac:dyDescent="0.4">
      <c r="A62" s="224" t="s">
        <v>333</v>
      </c>
    </row>
    <row r="63" spans="1:1" ht="46.2" customHeight="1" x14ac:dyDescent="0.4">
      <c r="A63" s="224" t="s">
        <v>334</v>
      </c>
    </row>
    <row r="64" spans="1:1" ht="39" customHeight="1" x14ac:dyDescent="0.4">
      <c r="A64" s="224" t="s">
        <v>335</v>
      </c>
    </row>
    <row r="65" spans="1:1" ht="31.2" customHeight="1" x14ac:dyDescent="0.4">
      <c r="A65" s="224" t="s">
        <v>336</v>
      </c>
    </row>
    <row r="66" spans="1:1" ht="32.450000000000003" customHeight="1" x14ac:dyDescent="0.4">
      <c r="A66" s="224" t="s">
        <v>325</v>
      </c>
    </row>
    <row r="67" spans="1:1" ht="46.85" customHeight="1" x14ac:dyDescent="0.4">
      <c r="A67" s="224" t="s">
        <v>324</v>
      </c>
    </row>
    <row r="68" spans="1:1" ht="49.2" customHeight="1" x14ac:dyDescent="0.4">
      <c r="A68" s="224" t="s">
        <v>337</v>
      </c>
    </row>
    <row r="69" spans="1:1" ht="49.2" customHeight="1" x14ac:dyDescent="0.4">
      <c r="A69" s="224" t="s">
        <v>323</v>
      </c>
    </row>
    <row r="70" spans="1:1" ht="49.2" customHeight="1" x14ac:dyDescent="0.4">
      <c r="A70" s="217" t="s">
        <v>322</v>
      </c>
    </row>
    <row r="71" spans="1:1" ht="16.2" customHeight="1" x14ac:dyDescent="0.4">
      <c r="A71" s="227" t="s">
        <v>274</v>
      </c>
    </row>
    <row r="72" spans="1:1" ht="19.2" customHeight="1" x14ac:dyDescent="0.4">
      <c r="A72" s="224" t="s">
        <v>294</v>
      </c>
    </row>
    <row r="73" spans="1:1" ht="30.6" customHeight="1" x14ac:dyDescent="0.4">
      <c r="A73" s="224" t="s">
        <v>280</v>
      </c>
    </row>
    <row r="74" spans="1:1" ht="19.850000000000001" customHeight="1" x14ac:dyDescent="0.4">
      <c r="A74" s="224" t="s">
        <v>283</v>
      </c>
    </row>
    <row r="75" spans="1:1" ht="31.2" customHeight="1" x14ac:dyDescent="0.4">
      <c r="A75" s="224" t="s">
        <v>320</v>
      </c>
    </row>
    <row r="76" spans="1:1" ht="19.850000000000001" customHeight="1" x14ac:dyDescent="0.4">
      <c r="A76" s="224" t="s">
        <v>329</v>
      </c>
    </row>
    <row r="77" spans="1:1" ht="19.2" customHeight="1" x14ac:dyDescent="0.4">
      <c r="A77" s="227" t="s">
        <v>319</v>
      </c>
    </row>
    <row r="78" spans="1:1" ht="19.2" customHeight="1" x14ac:dyDescent="0.4">
      <c r="A78" s="224" t="s">
        <v>278</v>
      </c>
    </row>
    <row r="79" spans="1:1" ht="43.2" customHeight="1" x14ac:dyDescent="0.4">
      <c r="A79" s="224" t="s">
        <v>279</v>
      </c>
    </row>
    <row r="80" spans="1:1" ht="31.85" customHeight="1" x14ac:dyDescent="0.4">
      <c r="A80" s="224" t="s">
        <v>275</v>
      </c>
    </row>
    <row r="81" spans="1:1" ht="34.200000000000003" customHeight="1" x14ac:dyDescent="0.4">
      <c r="A81" s="224" t="s">
        <v>277</v>
      </c>
    </row>
    <row r="82" spans="1:1" ht="34.200000000000003" customHeight="1" x14ac:dyDescent="0.4">
      <c r="A82" s="224" t="s">
        <v>281</v>
      </c>
    </row>
    <row r="83" spans="1:1" ht="18" customHeight="1" x14ac:dyDescent="0.4">
      <c r="A83" s="227" t="s">
        <v>326</v>
      </c>
    </row>
    <row r="84" spans="1:1" ht="33" customHeight="1" x14ac:dyDescent="0.4">
      <c r="A84" s="217" t="s">
        <v>63</v>
      </c>
    </row>
    <row r="85" spans="1:1" ht="21" customHeight="1" x14ac:dyDescent="0.4">
      <c r="A85" s="217" t="s">
        <v>64</v>
      </c>
    </row>
    <row r="86" spans="1:1" ht="45.75" customHeight="1" x14ac:dyDescent="0.4">
      <c r="A86" s="217" t="s">
        <v>298</v>
      </c>
    </row>
    <row r="87" spans="1:1" ht="31.85" customHeight="1" x14ac:dyDescent="0.4">
      <c r="A87" s="217" t="s">
        <v>339</v>
      </c>
    </row>
    <row r="88" spans="1:1" ht="42.6" customHeight="1" x14ac:dyDescent="0.4">
      <c r="A88" s="217" t="s">
        <v>338</v>
      </c>
    </row>
    <row r="89" spans="1:1" ht="48.6" customHeight="1" x14ac:dyDescent="0.4">
      <c r="A89" s="217" t="s">
        <v>321</v>
      </c>
    </row>
    <row r="90" spans="1:1" ht="34.200000000000003" customHeight="1" x14ac:dyDescent="0.4">
      <c r="A90" s="217" t="s">
        <v>340</v>
      </c>
    </row>
    <row r="91" spans="1:1" ht="43.2" customHeight="1" x14ac:dyDescent="0.4">
      <c r="A91" s="217" t="s">
        <v>341</v>
      </c>
    </row>
    <row r="92" spans="1:1" ht="43.2" customHeight="1" x14ac:dyDescent="0.4">
      <c r="A92" s="222" t="s">
        <v>257</v>
      </c>
    </row>
    <row r="93" spans="1:1" ht="41.25" customHeight="1" x14ac:dyDescent="0.4">
      <c r="A93" s="222" t="s">
        <v>258</v>
      </c>
    </row>
    <row r="94" spans="1:1" ht="23.25" customHeight="1" x14ac:dyDescent="0.4">
      <c r="A94" s="216" t="s">
        <v>88</v>
      </c>
    </row>
    <row r="95" spans="1:1" ht="27.75" customHeight="1" x14ac:dyDescent="0.4">
      <c r="A95" s="221" t="s">
        <v>89</v>
      </c>
    </row>
    <row r="96" spans="1:1" ht="15.75" customHeight="1" x14ac:dyDescent="0.4">
      <c r="A96" s="221" t="s">
        <v>91</v>
      </c>
    </row>
    <row r="97" spans="1:1" ht="18.75" customHeight="1" x14ac:dyDescent="0.4">
      <c r="A97" s="221" t="s">
        <v>5</v>
      </c>
    </row>
    <row r="98" spans="1:1" ht="42.75" customHeight="1" x14ac:dyDescent="0.4">
      <c r="A98" s="221" t="s">
        <v>92</v>
      </c>
    </row>
    <row r="99" spans="1:1" ht="42" customHeight="1" x14ac:dyDescent="0.4">
      <c r="A99" s="221" t="s">
        <v>242</v>
      </c>
    </row>
    <row r="100" spans="1:1" ht="19.5" customHeight="1" x14ac:dyDescent="0.4">
      <c r="A100" s="221" t="s">
        <v>53</v>
      </c>
    </row>
    <row r="101" spans="1:1" ht="26.25" customHeight="1" x14ac:dyDescent="0.4">
      <c r="A101" s="221" t="s">
        <v>54</v>
      </c>
    </row>
    <row r="102" spans="1:1" ht="30.75" customHeight="1" x14ac:dyDescent="0.4">
      <c r="A102" s="221" t="s">
        <v>59</v>
      </c>
    </row>
    <row r="103" spans="1:1" ht="29.25" customHeight="1" x14ac:dyDescent="0.4">
      <c r="A103" s="221" t="s">
        <v>39</v>
      </c>
    </row>
    <row r="104" spans="1:1" ht="29.25" customHeight="1" x14ac:dyDescent="0.4">
      <c r="A104" s="221" t="s">
        <v>40</v>
      </c>
    </row>
    <row r="105" spans="1:1" ht="36" customHeight="1" x14ac:dyDescent="0.4">
      <c r="A105" s="221" t="s">
        <v>43</v>
      </c>
    </row>
    <row r="106" spans="1:1" ht="29.25" customHeight="1" x14ac:dyDescent="0.4">
      <c r="A106" s="216" t="s">
        <v>6</v>
      </c>
    </row>
    <row r="107" spans="1:1" ht="39.75" customHeight="1" x14ac:dyDescent="0.4">
      <c r="A107" s="221" t="s">
        <v>7</v>
      </c>
    </row>
    <row r="108" spans="1:1" ht="29.25" customHeight="1" x14ac:dyDescent="0.4">
      <c r="A108" s="221" t="s">
        <v>8</v>
      </c>
    </row>
    <row r="109" spans="1:1" ht="42.75" customHeight="1" x14ac:dyDescent="0.4">
      <c r="A109" s="221" t="s">
        <v>9</v>
      </c>
    </row>
    <row r="110" spans="1:1" ht="20.25" customHeight="1" x14ac:dyDescent="0.4">
      <c r="A110" s="216" t="s">
        <v>48</v>
      </c>
    </row>
    <row r="111" spans="1:1" ht="28.5" customHeight="1" x14ac:dyDescent="0.4">
      <c r="A111" s="221" t="s">
        <v>44</v>
      </c>
    </row>
    <row r="112" spans="1:1" ht="30" customHeight="1" x14ac:dyDescent="0.4">
      <c r="A112" s="221" t="s">
        <v>56</v>
      </c>
    </row>
    <row r="113" spans="1:1" ht="42.75" customHeight="1" x14ac:dyDescent="0.4">
      <c r="A113" s="221" t="s">
        <v>45</v>
      </c>
    </row>
    <row r="114" spans="1:1" ht="29.25" customHeight="1" x14ac:dyDescent="0.4">
      <c r="A114" s="221" t="s">
        <v>55</v>
      </c>
    </row>
    <row r="115" spans="1:1" ht="29.25" customHeight="1" x14ac:dyDescent="0.4">
      <c r="A115" s="221" t="s">
        <v>57</v>
      </c>
    </row>
    <row r="116" spans="1:1" ht="27.75" customHeight="1" x14ac:dyDescent="0.4">
      <c r="A116" s="221" t="s">
        <v>58</v>
      </c>
    </row>
    <row r="117" spans="1:1" ht="13.5" customHeight="1" x14ac:dyDescent="0.4">
      <c r="A117" s="222" t="s">
        <v>46</v>
      </c>
    </row>
    <row r="118" spans="1:1" ht="45" customHeight="1" x14ac:dyDescent="0.4">
      <c r="A118" s="222" t="s">
        <v>47</v>
      </c>
    </row>
    <row r="119" spans="1:1" ht="21" customHeight="1" x14ac:dyDescent="0.4">
      <c r="A119" s="216" t="s">
        <v>24</v>
      </c>
    </row>
    <row r="120" spans="1:1" ht="31.5" customHeight="1" x14ac:dyDescent="0.4">
      <c r="A120" s="221" t="s">
        <v>28</v>
      </c>
    </row>
    <row r="121" spans="1:1" ht="28.5" customHeight="1" x14ac:dyDescent="0.4">
      <c r="A121" s="221" t="s">
        <v>29</v>
      </c>
    </row>
    <row r="122" spans="1:1" ht="40.5" customHeight="1" x14ac:dyDescent="0.4">
      <c r="A122" s="221" t="s">
        <v>33</v>
      </c>
    </row>
    <row r="123" spans="1:1" ht="26.25" customHeight="1" x14ac:dyDescent="0.4">
      <c r="A123" s="221" t="s">
        <v>34</v>
      </c>
    </row>
    <row r="124" spans="1:1" ht="45" customHeight="1" x14ac:dyDescent="0.4">
      <c r="A124" s="221" t="s">
        <v>218</v>
      </c>
    </row>
    <row r="125" spans="1:1" ht="30" customHeight="1" x14ac:dyDescent="0.4">
      <c r="A125" s="221" t="s">
        <v>219</v>
      </c>
    </row>
    <row r="126" spans="1:1" ht="42" customHeight="1" x14ac:dyDescent="0.4">
      <c r="A126" s="221" t="s">
        <v>220</v>
      </c>
    </row>
    <row r="127" spans="1:1" ht="43.5" customHeight="1" x14ac:dyDescent="0.4">
      <c r="A127" s="221" t="s">
        <v>221</v>
      </c>
    </row>
    <row r="128" spans="1:1" ht="45" customHeight="1" x14ac:dyDescent="0.4">
      <c r="A128" s="221" t="s">
        <v>222</v>
      </c>
    </row>
    <row r="129" spans="1:1" ht="27" customHeight="1" x14ac:dyDescent="0.4">
      <c r="A129" s="221" t="s">
        <v>223</v>
      </c>
    </row>
    <row r="130" spans="1:1" ht="21.75" customHeight="1" x14ac:dyDescent="0.4">
      <c r="A130" s="216" t="s">
        <v>83</v>
      </c>
    </row>
    <row r="131" spans="1:1" ht="30" customHeight="1" x14ac:dyDescent="0.4">
      <c r="A131" s="217" t="s">
        <v>35</v>
      </c>
    </row>
    <row r="132" spans="1:1" ht="42.75" customHeight="1" x14ac:dyDescent="0.4">
      <c r="A132" s="217" t="s">
        <v>62</v>
      </c>
    </row>
    <row r="133" spans="1:1" ht="18" customHeight="1" x14ac:dyDescent="0.4">
      <c r="A133" s="217" t="s">
        <v>60</v>
      </c>
    </row>
    <row r="134" spans="1:1" ht="29.25" customHeight="1" x14ac:dyDescent="0.4">
      <c r="A134" s="217" t="s">
        <v>61</v>
      </c>
    </row>
    <row r="135" spans="1:1" ht="29.25" customHeight="1" x14ac:dyDescent="0.4">
      <c r="A135" s="222" t="s">
        <v>95</v>
      </c>
    </row>
    <row r="136" spans="1:1" ht="43.5" customHeight="1" x14ac:dyDescent="0.4">
      <c r="A136" s="217" t="s">
        <v>36</v>
      </c>
    </row>
    <row r="137" spans="1:1" ht="21.75" customHeight="1" x14ac:dyDescent="0.4">
      <c r="A137" s="216" t="s">
        <v>25</v>
      </c>
    </row>
    <row r="138" spans="1:1" ht="30" customHeight="1" x14ac:dyDescent="0.4">
      <c r="A138" s="217" t="s">
        <v>37</v>
      </c>
    </row>
    <row r="139" spans="1:1" ht="31.5" customHeight="1" x14ac:dyDescent="0.4">
      <c r="A139" s="217" t="s">
        <v>38</v>
      </c>
    </row>
    <row r="140" spans="1:1" ht="40.5" customHeight="1" x14ac:dyDescent="0.4">
      <c r="A140" s="217" t="s">
        <v>30</v>
      </c>
    </row>
    <row r="141" spans="1:1" ht="28.5" customHeight="1" x14ac:dyDescent="0.4">
      <c r="A141" s="217" t="s">
        <v>31</v>
      </c>
    </row>
    <row r="142" spans="1:1" ht="42.75" customHeight="1" x14ac:dyDescent="0.4">
      <c r="A142" s="217" t="s">
        <v>19</v>
      </c>
    </row>
    <row r="143" spans="1:1" ht="28.5" customHeight="1" x14ac:dyDescent="0.4">
      <c r="A143" s="217" t="s">
        <v>20</v>
      </c>
    </row>
    <row r="144" spans="1:1" ht="30" customHeight="1" x14ac:dyDescent="0.4">
      <c r="A144" s="217" t="s">
        <v>32</v>
      </c>
    </row>
    <row r="145" spans="1:1" ht="42" customHeight="1" x14ac:dyDescent="0.4">
      <c r="A145" s="217" t="s">
        <v>18</v>
      </c>
    </row>
    <row r="146" spans="1:1" ht="30" customHeight="1" x14ac:dyDescent="0.4">
      <c r="A146" s="217" t="s">
        <v>41</v>
      </c>
    </row>
    <row r="147" spans="1:1" ht="28.5" customHeight="1" x14ac:dyDescent="0.4">
      <c r="A147" s="222" t="s">
        <v>42</v>
      </c>
    </row>
    <row r="148" spans="1:1" ht="31.85" customHeight="1" x14ac:dyDescent="0.4">
      <c r="A148" s="216" t="s">
        <v>21</v>
      </c>
    </row>
    <row r="149" spans="1:1" ht="33" customHeight="1" x14ac:dyDescent="0.4">
      <c r="A149" s="217" t="s">
        <v>22</v>
      </c>
    </row>
    <row r="150" spans="1:1" ht="41.25" customHeight="1" x14ac:dyDescent="0.4">
      <c r="A150" s="224" t="s">
        <v>304</v>
      </c>
    </row>
    <row r="151" spans="1:1" ht="42" customHeight="1" x14ac:dyDescent="0.4">
      <c r="A151" s="217" t="s">
        <v>23</v>
      </c>
    </row>
    <row r="152" spans="1:1" ht="42" customHeight="1" x14ac:dyDescent="0.4">
      <c r="A152" s="217" t="s">
        <v>225</v>
      </c>
    </row>
    <row r="153" spans="1:1" ht="29.25" customHeight="1" x14ac:dyDescent="0.4">
      <c r="A153" s="222" t="s">
        <v>226</v>
      </c>
    </row>
    <row r="154" spans="1:1" ht="33.6" customHeight="1" x14ac:dyDescent="0.4">
      <c r="A154" s="223" t="s">
        <v>259</v>
      </c>
    </row>
    <row r="155" spans="1:1" ht="21.75" customHeight="1" x14ac:dyDescent="0.4">
      <c r="A155" s="216" t="s">
        <v>244</v>
      </c>
    </row>
    <row r="156" spans="1:1" ht="48" customHeight="1" x14ac:dyDescent="0.4">
      <c r="A156" s="217" t="s">
        <v>82</v>
      </c>
    </row>
    <row r="157" spans="1:1" ht="19.5" customHeight="1" x14ac:dyDescent="0.4">
      <c r="A157" s="217" t="s">
        <v>74</v>
      </c>
    </row>
    <row r="158" spans="1:1" ht="47.25" customHeight="1" x14ac:dyDescent="0.4">
      <c r="A158" s="217" t="s">
        <v>73</v>
      </c>
    </row>
    <row r="159" spans="1:1" ht="37.5" customHeight="1" x14ac:dyDescent="0.4">
      <c r="A159" s="217" t="s">
        <v>75</v>
      </c>
    </row>
    <row r="160" spans="1:1" ht="51.75" customHeight="1" x14ac:dyDescent="0.4">
      <c r="A160" s="217" t="s">
        <v>72</v>
      </c>
    </row>
    <row r="161" spans="1:1" ht="35.25" customHeight="1" x14ac:dyDescent="0.4">
      <c r="A161" s="217" t="s">
        <v>81</v>
      </c>
    </row>
    <row r="162" spans="1:1" ht="37.5" customHeight="1" x14ac:dyDescent="0.4">
      <c r="A162" s="217" t="s">
        <v>80</v>
      </c>
    </row>
    <row r="163" spans="1:1" ht="48" customHeight="1" x14ac:dyDescent="0.4">
      <c r="A163" s="217" t="s">
        <v>245</v>
      </c>
    </row>
    <row r="164" spans="1:1" ht="49.5" customHeight="1" x14ac:dyDescent="0.4">
      <c r="A164" s="224" t="s">
        <v>267</v>
      </c>
    </row>
    <row r="165" spans="1:1" ht="34.5" customHeight="1" x14ac:dyDescent="0.4">
      <c r="A165" s="217" t="s">
        <v>76</v>
      </c>
    </row>
    <row r="166" spans="1:1" ht="36" customHeight="1" x14ac:dyDescent="0.4">
      <c r="A166" s="217" t="s">
        <v>71</v>
      </c>
    </row>
    <row r="167" spans="1:1" ht="14.45" customHeight="1" x14ac:dyDescent="0.4">
      <c r="A167" s="222"/>
    </row>
    <row r="168" spans="1:1" ht="14.45" customHeight="1" x14ac:dyDescent="0.4">
      <c r="A168" s="216" t="s">
        <v>77</v>
      </c>
    </row>
    <row r="169" spans="1:1" ht="49.5" customHeight="1" x14ac:dyDescent="0.4">
      <c r="A169" s="221" t="s">
        <v>70</v>
      </c>
    </row>
    <row r="170" spans="1:1" ht="54.75" customHeight="1" x14ac:dyDescent="0.4">
      <c r="A170" s="221" t="s">
        <v>78</v>
      </c>
    </row>
    <row r="171" spans="1:1" ht="56.25" customHeight="1" x14ac:dyDescent="0.4">
      <c r="A171" s="221" t="s">
        <v>79</v>
      </c>
    </row>
    <row r="172" spans="1:1" ht="54.75" customHeight="1" x14ac:dyDescent="0.4">
      <c r="A172" s="217" t="s">
        <v>227</v>
      </c>
    </row>
    <row r="173" spans="1:1" ht="31.5" customHeight="1" x14ac:dyDescent="0.4">
      <c r="A173" s="217" t="s">
        <v>215</v>
      </c>
    </row>
    <row r="174" spans="1:1" ht="24" customHeight="1" x14ac:dyDescent="0.4">
      <c r="A174" s="216" t="s">
        <v>295</v>
      </c>
    </row>
    <row r="175" spans="1:1" ht="46.1" customHeight="1" x14ac:dyDescent="0.4">
      <c r="A175" s="224" t="s">
        <v>300</v>
      </c>
    </row>
    <row r="176" spans="1:1" ht="40.200000000000003" customHeight="1" x14ac:dyDescent="0.4">
      <c r="A176" s="224" t="s">
        <v>305</v>
      </c>
    </row>
    <row r="177" spans="1:1" ht="49.5" customHeight="1" x14ac:dyDescent="0.4">
      <c r="A177" s="217" t="s">
        <v>213</v>
      </c>
    </row>
    <row r="178" spans="1:1" ht="36.6" customHeight="1" x14ac:dyDescent="0.4">
      <c r="A178" s="217" t="s">
        <v>214</v>
      </c>
    </row>
    <row r="179" spans="1:1" ht="30.75" customHeight="1" x14ac:dyDescent="0.4">
      <c r="A179" s="217" t="s">
        <v>211</v>
      </c>
    </row>
    <row r="180" spans="1:1" ht="45" customHeight="1" x14ac:dyDescent="0.4">
      <c r="A180" s="224" t="s">
        <v>268</v>
      </c>
    </row>
    <row r="181" spans="1:1" ht="32.450000000000003" customHeight="1" x14ac:dyDescent="0.4">
      <c r="A181" s="217" t="s">
        <v>212</v>
      </c>
    </row>
    <row r="182" spans="1:1" ht="35.450000000000003" customHeight="1" x14ac:dyDescent="0.4">
      <c r="A182" s="217" t="s">
        <v>296</v>
      </c>
    </row>
    <row r="183" spans="1:1" ht="36" customHeight="1" x14ac:dyDescent="0.4">
      <c r="A183" s="217" t="s">
        <v>297</v>
      </c>
    </row>
    <row r="184" spans="1:1" ht="46.2" customHeight="1" x14ac:dyDescent="0.4">
      <c r="A184" s="217" t="s">
        <v>224</v>
      </c>
    </row>
    <row r="185" spans="1:1" ht="8.25" customHeight="1" x14ac:dyDescent="0.4">
      <c r="A185" s="219"/>
    </row>
    <row r="186" spans="1:1" ht="5.25" customHeight="1" x14ac:dyDescent="0.4">
      <c r="A186" s="225"/>
    </row>
    <row r="187" spans="1:1" ht="24" customHeight="1" x14ac:dyDescent="0.4">
      <c r="A187" s="216" t="s">
        <v>13</v>
      </c>
    </row>
    <row r="188" spans="1:1" ht="18" customHeight="1" x14ac:dyDescent="0.4">
      <c r="A188" s="226" t="s">
        <v>99</v>
      </c>
    </row>
    <row r="189" spans="1:1" ht="47.25" customHeight="1" x14ac:dyDescent="0.4">
      <c r="A189" s="217" t="s">
        <v>250</v>
      </c>
    </row>
    <row r="190" spans="1:1" ht="31.5" customHeight="1" x14ac:dyDescent="0.4">
      <c r="A190" s="224" t="s">
        <v>306</v>
      </c>
    </row>
    <row r="191" spans="1:1" ht="46.5" customHeight="1" x14ac:dyDescent="0.4">
      <c r="A191" s="224" t="s">
        <v>292</v>
      </c>
    </row>
    <row r="192" spans="1:1" ht="33.75" customHeight="1" x14ac:dyDescent="0.4">
      <c r="A192" s="217" t="s">
        <v>299</v>
      </c>
    </row>
    <row r="193" spans="1:1" ht="33.6" customHeight="1" x14ac:dyDescent="0.4">
      <c r="A193" s="217" t="s">
        <v>0</v>
      </c>
    </row>
    <row r="194" spans="1:1" ht="33.75" customHeight="1" x14ac:dyDescent="0.4">
      <c r="A194" s="221" t="s">
        <v>251</v>
      </c>
    </row>
    <row r="195" spans="1:1" ht="17.25" customHeight="1" x14ac:dyDescent="0.4">
      <c r="A195" s="221" t="s">
        <v>16</v>
      </c>
    </row>
    <row r="196" spans="1:1" ht="17.25" customHeight="1" x14ac:dyDescent="0.4">
      <c r="A196" s="221" t="s">
        <v>1</v>
      </c>
    </row>
    <row r="197" spans="1:1" ht="52.5" customHeight="1" x14ac:dyDescent="0.4">
      <c r="A197" s="221" t="s">
        <v>17</v>
      </c>
    </row>
    <row r="198" spans="1:1" ht="49.5" customHeight="1" x14ac:dyDescent="0.4">
      <c r="A198" s="217" t="s">
        <v>12</v>
      </c>
    </row>
    <row r="199" spans="1:1" ht="28.5" customHeight="1" x14ac:dyDescent="0.4">
      <c r="A199" s="217" t="s">
        <v>14</v>
      </c>
    </row>
    <row r="200" spans="1:1" ht="42.75" customHeight="1" x14ac:dyDescent="0.4">
      <c r="A200" s="217" t="s">
        <v>246</v>
      </c>
    </row>
    <row r="201" spans="1:1" ht="43.5" customHeight="1" x14ac:dyDescent="0.4">
      <c r="A201" s="217" t="s">
        <v>15</v>
      </c>
    </row>
    <row r="202" spans="1:1" ht="7.5" customHeight="1" x14ac:dyDescent="0.4">
      <c r="A202" s="217"/>
    </row>
    <row r="203" spans="1:1" ht="21" customHeight="1" x14ac:dyDescent="0.4">
      <c r="A203" s="216" t="s">
        <v>269</v>
      </c>
    </row>
    <row r="204" spans="1:1" ht="43.85" customHeight="1" x14ac:dyDescent="0.4">
      <c r="A204" s="224" t="s">
        <v>307</v>
      </c>
    </row>
    <row r="205" spans="1:1" ht="48.6" customHeight="1" x14ac:dyDescent="0.4">
      <c r="A205" s="224" t="s">
        <v>301</v>
      </c>
    </row>
    <row r="206" spans="1:1" ht="45.6" customHeight="1" x14ac:dyDescent="0.4">
      <c r="A206" s="224" t="s">
        <v>284</v>
      </c>
    </row>
    <row r="207" spans="1:1" ht="45.6" customHeight="1" x14ac:dyDescent="0.4">
      <c r="A207" s="224" t="s">
        <v>302</v>
      </c>
    </row>
    <row r="208" spans="1:1" ht="45.6" customHeight="1" x14ac:dyDescent="0.4">
      <c r="A208" s="230" t="s">
        <v>303</v>
      </c>
    </row>
    <row r="209" spans="1:1" ht="43.85" customHeight="1" x14ac:dyDescent="0.4">
      <c r="A209" s="224" t="s">
        <v>288</v>
      </c>
    </row>
    <row r="210" spans="1:1" ht="44.45" customHeight="1" x14ac:dyDescent="0.4">
      <c r="A210" s="228" t="s">
        <v>287</v>
      </c>
    </row>
    <row r="211" spans="1:1" ht="31.2" customHeight="1" x14ac:dyDescent="0.4">
      <c r="A211" s="224" t="s">
        <v>285</v>
      </c>
    </row>
    <row r="212" spans="1:1" ht="21" customHeight="1" x14ac:dyDescent="0.4">
      <c r="A212" s="229" t="s">
        <v>286</v>
      </c>
    </row>
    <row r="213" spans="1:1" ht="43.2" customHeight="1" x14ac:dyDescent="0.4">
      <c r="A213" s="229" t="s">
        <v>290</v>
      </c>
    </row>
    <row r="214" spans="1:1" ht="37.200000000000003" customHeight="1" x14ac:dyDescent="0.4">
      <c r="A214" s="229" t="s">
        <v>289</v>
      </c>
    </row>
    <row r="215" spans="1:1" ht="57.6" customHeight="1" x14ac:dyDescent="0.4">
      <c r="A215" s="224" t="s">
        <v>291</v>
      </c>
    </row>
    <row r="216" spans="1:1" ht="21" customHeight="1" x14ac:dyDescent="0.4">
      <c r="A216" s="216" t="s">
        <v>270</v>
      </c>
    </row>
    <row r="217" spans="1:1" ht="11.25" customHeight="1" x14ac:dyDescent="0.4">
      <c r="A217" s="207"/>
    </row>
    <row r="218" spans="1:1" ht="18.75" customHeight="1" x14ac:dyDescent="0.4">
      <c r="A218" s="216" t="s">
        <v>193</v>
      </c>
    </row>
    <row r="219" spans="1:1" ht="37.5" customHeight="1" x14ac:dyDescent="0.4">
      <c r="A219" s="217" t="s">
        <v>188</v>
      </c>
    </row>
    <row r="220" spans="1:1" ht="42" customHeight="1" x14ac:dyDescent="0.4">
      <c r="A220" s="217" t="s">
        <v>191</v>
      </c>
    </row>
    <row r="221" spans="1:1" ht="32.25" customHeight="1" x14ac:dyDescent="0.4">
      <c r="A221" s="217" t="s">
        <v>190</v>
      </c>
    </row>
    <row r="222" spans="1:1" ht="36" customHeight="1" x14ac:dyDescent="0.4">
      <c r="A222" s="217" t="s">
        <v>185</v>
      </c>
    </row>
    <row r="223" spans="1:1" ht="45" customHeight="1" x14ac:dyDescent="0.4">
      <c r="A223" s="217" t="s">
        <v>192</v>
      </c>
    </row>
    <row r="224" spans="1:1" ht="20.25" customHeight="1" x14ac:dyDescent="0.4">
      <c r="A224" s="216" t="s">
        <v>194</v>
      </c>
    </row>
    <row r="225" spans="1:1" ht="45.75" customHeight="1" x14ac:dyDescent="0.4">
      <c r="A225" s="217" t="s">
        <v>2</v>
      </c>
    </row>
    <row r="226" spans="1:1" ht="47.25" customHeight="1" x14ac:dyDescent="0.4">
      <c r="A226" s="217" t="s">
        <v>204</v>
      </c>
    </row>
    <row r="227" spans="1:1" ht="33" customHeight="1" x14ac:dyDescent="0.4">
      <c r="A227" s="217" t="s">
        <v>203</v>
      </c>
    </row>
    <row r="228" spans="1:1" ht="42.75" customHeight="1" x14ac:dyDescent="0.4">
      <c r="A228" s="217" t="s">
        <v>202</v>
      </c>
    </row>
    <row r="229" spans="1:1" ht="27.75" customHeight="1" x14ac:dyDescent="0.4">
      <c r="A229" s="217" t="s">
        <v>205</v>
      </c>
    </row>
    <row r="230" spans="1:1" ht="33.75" customHeight="1" x14ac:dyDescent="0.4">
      <c r="A230" s="217" t="s">
        <v>195</v>
      </c>
    </row>
    <row r="231" spans="1:1" ht="9" customHeight="1" x14ac:dyDescent="0.4">
      <c r="A231" s="217"/>
    </row>
    <row r="232" spans="1:1" ht="18.75" customHeight="1" x14ac:dyDescent="0.4">
      <c r="A232" s="216" t="s">
        <v>150</v>
      </c>
    </row>
    <row r="233" spans="1:1" ht="32.25" customHeight="1" x14ac:dyDescent="0.4">
      <c r="A233" s="217" t="s">
        <v>196</v>
      </c>
    </row>
    <row r="234" spans="1:1" ht="35.25" customHeight="1" x14ac:dyDescent="0.4">
      <c r="A234" s="217" t="s">
        <v>197</v>
      </c>
    </row>
    <row r="235" spans="1:1" ht="35.25" customHeight="1" x14ac:dyDescent="0.4">
      <c r="A235" s="221" t="s">
        <v>177</v>
      </c>
    </row>
    <row r="236" spans="1:1" ht="33" customHeight="1" x14ac:dyDescent="0.4">
      <c r="A236" s="221" t="s">
        <v>198</v>
      </c>
    </row>
    <row r="237" spans="1:1" ht="35.25" customHeight="1" x14ac:dyDescent="0.4">
      <c r="A237" s="221" t="s">
        <v>199</v>
      </c>
    </row>
    <row r="238" spans="1:1" ht="41.25" customHeight="1" x14ac:dyDescent="0.4">
      <c r="A238" s="221" t="s">
        <v>200</v>
      </c>
    </row>
    <row r="239" spans="1:1" ht="36.75" customHeight="1" x14ac:dyDescent="0.4">
      <c r="A239" s="221" t="s">
        <v>178</v>
      </c>
    </row>
    <row r="240" spans="1:1" ht="47.25" customHeight="1" x14ac:dyDescent="0.4">
      <c r="A240" s="221" t="s">
        <v>174</v>
      </c>
    </row>
    <row r="241" spans="1:1" ht="33.75" customHeight="1" x14ac:dyDescent="0.4">
      <c r="A241" s="221" t="s">
        <v>176</v>
      </c>
    </row>
    <row r="242" spans="1:1" ht="21.75" customHeight="1" x14ac:dyDescent="0.4">
      <c r="A242" s="221" t="s">
        <v>179</v>
      </c>
    </row>
    <row r="243" spans="1:1" ht="48.75" customHeight="1" x14ac:dyDescent="0.4">
      <c r="A243" s="221" t="s">
        <v>201</v>
      </c>
    </row>
    <row r="244" spans="1:1" ht="36" customHeight="1" x14ac:dyDescent="0.4">
      <c r="A244" s="221" t="s">
        <v>180</v>
      </c>
    </row>
    <row r="245" spans="1:1" ht="35.25" customHeight="1" x14ac:dyDescent="0.4">
      <c r="A245" s="221" t="s">
        <v>186</v>
      </c>
    </row>
    <row r="246" spans="1:1" x14ac:dyDescent="0.4">
      <c r="A246" s="217"/>
    </row>
    <row r="247" spans="1:1" ht="18.75" customHeight="1" x14ac:dyDescent="0.4">
      <c r="A247" s="216" t="s">
        <v>151</v>
      </c>
    </row>
    <row r="248" spans="1:1" ht="31.5" customHeight="1" x14ac:dyDescent="0.4">
      <c r="A248" s="221" t="s">
        <v>253</v>
      </c>
    </row>
    <row r="249" spans="1:1" ht="33" customHeight="1" x14ac:dyDescent="0.4">
      <c r="A249" s="221" t="s">
        <v>189</v>
      </c>
    </row>
    <row r="250" spans="1:1" ht="43.5" customHeight="1" x14ac:dyDescent="0.4">
      <c r="A250" s="221" t="s">
        <v>254</v>
      </c>
    </row>
    <row r="251" spans="1:1" ht="29.25" customHeight="1" x14ac:dyDescent="0.4">
      <c r="A251" s="221" t="s">
        <v>187</v>
      </c>
    </row>
    <row r="252" spans="1:1" ht="44.25" customHeight="1" x14ac:dyDescent="0.4">
      <c r="A252" s="221" t="s">
        <v>10</v>
      </c>
    </row>
    <row r="253" spans="1:1" ht="31.5" customHeight="1" x14ac:dyDescent="0.4">
      <c r="A253" s="217" t="s">
        <v>11</v>
      </c>
    </row>
    <row r="254" spans="1:1" ht="11.25" customHeight="1" x14ac:dyDescent="0.4">
      <c r="A254" s="217"/>
    </row>
    <row r="255" spans="1:1" ht="15" customHeight="1" x14ac:dyDescent="0.4">
      <c r="A255" s="227" t="s">
        <v>252</v>
      </c>
    </row>
    <row r="256" spans="1:1" ht="27.75" customHeight="1" x14ac:dyDescent="0.4">
      <c r="A256" s="217" t="s">
        <v>96</v>
      </c>
    </row>
    <row r="257" spans="1:1" ht="44.45" customHeight="1" x14ac:dyDescent="0.4">
      <c r="A257" s="224" t="s">
        <v>271</v>
      </c>
    </row>
    <row r="258" spans="1:1" ht="36.75" customHeight="1" x14ac:dyDescent="0.4">
      <c r="A258" s="221" t="s">
        <v>97</v>
      </c>
    </row>
    <row r="259" spans="1:1" ht="38.25" customHeight="1" x14ac:dyDescent="0.4">
      <c r="A259" s="217" t="s">
        <v>240</v>
      </c>
    </row>
    <row r="260" spans="1:1" ht="30" customHeight="1" x14ac:dyDescent="0.4">
      <c r="A260" s="217" t="s">
        <v>241</v>
      </c>
    </row>
    <row r="261" spans="1:1" ht="36.75" customHeight="1" x14ac:dyDescent="0.4">
      <c r="A261" s="217" t="s">
        <v>3</v>
      </c>
    </row>
    <row r="262" spans="1:1" ht="46.5" customHeight="1" x14ac:dyDescent="0.4">
      <c r="A262" s="217" t="s">
        <v>206</v>
      </c>
    </row>
    <row r="263" spans="1:1" ht="47.25" customHeight="1" x14ac:dyDescent="0.4">
      <c r="A263" s="217" t="s">
        <v>4</v>
      </c>
    </row>
    <row r="264" spans="1:1" ht="9" customHeight="1" x14ac:dyDescent="0.4">
      <c r="A264" s="217"/>
    </row>
    <row r="265" spans="1:1" ht="19.5" customHeight="1" x14ac:dyDescent="0.4">
      <c r="A265" s="227" t="s">
        <v>207</v>
      </c>
    </row>
    <row r="266" spans="1:1" ht="18" customHeight="1" x14ac:dyDescent="0.4">
      <c r="A266" s="217" t="s">
        <v>208</v>
      </c>
    </row>
    <row r="267" spans="1:1" ht="36" customHeight="1" x14ac:dyDescent="0.4">
      <c r="A267" s="224" t="s">
        <v>260</v>
      </c>
    </row>
    <row r="268" spans="1:1" ht="33.75" customHeight="1" x14ac:dyDescent="0.4">
      <c r="A268" s="217" t="s">
        <v>209</v>
      </c>
    </row>
    <row r="269" spans="1:1" ht="33.75" customHeight="1" x14ac:dyDescent="0.4">
      <c r="A269" s="224" t="s">
        <v>261</v>
      </c>
    </row>
    <row r="270" spans="1:1" ht="27" customHeight="1" x14ac:dyDescent="0.4">
      <c r="A270" s="224" t="s">
        <v>262</v>
      </c>
    </row>
    <row r="271" spans="1:1" ht="49.2" customHeight="1" x14ac:dyDescent="0.4">
      <c r="A271" s="224" t="s">
        <v>263</v>
      </c>
    </row>
    <row r="272" spans="1:1" x14ac:dyDescent="0.4">
      <c r="A272" s="133"/>
    </row>
    <row r="273" spans="1:1" x14ac:dyDescent="0.4">
      <c r="A273" s="133"/>
    </row>
    <row r="274" spans="1:1" x14ac:dyDescent="0.4">
      <c r="A274" s="133"/>
    </row>
    <row r="275" spans="1:1" x14ac:dyDescent="0.4">
      <c r="A275" s="133"/>
    </row>
    <row r="276" spans="1:1" x14ac:dyDescent="0.4">
      <c r="A276" s="133"/>
    </row>
    <row r="277" spans="1:1" x14ac:dyDescent="0.4">
      <c r="A277" s="133"/>
    </row>
    <row r="278" spans="1:1" x14ac:dyDescent="0.4">
      <c r="A278" s="133"/>
    </row>
    <row r="279" spans="1:1" x14ac:dyDescent="0.4">
      <c r="A279" s="133"/>
    </row>
    <row r="280" spans="1:1" x14ac:dyDescent="0.4">
      <c r="A280" s="133"/>
    </row>
    <row r="281" spans="1:1" x14ac:dyDescent="0.4">
      <c r="A281" s="133"/>
    </row>
    <row r="282" spans="1:1" x14ac:dyDescent="0.4">
      <c r="A282" s="133"/>
    </row>
    <row r="283" spans="1:1" x14ac:dyDescent="0.4">
      <c r="A283" s="133"/>
    </row>
    <row r="284" spans="1:1" x14ac:dyDescent="0.4">
      <c r="A284" s="133"/>
    </row>
    <row r="285" spans="1:1" x14ac:dyDescent="0.4">
      <c r="A285" s="133"/>
    </row>
    <row r="286" spans="1:1" x14ac:dyDescent="0.4">
      <c r="A286" s="133"/>
    </row>
    <row r="287" spans="1:1" x14ac:dyDescent="0.4">
      <c r="A287" s="133"/>
    </row>
    <row r="288" spans="1:1" x14ac:dyDescent="0.4">
      <c r="A288" s="133"/>
    </row>
    <row r="289" spans="1:1" x14ac:dyDescent="0.4">
      <c r="A289" s="133"/>
    </row>
    <row r="290" spans="1:1" x14ac:dyDescent="0.4">
      <c r="A290" s="133"/>
    </row>
  </sheetData>
  <sheetProtection password="DAA7" sheet="1" objects="1" scenarios="1"/>
  <phoneticPr fontId="9" type="noConversion"/>
  <pageMargins left="0.75" right="0.75" top="1" bottom="1" header="0.5" footer="0.5"/>
  <pageSetup orientation="portrait" horizontalDpi="4294967293" verticalDpi="1200" r:id="rId1"/>
  <headerFooter alignWithMargins="0">
    <oddHeader>&amp;LCumming, W., 2010, Excel decision tools for geothermal exploration and development&amp;RPage &amp;P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1. Lognormal MWe from Area</vt:lpstr>
      <vt:lpstr>2. Tree-Capacity</vt:lpstr>
      <vt:lpstr>Explanation</vt:lpstr>
      <vt:lpstr>'1. Lognormal MWe from Area'!Print_Area</vt:lpstr>
      <vt:lpstr>'2. Tree-Capacity'!Print_Area</vt:lpstr>
      <vt:lpstr>Explanation!Print_Area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Cumming</dc:creator>
  <cp:lastModifiedBy>Irene</cp:lastModifiedBy>
  <cp:lastPrinted>2011-02-06T11:46:31Z</cp:lastPrinted>
  <dcterms:created xsi:type="dcterms:W3CDTF">1999-11-04T10:25:56Z</dcterms:created>
  <dcterms:modified xsi:type="dcterms:W3CDTF">2022-04-01T03:49:29Z</dcterms:modified>
</cp:coreProperties>
</file>