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4E0539F0-C968-4C9E-99AE-7F7E0277B29D}" xr6:coauthVersionLast="31" xr6:coauthVersionMax="31" xr10:uidLastSave="{00000000-0000-0000-0000-000000000000}"/>
  <bookViews>
    <workbookView xWindow="0" yWindow="0" windowWidth="20490" windowHeight="8595" xr2:uid="{00000000-000D-0000-FFFF-FFFF00000000}"/>
  </bookViews>
  <sheets>
    <sheet name="jaula" sheetId="1" r:id="rId1"/>
    <sheet name="preci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12" i="1"/>
  <c r="I12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F4" i="1" l="1"/>
  <c r="I4" i="1" s="1"/>
  <c r="G8" i="1" l="1"/>
  <c r="F8" i="1"/>
  <c r="I8" i="1" s="1"/>
  <c r="E8" i="1" l="1"/>
  <c r="G7" i="1"/>
  <c r="F7" i="1"/>
  <c r="I7" i="1" s="1"/>
  <c r="E7" i="1"/>
  <c r="G6" i="1"/>
  <c r="F6" i="1"/>
  <c r="I6" i="1" s="1"/>
  <c r="E6" i="1"/>
  <c r="G5" i="1"/>
  <c r="F5" i="1"/>
  <c r="I5" i="1" s="1"/>
  <c r="E5" i="1"/>
  <c r="G4" i="1"/>
  <c r="E4" i="1"/>
  <c r="G3" i="1"/>
  <c r="F3" i="1"/>
  <c r="E3" i="1"/>
  <c r="B5" i="1"/>
  <c r="B4" i="1"/>
  <c r="B2" i="1"/>
  <c r="I9" i="1" l="1"/>
  <c r="J4" i="1"/>
  <c r="K4" i="1" s="1"/>
  <c r="J5" i="1"/>
  <c r="K5" i="1" s="1"/>
  <c r="H5" i="1"/>
  <c r="H4" i="1"/>
  <c r="B3" i="1"/>
  <c r="B6" i="1"/>
  <c r="B7" i="1"/>
  <c r="B8" i="1"/>
  <c r="B9" i="1"/>
  <c r="B10" i="1"/>
  <c r="B11" i="1"/>
  <c r="B12" i="1"/>
  <c r="B13" i="1"/>
  <c r="B14" i="1"/>
  <c r="B15" i="1"/>
  <c r="J6" i="1"/>
  <c r="K6" i="1" s="1"/>
  <c r="J8" i="1" l="1"/>
  <c r="K8" i="1" s="1"/>
  <c r="J7" i="1"/>
  <c r="K7" i="1" s="1"/>
  <c r="H6" i="1"/>
  <c r="H7" i="1"/>
  <c r="H8" i="1"/>
  <c r="H3" i="1"/>
  <c r="E9" i="1"/>
  <c r="F9" i="1"/>
  <c r="J3" i="1"/>
  <c r="K3" i="1" s="1"/>
  <c r="H9" i="1" l="1"/>
  <c r="H10" i="1" s="1"/>
  <c r="K9" i="1"/>
  <c r="D12" i="1" l="1"/>
</calcChain>
</file>

<file path=xl/sharedStrings.xml><?xml version="1.0" encoding="utf-8"?>
<sst xmlns="http://schemas.openxmlformats.org/spreadsheetml/2006/main" count="36" uniqueCount="36">
  <si>
    <t>pesos</t>
  </si>
  <si>
    <t>precio</t>
  </si>
  <si>
    <t>kilos</t>
  </si>
  <si>
    <t>precios</t>
  </si>
  <si>
    <t>291-340</t>
  </si>
  <si>
    <t>341-390</t>
  </si>
  <si>
    <t>TOTAL</t>
  </si>
  <si>
    <t>RECUENTO</t>
  </si>
  <si>
    <t>TOTAL DE KILOS</t>
  </si>
  <si>
    <t>COMPRA</t>
  </si>
  <si>
    <t>ARETES</t>
  </si>
  <si>
    <t>VENTA</t>
  </si>
  <si>
    <t>PROMEDIO V</t>
  </si>
  <si>
    <t>PRECIO V</t>
  </si>
  <si>
    <t>PRECIO C</t>
  </si>
  <si>
    <t>PROMEDIO C</t>
  </si>
  <si>
    <t>KILOS</t>
  </si>
  <si>
    <t>PRECIO</t>
  </si>
  <si>
    <t>Utilidad</t>
  </si>
  <si>
    <t>Peso de reporte</t>
  </si>
  <si>
    <t>Peso de llegada Rancho Hidalgo</t>
  </si>
  <si>
    <t>Diferencia</t>
  </si>
  <si>
    <t>Merma</t>
  </si>
  <si>
    <t>Orden de factura</t>
  </si>
  <si>
    <t>Cantidad kilos 3T</t>
  </si>
  <si>
    <t>Cantidad  kilos Cuenca</t>
  </si>
  <si>
    <t>Monto Factura Cuenca</t>
  </si>
  <si>
    <t>Diferencia Fac.</t>
  </si>
  <si>
    <t>0-230</t>
  </si>
  <si>
    <t>231-290</t>
  </si>
  <si>
    <t>391-430</t>
  </si>
  <si>
    <t>431-470</t>
  </si>
  <si>
    <t>85 Aretes</t>
  </si>
  <si>
    <t>NO</t>
  </si>
  <si>
    <t>Chofer Martin Chalchi</t>
  </si>
  <si>
    <t>Proveedor Omar Ovando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</si>
</sst>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General\ &quot;Kg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5" tint="0.79998168889431442"/>
      </patternFill>
    </fill>
    <fill>
      <patternFill patternType="solid">
        <fgColor theme="5" tint="0.39997558519241921"/>
        <bgColor theme="5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theme="5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3" fillId="0" borderId="1" xfId="0" applyFont="1" applyBorder="1"/>
    <xf numFmtId="44" fontId="2" fillId="0" borderId="1" xfId="0" applyNumberFormat="1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 applyBorder="1"/>
    <xf numFmtId="0" fontId="2" fillId="0" borderId="5" xfId="0" applyNumberFormat="1" applyFont="1" applyFill="1" applyBorder="1"/>
    <xf numFmtId="44" fontId="0" fillId="0" borderId="0" xfId="1" applyNumberFormat="1" applyFont="1"/>
    <xf numFmtId="0" fontId="0" fillId="2" borderId="4" xfId="0" applyFont="1" applyFill="1" applyBorder="1"/>
    <xf numFmtId="0" fontId="2" fillId="2" borderId="1" xfId="0" applyFont="1" applyFill="1" applyBorder="1"/>
    <xf numFmtId="44" fontId="2" fillId="2" borderId="1" xfId="1" applyNumberFormat="1" applyFont="1" applyFill="1" applyBorder="1"/>
    <xf numFmtId="44" fontId="2" fillId="2" borderId="2" xfId="1" applyNumberFormat="1" applyFont="1" applyFill="1" applyBorder="1"/>
    <xf numFmtId="0" fontId="0" fillId="5" borderId="4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44" fontId="2" fillId="5" borderId="1" xfId="1" applyNumberFormat="1" applyFont="1" applyFill="1" applyBorder="1"/>
    <xf numFmtId="44" fontId="2" fillId="5" borderId="2" xfId="1" applyNumberFormat="1" applyFont="1" applyFill="1" applyBorder="1"/>
    <xf numFmtId="0" fontId="0" fillId="6" borderId="4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44" fontId="3" fillId="3" borderId="10" xfId="0" applyNumberFormat="1" applyFont="1" applyFill="1" applyBorder="1"/>
    <xf numFmtId="44" fontId="3" fillId="3" borderId="11" xfId="0" applyNumberFormat="1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44" fontId="4" fillId="0" borderId="2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0" fillId="0" borderId="0" xfId="0" applyFont="1"/>
    <xf numFmtId="15" fontId="2" fillId="0" borderId="0" xfId="0" applyNumberFormat="1" applyFont="1"/>
    <xf numFmtId="0" fontId="2" fillId="7" borderId="9" xfId="0" applyFont="1" applyFill="1" applyBorder="1"/>
    <xf numFmtId="0" fontId="2" fillId="7" borderId="10" xfId="0" applyFont="1" applyFill="1" applyBorder="1"/>
    <xf numFmtId="44" fontId="0" fillId="8" borderId="10" xfId="1" applyNumberFormat="1" applyFont="1" applyFill="1" applyBorder="1"/>
    <xf numFmtId="0" fontId="0" fillId="8" borderId="10" xfId="0" applyFont="1" applyFill="1" applyBorder="1"/>
    <xf numFmtId="44" fontId="0" fillId="8" borderId="11" xfId="1" applyNumberFormat="1" applyFont="1" applyFill="1" applyBorder="1"/>
  </cellXfs>
  <cellStyles count="2">
    <cellStyle name="Moneda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solid">
          <fgColor theme="5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solid">
          <fgColor theme="5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solid">
          <fgColor theme="5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solid">
          <fgColor theme="5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B84" totalsRowShown="0">
  <autoFilter ref="A1:B84" xr:uid="{00000000-0009-0000-0100-000001000000}"/>
  <tableColumns count="2">
    <tableColumn id="1" xr3:uid="{00000000-0010-0000-0000-000001000000}" name="pesos" dataDxfId="22"/>
    <tableColumn id="2" xr3:uid="{00000000-0010-0000-0000-000002000000}" name="precio" dataDxfId="21" dataCellStyle="Moneda">
      <calculatedColumnFormula>IFERROR(VLOOKUP(A2,precios!$A$2:$B$6,2),0)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D2:K10" totalsRowCount="1" headerRowDxfId="20" dataDxfId="19" headerRowBorderDxfId="17" tableBorderDxfId="18" totalsRowBorderDxfId="16">
  <autoFilter ref="D2:K9" xr:uid="{00000000-0009-0000-0100-000002000000}"/>
  <tableColumns count="8">
    <tableColumn id="1" xr3:uid="{00000000-0010-0000-0100-000001000000}" name="COMPRA" dataDxfId="15" totalsRowDxfId="7"/>
    <tableColumn id="2" xr3:uid="{00000000-0010-0000-0100-000002000000}" name="RECUENTO" dataDxfId="14" totalsRowDxfId="6"/>
    <tableColumn id="3" xr3:uid="{00000000-0010-0000-0100-000003000000}" name="TOTAL DE KILOS" dataDxfId="13" totalsRowDxfId="5"/>
    <tableColumn id="4" xr3:uid="{00000000-0010-0000-0100-000004000000}" name="PROMEDIO C" dataDxfId="12" totalsRowDxfId="4"/>
    <tableColumn id="5" xr3:uid="{00000000-0010-0000-0100-000005000000}" name="PRECIO C" totalsRowFunction="custom" dataDxfId="11" totalsRowDxfId="3" dataCellStyle="Moneda" totalsRowCellStyle="Moneda">
      <totalsRowFormula>H9-2975</totalsRowFormula>
    </tableColumn>
    <tableColumn id="6" xr3:uid="{00000000-0010-0000-0100-000006000000}" name="VENTA" dataDxfId="10" totalsRowDxfId="2"/>
    <tableColumn id="7" xr3:uid="{00000000-0010-0000-0100-000007000000}" name="PROMEDIO V" dataDxfId="9" totalsRowDxfId="1"/>
    <tableColumn id="8" xr3:uid="{00000000-0010-0000-0100-000008000000}" name="PRECIO V" dataDxfId="8" totalsRowDxfId="0" dataCellStyle="Moneda" totalsRowCellStyle="Mone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workbookViewId="0">
      <selection activeCell="I5" sqref="I5"/>
    </sheetView>
  </sheetViews>
  <sheetFormatPr baseColWidth="10" defaultRowHeight="15" x14ac:dyDescent="0.25"/>
  <cols>
    <col min="1" max="3" width="11.42578125" style="2"/>
    <col min="4" max="5" width="15.85546875" style="2" bestFit="1" customWidth="1"/>
    <col min="6" max="6" width="16.85546875" style="2" customWidth="1"/>
    <col min="7" max="7" width="14.5703125" style="2" customWidth="1"/>
    <col min="8" max="8" width="14.140625" style="2" bestFit="1" customWidth="1"/>
    <col min="9" max="9" width="11.42578125" style="2"/>
    <col min="10" max="10" width="14.7109375" style="2" customWidth="1"/>
    <col min="11" max="11" width="14.140625" style="2" bestFit="1" customWidth="1"/>
    <col min="12" max="16384" width="11.42578125" style="2"/>
  </cols>
  <sheetData>
    <row r="1" spans="1:12" x14ac:dyDescent="0.25">
      <c r="A1" s="2" t="s">
        <v>0</v>
      </c>
      <c r="B1" s="2" t="s">
        <v>1</v>
      </c>
      <c r="G1" s="2" t="s">
        <v>10</v>
      </c>
      <c r="H1" s="2" t="s">
        <v>33</v>
      </c>
    </row>
    <row r="2" spans="1:12" x14ac:dyDescent="0.25">
      <c r="A2" s="2">
        <v>333</v>
      </c>
      <c r="B2" s="3">
        <f>IFERROR(VLOOKUP(A2,precios!$A$2:$B$6,2),0)</f>
        <v>43.5</v>
      </c>
      <c r="D2" s="21" t="s">
        <v>9</v>
      </c>
      <c r="E2" s="22" t="s">
        <v>7</v>
      </c>
      <c r="F2" s="22" t="s">
        <v>8</v>
      </c>
      <c r="G2" s="22" t="s">
        <v>15</v>
      </c>
      <c r="H2" s="22" t="s">
        <v>14</v>
      </c>
      <c r="I2" s="22" t="s">
        <v>11</v>
      </c>
      <c r="J2" s="22" t="s">
        <v>12</v>
      </c>
      <c r="K2" s="23" t="s">
        <v>13</v>
      </c>
      <c r="L2" s="36" t="s">
        <v>34</v>
      </c>
    </row>
    <row r="3" spans="1:12" x14ac:dyDescent="0.25">
      <c r="A3" s="2">
        <v>297</v>
      </c>
      <c r="B3" s="3">
        <f>IFERROR(VLOOKUP(A3,precios!$A$2:$B$6,2),0)</f>
        <v>43.5</v>
      </c>
      <c r="D3" s="11" t="s">
        <v>28</v>
      </c>
      <c r="E3" s="12">
        <f>COUNTIF(Tabla1[pesos],"&lt;=230")</f>
        <v>25</v>
      </c>
      <c r="F3" s="12">
        <f>SUMIF(Tabla1[pesos],"&lt;=230")</f>
        <v>5378</v>
      </c>
      <c r="G3" s="12">
        <f>IFERROR(AVERAGEIF(Tabla1[pesos],"&lt;=230"),0)</f>
        <v>215.12</v>
      </c>
      <c r="H3" s="13">
        <f>IFERROR(VLOOKUP(G3,precios!$A$2:$B$6,2)*F3,0)</f>
        <v>244699</v>
      </c>
      <c r="I3" s="12">
        <f>F3*1.035</f>
        <v>5566.23</v>
      </c>
      <c r="J3" s="12">
        <f>IFERROR(I3/E3,0)</f>
        <v>222.64919999999998</v>
      </c>
      <c r="K3" s="14">
        <f>IFERROR(VLOOKUP(J3,precios!$D$2:$E$6,2)*I3,0)</f>
        <v>272745.26999999996</v>
      </c>
      <c r="L3" s="36" t="s">
        <v>35</v>
      </c>
    </row>
    <row r="4" spans="1:12" x14ac:dyDescent="0.25">
      <c r="A4" s="9">
        <v>297</v>
      </c>
      <c r="B4" s="10">
        <f>IFERROR(VLOOKUP(A4,precios!$A$2:$B$6,2),0)</f>
        <v>43.5</v>
      </c>
      <c r="D4" s="15" t="s">
        <v>29</v>
      </c>
      <c r="E4" s="16">
        <f>COUNTIFS(Tabla1[pesos],"&gt;230",Tabla1[pesos],"&lt;=290")</f>
        <v>45</v>
      </c>
      <c r="F4" s="17">
        <f>SUMIFS(Tabla1[pesos],Tabla1[pesos],"&gt;230",Tabla1[pesos],"&lt;=290")</f>
        <v>11903</v>
      </c>
      <c r="G4" s="17">
        <f>IFERROR(AVERAGEIFS(Tabla1[pesos],Tabla1[pesos],"&gt;230",Tabla1[pesos],"&lt;=290"),0)</f>
        <v>264.51111111111112</v>
      </c>
      <c r="H4" s="18">
        <f>IFERROR(VLOOKUP(G4,precios!$A$2:$B$6,2)*F4,0)</f>
        <v>529683.5</v>
      </c>
      <c r="I4" s="16">
        <f t="shared" ref="I3:I8" si="0">F4*1.035</f>
        <v>12319.605</v>
      </c>
      <c r="J4" s="16">
        <f t="shared" ref="J4:J8" si="1">IFERROR(I4/E4,0)</f>
        <v>273.76900000000001</v>
      </c>
      <c r="K4" s="19">
        <f>IFERROR(VLOOKUP(J4,precios!$D$2:$E$6,2)*I4,0)</f>
        <v>603660.64500000002</v>
      </c>
      <c r="L4" s="37">
        <v>43212</v>
      </c>
    </row>
    <row r="5" spans="1:12" x14ac:dyDescent="0.25">
      <c r="A5" s="9">
        <v>337</v>
      </c>
      <c r="B5" s="10">
        <f>IFERROR(VLOOKUP(A5,precios!$A$2:$B$6,2),0)</f>
        <v>43.5</v>
      </c>
      <c r="D5" s="11" t="s">
        <v>4</v>
      </c>
      <c r="E5" s="12">
        <f>COUNTIFS(Tabla1[pesos],"&gt;290",Tabla1[pesos],"&lt;=340")</f>
        <v>12</v>
      </c>
      <c r="F5" s="12">
        <f>SUMIFS(Tabla1[pesos],Tabla1[pesos],"&gt;290",Tabla1[pesos],"&lt;=340")</f>
        <v>3722</v>
      </c>
      <c r="G5" s="12">
        <f>IFERROR(AVERAGEIFS(Tabla1[pesos],Tabla1[pesos],"&gt;290",Tabla1[pesos],"&lt;=340"),0)</f>
        <v>310.16666666666669</v>
      </c>
      <c r="H5" s="13">
        <f>IFERROR(VLOOKUP(G5,precios!$A$2:$B$6,2)*F5,0)</f>
        <v>161907</v>
      </c>
      <c r="I5" s="12">
        <f t="shared" si="0"/>
        <v>3852.2699999999995</v>
      </c>
      <c r="J5" s="12">
        <f t="shared" si="1"/>
        <v>321.02249999999998</v>
      </c>
      <c r="K5" s="14">
        <f>IFERROR(VLOOKUP(J5,precios!$D$2:$E$6,2)*I5,0)</f>
        <v>184908.95999999996</v>
      </c>
      <c r="L5" s="36" t="s">
        <v>32</v>
      </c>
    </row>
    <row r="6" spans="1:12" x14ac:dyDescent="0.25">
      <c r="A6" s="2">
        <v>305</v>
      </c>
      <c r="B6" s="3">
        <f>IFERROR(VLOOKUP(A6,precios!$A$2:$B$6,2),0)</f>
        <v>43.5</v>
      </c>
      <c r="D6" s="20" t="s">
        <v>5</v>
      </c>
      <c r="E6" s="17">
        <f>COUNTIFS(Tabla1[pesos],"&gt;340",Tabla1[pesos],"&lt;=390")</f>
        <v>1</v>
      </c>
      <c r="F6" s="17">
        <f>SUMIFS(Tabla1[pesos],Tabla1[pesos],"&gt;340",Tabla1[pesos],"&lt;=390")</f>
        <v>367</v>
      </c>
      <c r="G6" s="17">
        <f>IFERROR(AVERAGEIFS(Tabla1[pesos],Tabla1[pesos],"&gt;340",Tabla1[pesos],"&lt;=390"),0)</f>
        <v>367</v>
      </c>
      <c r="H6" s="18">
        <f>IFERROR(VLOOKUP(G6,precios!$A$2:$B$6,2)*F6,0)</f>
        <v>15597.5</v>
      </c>
      <c r="I6" s="16">
        <f t="shared" si="0"/>
        <v>379.84499999999997</v>
      </c>
      <c r="J6" s="16">
        <f t="shared" si="1"/>
        <v>379.84499999999997</v>
      </c>
      <c r="K6" s="19">
        <f>IFERROR(VLOOKUP(J6,precios!$D$2:$E$6,2)*I6,0)</f>
        <v>17852.715</v>
      </c>
    </row>
    <row r="7" spans="1:12" x14ac:dyDescent="0.25">
      <c r="A7" s="2">
        <v>311</v>
      </c>
      <c r="B7" s="3">
        <f>IFERROR(VLOOKUP(A7,precios!$A$2:$B$6,2),0)</f>
        <v>43.5</v>
      </c>
      <c r="D7" s="11" t="s">
        <v>30</v>
      </c>
      <c r="E7" s="12">
        <f>COUNTIFS(Tabla1[pesos],"&gt;390",Tabla1[pesos],"&lt;=430")</f>
        <v>0</v>
      </c>
      <c r="F7" s="12">
        <f>SUMIFS(Tabla1[pesos],Tabla1[pesos],"&gt;390",Tabla1[pesos],"&lt;=430")</f>
        <v>0</v>
      </c>
      <c r="G7" s="12">
        <f>IFERROR(AVERAGEIFS(Tabla1[pesos],Tabla1[pesos],"&gt;390",Tabla1[pesos],"&lt;=430"),0)</f>
        <v>0</v>
      </c>
      <c r="H7" s="13">
        <f>IFERROR(VLOOKUP(G7,precios!$A$2:$B$6,2)*F7,0)</f>
        <v>0</v>
      </c>
      <c r="I7" s="12">
        <f t="shared" si="0"/>
        <v>0</v>
      </c>
      <c r="J7" s="12">
        <f t="shared" si="1"/>
        <v>0</v>
      </c>
      <c r="K7" s="14">
        <f>IFERROR(VLOOKUP(J7,precios!$D$2:$E$6,2)*I7,0)</f>
        <v>0</v>
      </c>
    </row>
    <row r="8" spans="1:12" x14ac:dyDescent="0.25">
      <c r="A8" s="2">
        <v>300</v>
      </c>
      <c r="B8" s="3">
        <f>IFERROR(VLOOKUP(A8,precios!$A$2:$B$6,2),0)</f>
        <v>43.5</v>
      </c>
      <c r="D8" s="20" t="s">
        <v>31</v>
      </c>
      <c r="E8" s="17">
        <f>COUNTIFS(Tabla1[pesos],"&gt;430",Tabla1[pesos],"&lt;=470")</f>
        <v>0</v>
      </c>
      <c r="F8" s="17">
        <f>SUMIFS(Tabla1[pesos],Tabla1[pesos],"&gt;430",Tabla1[pesos],"&lt;=470")</f>
        <v>0</v>
      </c>
      <c r="G8" s="17">
        <f>IFERROR(AVERAGEIFS(Tabla1[pesos],Tabla1[pesos],"&gt;430",Tabla1[pesos],"&lt;=470"),0)</f>
        <v>0</v>
      </c>
      <c r="H8" s="18">
        <f>IFERROR(VLOOKUP(G8,precios!$A$2:$B$6,2)*F8,0)</f>
        <v>0</v>
      </c>
      <c r="I8" s="16">
        <f t="shared" si="0"/>
        <v>0</v>
      </c>
      <c r="J8" s="16">
        <f t="shared" si="1"/>
        <v>0</v>
      </c>
      <c r="K8" s="19">
        <f>IFERROR(VLOOKUP(J8,precios!$D$2:$E$6,2)*I8,0)</f>
        <v>0</v>
      </c>
    </row>
    <row r="9" spans="1:12" x14ac:dyDescent="0.25">
      <c r="A9" s="2">
        <v>317</v>
      </c>
      <c r="B9" s="3">
        <f>IFERROR(VLOOKUP(A9,precios!$A$2:$B$6,2),0)</f>
        <v>43.5</v>
      </c>
      <c r="D9" s="24" t="s">
        <v>6</v>
      </c>
      <c r="E9" s="25">
        <f>SUM(E3:E8)</f>
        <v>83</v>
      </c>
      <c r="F9" s="25">
        <f>SUM(F3:F8)</f>
        <v>21370</v>
      </c>
      <c r="G9" s="25"/>
      <c r="H9" s="26">
        <f>IF(H1="SI",SUM(H3:H8)-(E9*35),SUM(H3:H8))</f>
        <v>951887</v>
      </c>
      <c r="I9" s="25">
        <f>SUM(I3:I8)</f>
        <v>22117.95</v>
      </c>
      <c r="J9" s="25"/>
      <c r="K9" s="27">
        <f>SUM(K3:K8)</f>
        <v>1079167.5900000001</v>
      </c>
    </row>
    <row r="10" spans="1:12" x14ac:dyDescent="0.25">
      <c r="A10" s="2">
        <v>297</v>
      </c>
      <c r="B10" s="3">
        <f>IFERROR(VLOOKUP(A10,precios!$A$2:$B$6,2),0)</f>
        <v>43.5</v>
      </c>
      <c r="D10" s="38"/>
      <c r="E10" s="39"/>
      <c r="F10" s="39"/>
      <c r="G10" s="39"/>
      <c r="H10" s="40">
        <f>H9-2975</f>
        <v>948912</v>
      </c>
      <c r="I10" s="41"/>
      <c r="J10" s="41"/>
      <c r="K10" s="42"/>
    </row>
    <row r="11" spans="1:12" x14ac:dyDescent="0.25">
      <c r="A11" s="2">
        <v>300</v>
      </c>
      <c r="B11" s="3">
        <f>IFERROR(VLOOKUP(A11,precios!$A$2:$B$6,2),0)</f>
        <v>43.5</v>
      </c>
      <c r="D11" s="4" t="s">
        <v>18</v>
      </c>
      <c r="E11" s="4" t="s">
        <v>19</v>
      </c>
      <c r="F11" s="28" t="s">
        <v>20</v>
      </c>
      <c r="G11" s="29"/>
      <c r="H11" s="30"/>
      <c r="I11" s="4" t="s">
        <v>21</v>
      </c>
      <c r="J11" s="4" t="s">
        <v>22</v>
      </c>
    </row>
    <row r="12" spans="1:12" x14ac:dyDescent="0.25">
      <c r="A12" s="2">
        <v>328</v>
      </c>
      <c r="B12" s="3">
        <f>IFERROR(VLOOKUP(A12,precios!$A$2:$B$6,2),0)</f>
        <v>43.5</v>
      </c>
      <c r="D12" s="5">
        <f>K9-Tabla2[[#Totals],[PRECIO C]]</f>
        <v>130255.59000000008</v>
      </c>
      <c r="E12" s="6">
        <v>22117</v>
      </c>
      <c r="F12" s="31">
        <v>19500</v>
      </c>
      <c r="G12" s="32"/>
      <c r="H12" s="33"/>
      <c r="I12" s="6">
        <f>E12-F12</f>
        <v>2617</v>
      </c>
      <c r="J12" s="7">
        <f>I12*100/E12</f>
        <v>11.832527015418004</v>
      </c>
    </row>
    <row r="13" spans="1:12" x14ac:dyDescent="0.25">
      <c r="A13" s="2">
        <v>300</v>
      </c>
      <c r="B13" s="3">
        <f>IFERROR(VLOOKUP(A13,precios!$A$2:$B$6,2),0)</f>
        <v>43.5</v>
      </c>
      <c r="D13" s="4" t="s">
        <v>23</v>
      </c>
      <c r="E13" s="4" t="s">
        <v>24</v>
      </c>
      <c r="F13" s="28" t="s">
        <v>25</v>
      </c>
      <c r="G13" s="30"/>
      <c r="H13" s="28" t="s">
        <v>26</v>
      </c>
      <c r="I13" s="30"/>
      <c r="J13" s="4" t="s">
        <v>27</v>
      </c>
    </row>
    <row r="14" spans="1:12" x14ac:dyDescent="0.25">
      <c r="A14" s="8">
        <v>230</v>
      </c>
      <c r="B14" s="3">
        <f>IFERROR(VLOOKUP(A14,precios!$A$2:$B$6,2),0)</f>
        <v>45.5</v>
      </c>
      <c r="E14" s="6"/>
      <c r="F14" s="31"/>
      <c r="G14" s="33"/>
      <c r="H14" s="34"/>
      <c r="I14" s="35"/>
      <c r="J14" s="5"/>
    </row>
    <row r="15" spans="1:12" x14ac:dyDescent="0.25">
      <c r="A15" s="8">
        <v>230</v>
      </c>
      <c r="B15" s="3">
        <f>IFERROR(VLOOKUP(A15,precios!$A$2:$B$6,2),0)</f>
        <v>45.5</v>
      </c>
    </row>
    <row r="16" spans="1:12" x14ac:dyDescent="0.25">
      <c r="A16" s="9">
        <v>228</v>
      </c>
      <c r="B16" s="10">
        <f>IFERROR(VLOOKUP(A16,precios!$A$2:$B$6,2),0)</f>
        <v>45.5</v>
      </c>
    </row>
    <row r="17" spans="1:2" x14ac:dyDescent="0.25">
      <c r="A17" s="9">
        <v>222</v>
      </c>
      <c r="B17" s="10">
        <f>IFERROR(VLOOKUP(A17,precios!$A$2:$B$6,2),0)</f>
        <v>45.5</v>
      </c>
    </row>
    <row r="18" spans="1:2" x14ac:dyDescent="0.25">
      <c r="A18" s="9">
        <v>229</v>
      </c>
      <c r="B18" s="10">
        <f>IFERROR(VLOOKUP(A18,precios!$A$2:$B$6,2),0)</f>
        <v>45.5</v>
      </c>
    </row>
    <row r="19" spans="1:2" x14ac:dyDescent="0.25">
      <c r="A19" s="9">
        <v>226</v>
      </c>
      <c r="B19" s="10">
        <f>IFERROR(VLOOKUP(A19,precios!$A$2:$B$6,2),0)</f>
        <v>45.5</v>
      </c>
    </row>
    <row r="20" spans="1:2" x14ac:dyDescent="0.25">
      <c r="A20" s="9">
        <v>229</v>
      </c>
      <c r="B20" s="10">
        <f>IFERROR(VLOOKUP(A20,precios!$A$2:$B$6,2),0)</f>
        <v>45.5</v>
      </c>
    </row>
    <row r="21" spans="1:2" x14ac:dyDescent="0.25">
      <c r="A21" s="9">
        <v>228</v>
      </c>
      <c r="B21" s="10">
        <f>IFERROR(VLOOKUP(A21,precios!$A$2:$B$6,2),0)</f>
        <v>45.5</v>
      </c>
    </row>
    <row r="22" spans="1:2" x14ac:dyDescent="0.25">
      <c r="A22" s="9">
        <v>210</v>
      </c>
      <c r="B22" s="10">
        <f>IFERROR(VLOOKUP(A22,precios!$A$2:$B$6,2),0)</f>
        <v>45.5</v>
      </c>
    </row>
    <row r="23" spans="1:2" x14ac:dyDescent="0.25">
      <c r="A23" s="9">
        <v>226</v>
      </c>
      <c r="B23" s="10">
        <f>IFERROR(VLOOKUP(A23,precios!$A$2:$B$6,2),0)</f>
        <v>45.5</v>
      </c>
    </row>
    <row r="24" spans="1:2" x14ac:dyDescent="0.25">
      <c r="A24" s="9">
        <v>230</v>
      </c>
      <c r="B24" s="10">
        <f>IFERROR(VLOOKUP(A24,precios!$A$2:$B$6,2),0)</f>
        <v>45.5</v>
      </c>
    </row>
    <row r="25" spans="1:2" x14ac:dyDescent="0.25">
      <c r="A25" s="9">
        <v>189</v>
      </c>
      <c r="B25" s="10">
        <f>IFERROR(VLOOKUP(A25,precios!$A$2:$B$6,2),0)</f>
        <v>45.5</v>
      </c>
    </row>
    <row r="26" spans="1:2" x14ac:dyDescent="0.25">
      <c r="A26" s="9">
        <v>207</v>
      </c>
      <c r="B26" s="10">
        <f>IFERROR(VLOOKUP(A26,precios!$A$2:$B$6,2),0)</f>
        <v>45.5</v>
      </c>
    </row>
    <row r="27" spans="1:2" x14ac:dyDescent="0.25">
      <c r="A27" s="9">
        <v>210</v>
      </c>
      <c r="B27" s="10">
        <f>IFERROR(VLOOKUP(A27,precios!$A$2:$B$6,2),0)</f>
        <v>45.5</v>
      </c>
    </row>
    <row r="28" spans="1:2" x14ac:dyDescent="0.25">
      <c r="A28" s="9">
        <v>208</v>
      </c>
      <c r="B28" s="10">
        <f>IFERROR(VLOOKUP(A28,precios!$A$2:$B$6,2),0)</f>
        <v>45.5</v>
      </c>
    </row>
    <row r="29" spans="1:2" x14ac:dyDescent="0.25">
      <c r="A29" s="9">
        <v>217</v>
      </c>
      <c r="B29" s="10">
        <f>IFERROR(VLOOKUP(A29,precios!$A$2:$B$6,2),0)</f>
        <v>45.5</v>
      </c>
    </row>
    <row r="30" spans="1:2" x14ac:dyDescent="0.25">
      <c r="A30" s="9">
        <v>229</v>
      </c>
      <c r="B30" s="10">
        <f>IFERROR(VLOOKUP(A30,precios!$A$2:$B$6,2),0)</f>
        <v>45.5</v>
      </c>
    </row>
    <row r="31" spans="1:2" x14ac:dyDescent="0.25">
      <c r="A31" s="9">
        <v>228</v>
      </c>
      <c r="B31" s="10">
        <f>IFERROR(VLOOKUP(A31,precios!$A$2:$B$6,2),0)</f>
        <v>45.5</v>
      </c>
    </row>
    <row r="32" spans="1:2" x14ac:dyDescent="0.25">
      <c r="A32" s="9">
        <v>203</v>
      </c>
      <c r="B32" s="10">
        <f>IFERROR(VLOOKUP(A32,precios!$A$2:$B$6,2),0)</f>
        <v>45.5</v>
      </c>
    </row>
    <row r="33" spans="1:2" x14ac:dyDescent="0.25">
      <c r="A33" s="9">
        <v>230</v>
      </c>
      <c r="B33" s="10">
        <f>IFERROR(VLOOKUP(A33,precios!$A$2:$B$6,2),0)</f>
        <v>45.5</v>
      </c>
    </row>
    <row r="34" spans="1:2" x14ac:dyDescent="0.25">
      <c r="A34" s="9">
        <v>205</v>
      </c>
      <c r="B34" s="10">
        <f>IFERROR(VLOOKUP(A34,precios!$A$2:$B$6,2),0)</f>
        <v>45.5</v>
      </c>
    </row>
    <row r="35" spans="1:2" x14ac:dyDescent="0.25">
      <c r="A35" s="9">
        <v>210</v>
      </c>
      <c r="B35" s="10">
        <f>IFERROR(VLOOKUP(A35,precios!$A$2:$B$6,2),0)</f>
        <v>45.5</v>
      </c>
    </row>
    <row r="36" spans="1:2" x14ac:dyDescent="0.25">
      <c r="A36" s="9">
        <v>228</v>
      </c>
      <c r="B36" s="10">
        <f>IFERROR(VLOOKUP(A36,precios!$A$2:$B$6,2),0)</f>
        <v>45.5</v>
      </c>
    </row>
    <row r="37" spans="1:2" x14ac:dyDescent="0.25">
      <c r="A37" s="9">
        <v>164</v>
      </c>
      <c r="B37" s="10">
        <f>IFERROR(VLOOKUP(A37,precios!$A$2:$B$6,2),0)</f>
        <v>45.5</v>
      </c>
    </row>
    <row r="38" spans="1:2" x14ac:dyDescent="0.25">
      <c r="A38" s="9">
        <v>162</v>
      </c>
      <c r="B38" s="10">
        <f>IFERROR(VLOOKUP(A38,precios!$A$2:$B$6,2),0)</f>
        <v>45.5</v>
      </c>
    </row>
    <row r="39" spans="1:2" x14ac:dyDescent="0.25">
      <c r="A39" s="9">
        <v>290</v>
      </c>
      <c r="B39" s="10">
        <f>IFERROR(VLOOKUP(A39,precios!$A$2:$B$6,2),0)</f>
        <v>44.5</v>
      </c>
    </row>
    <row r="40" spans="1:2" x14ac:dyDescent="0.25">
      <c r="A40" s="9">
        <v>263</v>
      </c>
      <c r="B40" s="10">
        <f>IFERROR(VLOOKUP(A40,precios!$A$2:$B$6,2),0)</f>
        <v>44.5</v>
      </c>
    </row>
    <row r="41" spans="1:2" x14ac:dyDescent="0.25">
      <c r="A41" s="9">
        <v>290</v>
      </c>
      <c r="B41" s="10">
        <f>IFERROR(VLOOKUP(A41,precios!$A$2:$B$6,2),0)</f>
        <v>44.5</v>
      </c>
    </row>
    <row r="42" spans="1:2" x14ac:dyDescent="0.25">
      <c r="A42" s="9">
        <v>270</v>
      </c>
      <c r="B42" s="10">
        <f>IFERROR(VLOOKUP(A42,precios!$A$2:$B$6,2),0)</f>
        <v>44.5</v>
      </c>
    </row>
    <row r="43" spans="1:2" x14ac:dyDescent="0.25">
      <c r="A43" s="9">
        <v>253</v>
      </c>
      <c r="B43" s="10">
        <f>IFERROR(VLOOKUP(A43,precios!$A$2:$B$6,2),0)</f>
        <v>44.5</v>
      </c>
    </row>
    <row r="44" spans="1:2" x14ac:dyDescent="0.25">
      <c r="A44" s="9">
        <v>265</v>
      </c>
      <c r="B44" s="10">
        <f>IFERROR(VLOOKUP(A44,precios!$A$2:$B$6,2),0)</f>
        <v>44.5</v>
      </c>
    </row>
    <row r="45" spans="1:2" x14ac:dyDescent="0.25">
      <c r="A45" s="9">
        <v>266</v>
      </c>
      <c r="B45" s="10">
        <f>IFERROR(VLOOKUP(A45,precios!$A$2:$B$6,2),0)</f>
        <v>44.5</v>
      </c>
    </row>
    <row r="46" spans="1:2" x14ac:dyDescent="0.25">
      <c r="A46" s="9">
        <v>267</v>
      </c>
      <c r="B46" s="10">
        <f>IFERROR(VLOOKUP(A46,precios!$A$2:$B$6,2),0)</f>
        <v>44.5</v>
      </c>
    </row>
    <row r="47" spans="1:2" x14ac:dyDescent="0.25">
      <c r="A47" s="9">
        <v>285</v>
      </c>
      <c r="B47" s="10">
        <f>IFERROR(VLOOKUP(A47,precios!$A$2:$B$6,2),0)</f>
        <v>44.5</v>
      </c>
    </row>
    <row r="48" spans="1:2" x14ac:dyDescent="0.25">
      <c r="A48" s="9">
        <v>263</v>
      </c>
      <c r="B48" s="10">
        <f>IFERROR(VLOOKUP(A48,precios!$A$2:$B$6,2),0)</f>
        <v>44.5</v>
      </c>
    </row>
    <row r="49" spans="1:2" x14ac:dyDescent="0.25">
      <c r="A49" s="9">
        <v>246</v>
      </c>
      <c r="B49" s="10">
        <f>IFERROR(VLOOKUP(A49,precios!$A$2:$B$6,2),0)</f>
        <v>44.5</v>
      </c>
    </row>
    <row r="50" spans="1:2" x14ac:dyDescent="0.25">
      <c r="A50" s="9">
        <v>283</v>
      </c>
      <c r="B50" s="10">
        <f>IFERROR(VLOOKUP(A50,precios!$A$2:$B$6,2),0)</f>
        <v>44.5</v>
      </c>
    </row>
    <row r="51" spans="1:2" x14ac:dyDescent="0.25">
      <c r="A51" s="9">
        <v>270</v>
      </c>
      <c r="B51" s="10">
        <f>IFERROR(VLOOKUP(A51,precios!$A$2:$B$6,2),0)</f>
        <v>44.5</v>
      </c>
    </row>
    <row r="52" spans="1:2" x14ac:dyDescent="0.25">
      <c r="A52" s="9">
        <v>268</v>
      </c>
      <c r="B52" s="10">
        <f>IFERROR(VLOOKUP(A52,precios!$A$2:$B$6,2),0)</f>
        <v>44.5</v>
      </c>
    </row>
    <row r="53" spans="1:2" x14ac:dyDescent="0.25">
      <c r="A53" s="9">
        <v>239</v>
      </c>
      <c r="B53" s="10">
        <f>IFERROR(VLOOKUP(A53,precios!$A$2:$B$6,2),0)</f>
        <v>44.5</v>
      </c>
    </row>
    <row r="54" spans="1:2" x14ac:dyDescent="0.25">
      <c r="A54" s="9">
        <v>286</v>
      </c>
      <c r="B54" s="10">
        <f>IFERROR(VLOOKUP(A54,precios!$A$2:$B$6,2),0)</f>
        <v>44.5</v>
      </c>
    </row>
    <row r="55" spans="1:2" x14ac:dyDescent="0.25">
      <c r="A55" s="9">
        <v>283</v>
      </c>
      <c r="B55" s="10">
        <f>IFERROR(VLOOKUP(A55,precios!$A$2:$B$6,2),0)</f>
        <v>44.5</v>
      </c>
    </row>
    <row r="56" spans="1:2" x14ac:dyDescent="0.25">
      <c r="A56" s="9">
        <v>270</v>
      </c>
      <c r="B56" s="10">
        <f>IFERROR(VLOOKUP(A56,precios!$A$2:$B$6,2),0)</f>
        <v>44.5</v>
      </c>
    </row>
    <row r="57" spans="1:2" x14ac:dyDescent="0.25">
      <c r="A57" s="9">
        <v>290</v>
      </c>
      <c r="B57" s="10">
        <f>IFERROR(VLOOKUP(A57,precios!$A$2:$B$6,2),0)</f>
        <v>44.5</v>
      </c>
    </row>
    <row r="58" spans="1:2" x14ac:dyDescent="0.25">
      <c r="A58" s="9">
        <v>262</v>
      </c>
      <c r="B58" s="10">
        <f>IFERROR(VLOOKUP(A58,precios!$A$2:$B$6,2),0)</f>
        <v>44.5</v>
      </c>
    </row>
    <row r="59" spans="1:2" x14ac:dyDescent="0.25">
      <c r="A59" s="9">
        <v>238</v>
      </c>
      <c r="B59" s="10">
        <f>IFERROR(VLOOKUP(A59,precios!$A$2:$B$6,2),0)</f>
        <v>44.5</v>
      </c>
    </row>
    <row r="60" spans="1:2" x14ac:dyDescent="0.25">
      <c r="A60" s="9">
        <v>250</v>
      </c>
      <c r="B60" s="10">
        <f>IFERROR(VLOOKUP(A60,precios!$A$2:$B$6,2),0)</f>
        <v>44.5</v>
      </c>
    </row>
    <row r="61" spans="1:2" x14ac:dyDescent="0.25">
      <c r="A61" s="9">
        <v>286</v>
      </c>
      <c r="B61" s="10">
        <f>IFERROR(VLOOKUP(A61,precios!$A$2:$B$6,2),0)</f>
        <v>44.5</v>
      </c>
    </row>
    <row r="62" spans="1:2" x14ac:dyDescent="0.25">
      <c r="A62" s="9">
        <v>254</v>
      </c>
      <c r="B62" s="10">
        <f>IFERROR(VLOOKUP(A62,precios!$A$2:$B$6,2),0)</f>
        <v>44.5</v>
      </c>
    </row>
    <row r="63" spans="1:2" x14ac:dyDescent="0.25">
      <c r="A63" s="9">
        <v>290</v>
      </c>
      <c r="B63" s="10">
        <f>IFERROR(VLOOKUP(A63,precios!$A$2:$B$6,2),0)</f>
        <v>44.5</v>
      </c>
    </row>
    <row r="64" spans="1:2" x14ac:dyDescent="0.25">
      <c r="A64" s="9">
        <v>269</v>
      </c>
      <c r="B64" s="10">
        <f>IFERROR(VLOOKUP(A64,precios!$A$2:$B$6,2),0)</f>
        <v>44.5</v>
      </c>
    </row>
    <row r="65" spans="1:2" x14ac:dyDescent="0.25">
      <c r="A65" s="9">
        <v>275</v>
      </c>
      <c r="B65" s="10">
        <f>IFERROR(VLOOKUP(A65,precios!$A$2:$B$6,2),0)</f>
        <v>44.5</v>
      </c>
    </row>
    <row r="66" spans="1:2" x14ac:dyDescent="0.25">
      <c r="A66" s="9">
        <v>262</v>
      </c>
      <c r="B66" s="10">
        <f>IFERROR(VLOOKUP(A66,precios!$A$2:$B$6,2),0)</f>
        <v>44.5</v>
      </c>
    </row>
    <row r="67" spans="1:2" x14ac:dyDescent="0.25">
      <c r="A67" s="9">
        <v>287</v>
      </c>
      <c r="B67" s="10">
        <f>IFERROR(VLOOKUP(A67,precios!$A$2:$B$6,2),0)</f>
        <v>44.5</v>
      </c>
    </row>
    <row r="68" spans="1:2" x14ac:dyDescent="0.25">
      <c r="A68" s="9">
        <v>234</v>
      </c>
      <c r="B68" s="10">
        <f>IFERROR(VLOOKUP(A68,precios!$A$2:$B$6,2),0)</f>
        <v>44.5</v>
      </c>
    </row>
    <row r="69" spans="1:2" x14ac:dyDescent="0.25">
      <c r="A69" s="9">
        <v>271</v>
      </c>
      <c r="B69" s="10">
        <f>IFERROR(VLOOKUP(A69,precios!$A$2:$B$6,2),0)</f>
        <v>44.5</v>
      </c>
    </row>
    <row r="70" spans="1:2" x14ac:dyDescent="0.25">
      <c r="A70" s="9">
        <v>260</v>
      </c>
      <c r="B70" s="10">
        <f>IFERROR(VLOOKUP(A70,precios!$A$2:$B$6,2),0)</f>
        <v>44.5</v>
      </c>
    </row>
    <row r="71" spans="1:2" x14ac:dyDescent="0.25">
      <c r="A71" s="9">
        <v>283</v>
      </c>
      <c r="B71" s="10">
        <f>IFERROR(VLOOKUP(A71,precios!$A$2:$B$6,2),0)</f>
        <v>44.5</v>
      </c>
    </row>
    <row r="72" spans="1:2" x14ac:dyDescent="0.25">
      <c r="A72" s="9">
        <v>250</v>
      </c>
      <c r="B72" s="10">
        <f>IFERROR(VLOOKUP(A72,precios!$A$2:$B$6,2),0)</f>
        <v>44.5</v>
      </c>
    </row>
    <row r="73" spans="1:2" x14ac:dyDescent="0.25">
      <c r="A73" s="9">
        <v>285</v>
      </c>
      <c r="B73" s="10">
        <f>IFERROR(VLOOKUP(A73,precios!$A$2:$B$6,2),0)</f>
        <v>44.5</v>
      </c>
    </row>
    <row r="74" spans="1:2" x14ac:dyDescent="0.25">
      <c r="A74" s="9">
        <v>273</v>
      </c>
      <c r="B74" s="10">
        <f>IFERROR(VLOOKUP(A74,precios!$A$2:$B$6,2),0)</f>
        <v>44.5</v>
      </c>
    </row>
    <row r="75" spans="1:2" x14ac:dyDescent="0.25">
      <c r="A75" s="9">
        <v>272</v>
      </c>
      <c r="B75" s="10">
        <f>IFERROR(VLOOKUP(A75,precios!$A$2:$B$6,2),0)</f>
        <v>44.5</v>
      </c>
    </row>
    <row r="76" spans="1:2" x14ac:dyDescent="0.25">
      <c r="A76" s="9">
        <v>244</v>
      </c>
      <c r="B76" s="10">
        <f>IFERROR(VLOOKUP(A76,precios!$A$2:$B$6,2),0)</f>
        <v>44.5</v>
      </c>
    </row>
    <row r="77" spans="1:2" x14ac:dyDescent="0.25">
      <c r="A77" s="9">
        <v>248</v>
      </c>
      <c r="B77" s="10">
        <f>IFERROR(VLOOKUP(A77,precios!$A$2:$B$6,2),0)</f>
        <v>44.5</v>
      </c>
    </row>
    <row r="78" spans="1:2" x14ac:dyDescent="0.25">
      <c r="A78" s="9">
        <v>243</v>
      </c>
      <c r="B78" s="10">
        <f>IFERROR(VLOOKUP(A78,precios!$A$2:$B$6,2),0)</f>
        <v>44.5</v>
      </c>
    </row>
    <row r="79" spans="1:2" x14ac:dyDescent="0.25">
      <c r="A79" s="9">
        <v>242</v>
      </c>
      <c r="B79" s="10">
        <f>IFERROR(VLOOKUP(A79,precios!$A$2:$B$6,2),0)</f>
        <v>44.5</v>
      </c>
    </row>
    <row r="80" spans="1:2" x14ac:dyDescent="0.25">
      <c r="A80" s="9">
        <v>250</v>
      </c>
      <c r="B80" s="10">
        <f>IFERROR(VLOOKUP(A80,precios!$A$2:$B$6,2),0)</f>
        <v>44.5</v>
      </c>
    </row>
    <row r="81" spans="1:2" x14ac:dyDescent="0.25">
      <c r="A81" s="9">
        <v>250</v>
      </c>
      <c r="B81" s="10">
        <f>IFERROR(VLOOKUP(A81,precios!$A$2:$B$6,2),0)</f>
        <v>44.5</v>
      </c>
    </row>
    <row r="82" spans="1:2" x14ac:dyDescent="0.25">
      <c r="A82" s="9">
        <v>240</v>
      </c>
      <c r="B82" s="10">
        <f>IFERROR(VLOOKUP(A82,precios!$A$2:$B$6,2),0)</f>
        <v>44.5</v>
      </c>
    </row>
    <row r="83" spans="1:2" x14ac:dyDescent="0.25">
      <c r="A83" s="9">
        <v>238</v>
      </c>
      <c r="B83" s="10">
        <f>IFERROR(VLOOKUP(A83,precios!$A$2:$B$6,2),0)</f>
        <v>44.5</v>
      </c>
    </row>
    <row r="84" spans="1:2" x14ac:dyDescent="0.25">
      <c r="A84" s="9">
        <v>367</v>
      </c>
      <c r="B84" s="10">
        <f>IFERROR(VLOOKUP(A84,precios!$A$2:$B$6,2),0)</f>
        <v>42.5</v>
      </c>
    </row>
  </sheetData>
  <mergeCells count="6">
    <mergeCell ref="F11:H11"/>
    <mergeCell ref="F12:H12"/>
    <mergeCell ref="F13:G13"/>
    <mergeCell ref="H13:I13"/>
    <mergeCell ref="F14:G14"/>
    <mergeCell ref="H14:I14"/>
  </mergeCells>
  <dataValidations disablePrompts="1" count="1">
    <dataValidation type="list" allowBlank="1" showInputMessage="1" showErrorMessage="1" sqref="H1" xr:uid="{00000000-0002-0000-0000-000000000000}">
      <formula1>"SI,NO"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D3" sqref="D3"/>
    </sheetView>
  </sheetViews>
  <sheetFormatPr baseColWidth="10" defaultRowHeight="15" x14ac:dyDescent="0.25"/>
  <cols>
    <col min="2" max="2" width="13.85546875" bestFit="1" customWidth="1"/>
  </cols>
  <sheetData>
    <row r="1" spans="1:5" x14ac:dyDescent="0.25">
      <c r="A1" t="s">
        <v>2</v>
      </c>
      <c r="B1" t="s">
        <v>3</v>
      </c>
      <c r="D1" t="s">
        <v>16</v>
      </c>
      <c r="E1" t="s">
        <v>17</v>
      </c>
    </row>
    <row r="2" spans="1:5" x14ac:dyDescent="0.25">
      <c r="A2">
        <v>100</v>
      </c>
      <c r="B2" s="1">
        <v>45.5</v>
      </c>
      <c r="D2">
        <v>100</v>
      </c>
      <c r="E2" s="1">
        <v>49</v>
      </c>
    </row>
    <row r="3" spans="1:5" x14ac:dyDescent="0.25">
      <c r="A3">
        <v>231</v>
      </c>
      <c r="B3" s="1">
        <v>44.5</v>
      </c>
      <c r="D3">
        <v>301</v>
      </c>
      <c r="E3" s="1">
        <v>48</v>
      </c>
    </row>
    <row r="4" spans="1:5" x14ac:dyDescent="0.25">
      <c r="A4">
        <v>291</v>
      </c>
      <c r="B4" s="1">
        <v>43.5</v>
      </c>
      <c r="D4">
        <v>351</v>
      </c>
      <c r="E4" s="1">
        <v>47</v>
      </c>
    </row>
    <row r="5" spans="1:5" x14ac:dyDescent="0.25">
      <c r="A5">
        <v>341</v>
      </c>
      <c r="B5" s="1">
        <v>42.5</v>
      </c>
      <c r="D5">
        <v>431</v>
      </c>
      <c r="E5" s="1">
        <v>46</v>
      </c>
    </row>
    <row r="6" spans="1:5" x14ac:dyDescent="0.25">
      <c r="A6">
        <v>391</v>
      </c>
      <c r="B6" s="1">
        <v>35.5</v>
      </c>
      <c r="D6">
        <v>451</v>
      </c>
    </row>
    <row r="7" spans="1:5" x14ac:dyDescent="0.25">
      <c r="A7">
        <v>431</v>
      </c>
      <c r="B7" s="1">
        <v>34.5</v>
      </c>
    </row>
    <row r="8" spans="1:5" x14ac:dyDescent="0.25">
      <c r="A8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jaula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3TAUROS</dc:creator>
  <cp:lastModifiedBy>3TAUROS</cp:lastModifiedBy>
  <dcterms:created xsi:type="dcterms:W3CDTF">2017-07-31T21:25:46Z</dcterms:created>
  <dcterms:modified xsi:type="dcterms:W3CDTF">2018-04-27T16:45:37Z</dcterms:modified>
</cp:coreProperties>
</file>