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06"/>
  <workbookPr autoCompressPictures="0"/>
  <mc:AlternateContent xmlns:mc="http://schemas.openxmlformats.org/markup-compatibility/2006">
    <mc:Choice Requires="x15">
      <x15ac:absPath xmlns:x15ac="http://schemas.microsoft.com/office/spreadsheetml/2010/11/ac" url="C:\Users\thelo\Desktop\Corsi\GPS\consegna 04 12 23\"/>
    </mc:Choice>
  </mc:AlternateContent>
  <xr:revisionPtr revIDLastSave="351" documentId="13_ncr:1_{76CFE40F-EBEC-462B-ABEB-6DF523C31478}" xr6:coauthVersionLast="47" xr6:coauthVersionMax="47" xr10:uidLastSave="{87DD898F-AFA5-455E-B546-67BC5B1FA53D}"/>
  <bookViews>
    <workbookView xWindow="-110" yWindow="-110" windowWidth="19420" windowHeight="10420" tabRatio="261" firstSheet="1" activeTab="1" xr2:uid="{00000000-000D-0000-FFFF-FFFF00000000}"/>
  </bookViews>
  <sheets>
    <sheet name="definizioni" sheetId="1" r:id="rId1"/>
    <sheet name="tabella" sheetId="3" r:id="rId2"/>
    <sheet name="grafici" sheetId="4" r:id="rId3"/>
  </sheets>
  <definedNames>
    <definedName name="_xlnm.Print_Area" localSheetId="1">tabella!$A$1:$L$17</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7" i="3" l="1"/>
  <c r="O6" i="3"/>
  <c r="O5" i="3"/>
  <c r="O4" i="3"/>
  <c r="M7" i="3"/>
  <c r="M6" i="3"/>
  <c r="M5" i="3"/>
  <c r="M4" i="3"/>
  <c r="K7" i="3"/>
  <c r="K6" i="3"/>
  <c r="K5" i="3"/>
  <c r="K4" i="3"/>
  <c r="K9" i="3"/>
  <c r="K10" i="3"/>
  <c r="K11" i="3"/>
  <c r="K12" i="3"/>
  <c r="K14" i="3"/>
  <c r="K13" i="3" s="1"/>
  <c r="K15" i="3"/>
  <c r="K16" i="3"/>
  <c r="K17" i="3"/>
  <c r="P9" i="3"/>
  <c r="G5" i="3"/>
  <c r="G9" i="3"/>
  <c r="G10" i="3"/>
  <c r="G11" i="3"/>
  <c r="G12" i="3"/>
  <c r="G14" i="3"/>
  <c r="G13" i="3" s="1"/>
  <c r="G15" i="3"/>
  <c r="G16" i="3"/>
  <c r="G17" i="3" s="1"/>
  <c r="F7" i="3"/>
  <c r="F6" i="3"/>
  <c r="D6" i="3"/>
  <c r="D7" i="3"/>
  <c r="C7" i="3"/>
  <c r="C6" i="3"/>
  <c r="F5" i="3"/>
  <c r="J7" i="3"/>
  <c r="J6" i="3"/>
  <c r="J4" i="3"/>
  <c r="D5" i="3"/>
  <c r="E5" i="3"/>
  <c r="E11" i="3"/>
  <c r="E14" i="3"/>
  <c r="E15" i="3"/>
  <c r="C5" i="3"/>
  <c r="J5" i="3"/>
  <c r="B5" i="3"/>
  <c r="B11" i="3" s="1"/>
  <c r="C11" i="3"/>
  <c r="C12" i="3"/>
  <c r="E12" i="3"/>
  <c r="E16" i="3"/>
  <c r="E17" i="3"/>
  <c r="C16" i="3"/>
  <c r="C17" i="3"/>
  <c r="J10" i="3"/>
  <c r="E10" i="3"/>
  <c r="C14" i="3"/>
  <c r="C13" i="3"/>
  <c r="C9" i="3"/>
  <c r="B14" i="3"/>
  <c r="B9" i="3"/>
  <c r="B12" i="3"/>
  <c r="B16" i="3"/>
  <c r="B17" i="3"/>
  <c r="E9" i="3"/>
  <c r="E13" i="3"/>
  <c r="C10" i="3"/>
  <c r="B10" i="3"/>
  <c r="C15" i="3"/>
  <c r="B15" i="3"/>
  <c r="B13" i="3"/>
  <c r="O12" i="3" l="1"/>
  <c r="M12" i="3"/>
  <c r="I5" i="3"/>
  <c r="H5" i="3"/>
  <c r="J11" i="3"/>
  <c r="J12" i="3"/>
  <c r="F11" i="3"/>
  <c r="F14" i="3" s="1"/>
  <c r="F12" i="3"/>
  <c r="F16" i="3" s="1"/>
  <c r="F17" i="3" s="1"/>
  <c r="F9" i="3"/>
  <c r="F10" i="3"/>
  <c r="L4" i="3"/>
  <c r="N4" i="3" s="1"/>
  <c r="Q4" i="3" s="1"/>
  <c r="R4" i="3" s="1"/>
  <c r="L7" i="3"/>
  <c r="N7" i="3" s="1"/>
  <c r="Q7" i="3" s="1"/>
  <c r="N5" i="3"/>
  <c r="N10" i="3"/>
  <c r="D12" i="3"/>
  <c r="D11" i="3"/>
  <c r="D14" i="3" s="1"/>
  <c r="D13" i="3" s="1"/>
  <c r="D10" i="3"/>
  <c r="D9" i="3"/>
  <c r="D15" i="3"/>
  <c r="O9" i="3" l="1"/>
  <c r="O10" i="3"/>
  <c r="O11" i="3"/>
  <c r="M9" i="3"/>
  <c r="M10" i="3"/>
  <c r="M11" i="3"/>
  <c r="M16" i="3" s="1"/>
  <c r="R7" i="3"/>
  <c r="Q5" i="3"/>
  <c r="Q12" i="3"/>
  <c r="H9" i="3"/>
  <c r="H10" i="3"/>
  <c r="H11" i="3"/>
  <c r="H12" i="3"/>
  <c r="H16" i="3" s="1"/>
  <c r="H17" i="3" s="1"/>
  <c r="H14" i="3"/>
  <c r="H13" i="3" s="1"/>
  <c r="H15" i="3"/>
  <c r="I9" i="3"/>
  <c r="I10" i="3"/>
  <c r="I11" i="3"/>
  <c r="I12" i="3"/>
  <c r="I16" i="3" s="1"/>
  <c r="I17" i="3" s="1"/>
  <c r="I14" i="3"/>
  <c r="I13" i="3" s="1"/>
  <c r="I15" i="3"/>
  <c r="N12" i="3"/>
  <c r="S4" i="3"/>
  <c r="T4" i="3" s="1"/>
  <c r="F13" i="3"/>
  <c r="F15" i="3"/>
  <c r="D16" i="3"/>
  <c r="D17" i="3" s="1"/>
  <c r="L5" i="3"/>
  <c r="L10" i="3" s="1"/>
  <c r="L12" i="3"/>
  <c r="L6" i="3"/>
  <c r="J9" i="3"/>
  <c r="J16" i="3"/>
  <c r="J17" i="3"/>
  <c r="J14" i="3"/>
  <c r="J15" i="3"/>
  <c r="J13" i="3"/>
  <c r="O16" i="3" l="1"/>
  <c r="O17" i="3" s="1"/>
  <c r="O14" i="3"/>
  <c r="M17" i="3"/>
  <c r="M14" i="3"/>
  <c r="Q10" i="3"/>
  <c r="S7" i="3"/>
  <c r="R5" i="3"/>
  <c r="R12" i="3"/>
  <c r="N6" i="3"/>
  <c r="Q6" i="3" s="1"/>
  <c r="N9" i="3"/>
  <c r="L9" i="3"/>
  <c r="L11" i="3"/>
  <c r="L16" i="3" s="1"/>
  <c r="L14" i="3"/>
  <c r="L13" i="3"/>
  <c r="L15" i="3"/>
  <c r="L17" i="3"/>
  <c r="O13" i="3" l="1"/>
  <c r="O15" i="3"/>
  <c r="M13" i="3"/>
  <c r="M15" i="3"/>
  <c r="R6" i="3"/>
  <c r="Q11" i="3"/>
  <c r="Q9" i="3"/>
  <c r="R10" i="3"/>
  <c r="T7" i="3"/>
  <c r="S5" i="3"/>
  <c r="S12" i="3"/>
  <c r="N11" i="3"/>
  <c r="P10" i="3"/>
  <c r="P12" i="3"/>
  <c r="N14" i="3"/>
  <c r="N16" i="3"/>
  <c r="N17" i="3" s="1"/>
  <c r="Q14" i="3" l="1"/>
  <c r="Q16" i="3"/>
  <c r="Q17" i="3" s="1"/>
  <c r="P11" i="3"/>
  <c r="S10" i="3"/>
  <c r="T5" i="3"/>
  <c r="T12" i="3"/>
  <c r="N15" i="3"/>
  <c r="N13" i="3"/>
  <c r="Q15" i="3" l="1"/>
  <c r="Q13" i="3"/>
  <c r="T10" i="3"/>
  <c r="S6" i="3"/>
  <c r="R11" i="3"/>
  <c r="R9" i="3"/>
  <c r="P14" i="3"/>
  <c r="P16" i="3"/>
  <c r="P17" i="3" s="1"/>
  <c r="P15" i="3" l="1"/>
  <c r="P13" i="3"/>
  <c r="R14" i="3"/>
  <c r="R16" i="3"/>
  <c r="R17" i="3" s="1"/>
  <c r="T6" i="3"/>
  <c r="S11" i="3"/>
  <c r="S9" i="3"/>
  <c r="S14" i="3" l="1"/>
  <c r="S16" i="3"/>
  <c r="S17" i="3" s="1"/>
  <c r="T11" i="3"/>
  <c r="T9" i="3"/>
  <c r="R15" i="3"/>
  <c r="R13" i="3"/>
  <c r="T14" i="3" l="1"/>
  <c r="T16" i="3"/>
  <c r="T17" i="3" s="1"/>
  <c r="S15" i="3"/>
  <c r="S13" i="3"/>
  <c r="T15" i="3" l="1"/>
  <c r="T13" i="3"/>
</calcChain>
</file>

<file path=xl/sharedStrings.xml><?xml version="1.0" encoding="utf-8"?>
<sst xmlns="http://schemas.openxmlformats.org/spreadsheetml/2006/main" count="109" uniqueCount="105">
  <si>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</si>
  <si>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</si>
  <si>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</si>
  <si>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</si>
  <si>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</si>
  <si>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</si>
  <si>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</si>
  <si>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</si>
  <si>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</si>
  <si>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</si>
  <si>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</si>
  <si>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</si>
  <si>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</si>
  <si>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Earned Value</t>
  </si>
  <si>
    <t>EV</t>
  </si>
  <si>
    <t xml:space="preserve">Amount of budget earned so far based on physical work accomplished, without reference to actual costs. </t>
  </si>
  <si>
    <t>Budget at Completion (BAC) * Percent Complete</t>
  </si>
  <si>
    <t>Planned Value</t>
  </si>
  <si>
    <t>PV</t>
  </si>
  <si>
    <t>The budget for the physical work scheduled to be completed by the end of the time period.</t>
  </si>
  <si>
    <t>Cost Variance</t>
  </si>
  <si>
    <t>CV</t>
  </si>
  <si>
    <t>Measure of cost overrun. The difference between the budget for the work actually done so far and the actual costs so far.</t>
  </si>
  <si>
    <t>Earned Value–Actual Cost
EV–AC</t>
  </si>
  <si>
    <t>Cost Performance Index</t>
  </si>
  <si>
    <t>CPI</t>
  </si>
  <si>
    <t>Cost efficiency ratio. A CPI of 1.00 means that the costs so far are exactly the same as the budget for work actually done so far.</t>
  </si>
  <si>
    <t>Earned Value/
Actual Cost
EV/AC</t>
  </si>
  <si>
    <t>Schedule Variance</t>
  </si>
  <si>
    <t>SV</t>
  </si>
  <si>
    <t>Measure of schedule slippage. The difference between the budget for the work actually done so far and the budgeted cost of work scheduled.</t>
  </si>
  <si>
    <t>Earned Value–Planned Value
EV–PV</t>
  </si>
  <si>
    <t>Schedule Performance Index</t>
  </si>
  <si>
    <t>SPI</t>
  </si>
  <si>
    <t>The schedule efficiency ratio. An SPI of 1.0 means that the project is exactly on schedule.</t>
  </si>
  <si>
    <t>Earned Value/Planned Value
EV/PV</t>
  </si>
  <si>
    <t>Estimate to Completion</t>
  </si>
  <si>
    <t>ETC</t>
  </si>
  <si>
    <t>The expected additional cost to complete.</t>
  </si>
  <si>
    <t>Estimate at Completion–Actual Cost
EAC–AC</t>
  </si>
  <si>
    <t>Estimate at Completion</t>
  </si>
  <si>
    <t>EAC</t>
  </si>
  <si>
    <t>Expected total cost based on the current cost efficiency ratio.</t>
  </si>
  <si>
    <t>Budget at Completion/Cost Performance Index
BAC/CPI</t>
  </si>
  <si>
    <t>Variance at Completion</t>
  </si>
  <si>
    <t>VAC</t>
  </si>
  <si>
    <t>Estimated cost overrun at the end of project.</t>
  </si>
  <si>
    <t>Budget at Completion–Estimate at Completion
BAC–EAC</t>
  </si>
  <si>
    <t>Status</t>
  </si>
  <si>
    <t>Average of CPI &amp; SPI.</t>
  </si>
  <si>
    <t>(Cost Performance Index+Schedule Performance Index)/2
(CPI+SPI)/2</t>
  </si>
  <si>
    <t>GREEN = On track</t>
  </si>
  <si>
    <t>&gt;1.0</t>
  </si>
  <si>
    <t>YELLOW = Slightly behind schedule or budget</t>
  </si>
  <si>
    <t>&gt;0.85</t>
  </si>
  <si>
    <t>RED = Needs immediate attention</t>
  </si>
  <si>
    <t>&gt;0.65</t>
  </si>
  <si>
    <t>BLACK = Killed or Restore</t>
  </si>
  <si>
    <t>&lt;0.65</t>
  </si>
  <si>
    <t>GreenTrails - Data Stato: 07/02/2024</t>
  </si>
  <si>
    <t>RAD</t>
  </si>
  <si>
    <t>SDD</t>
  </si>
  <si>
    <t>Testing</t>
  </si>
  <si>
    <t>Meetings</t>
  </si>
  <si>
    <t>ODD</t>
  </si>
  <si>
    <t>Training e Implementazione</t>
  </si>
  <si>
    <t>Manuali</t>
  </si>
  <si>
    <t>Project Management</t>
  </si>
  <si>
    <t>RAD + SDD</t>
  </si>
  <si>
    <t>RAD+SDD+Meetings [SR1]</t>
  </si>
  <si>
    <t>RAD+SDD+Meetings</t>
  </si>
  <si>
    <t>RAD+SDD+Meetings+Testing [Consegna Intermedia]</t>
  </si>
  <si>
    <t>RAD+SDD+Meetings+Testing</t>
  </si>
  <si>
    <t>RAD+SDD+Meetings+Testing+ODD [SR2]</t>
  </si>
  <si>
    <t>RAD+SDD+Meetings+Testing+ODD [SR3]</t>
  </si>
  <si>
    <t>RAD+SDD+Meetings+Testing+ODD</t>
  </si>
  <si>
    <t>RAD+SDD+Meetings+Testing+ODD+TrainingeImplementazione</t>
  </si>
  <si>
    <t>RAD+SDD+Meetings+Testing+ODD+TrainingeImplementazione+Manuali</t>
  </si>
  <si>
    <t>RAD+SDD+Meetings+Testing+ODD+TrainingeImplementazione+Manuali+PM [SR Finale]</t>
  </si>
  <si>
    <t>02/12/2023</t>
  </si>
  <si>
    <t>09/12/2012</t>
  </si>
  <si>
    <t>03/02/2024</t>
  </si>
  <si>
    <t>18/12/2023</t>
  </si>
  <si>
    <t>06/01/2024</t>
  </si>
  <si>
    <t>30/01/2024</t>
  </si>
  <si>
    <t>06/02/2024</t>
  </si>
  <si>
    <t>06/02/20242</t>
  </si>
  <si>
    <t>09/12/2023</t>
  </si>
  <si>
    <t>04/12/2023</t>
  </si>
  <si>
    <t>21/12/2023</t>
  </si>
  <si>
    <t>13/12/2024</t>
  </si>
  <si>
    <t>Budget at Completion (BAC)</t>
  </si>
  <si>
    <t>Earned Value (EV)</t>
  </si>
  <si>
    <t>Actual Cost (AC)</t>
  </si>
  <si>
    <t>Planned Value (PV)</t>
  </si>
  <si>
    <t>%Progresso attuale/previsto</t>
  </si>
  <si>
    <t>Cost Variance (CV)</t>
  </si>
  <si>
    <t>Schedule Variance (SV)</t>
  </si>
  <si>
    <t>Cost Performance Index (CPI)</t>
  </si>
  <si>
    <t>Schedule Performance Index (SPI)</t>
  </si>
  <si>
    <t>Estimate to Completion (ETC)</t>
  </si>
  <si>
    <t>Estimate at Completion (EAC)</t>
  </si>
  <si>
    <t>Variance at Completion (VAC)</t>
  </si>
  <si>
    <t>Average Index</t>
  </si>
  <si>
    <t>Stato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</si>
</sst>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Red]\(0\)"/>
    <numFmt numFmtId="165" formatCode="&quot;€&quot;\ #,##0.00"/>
    <numFmt numFmtId="166" formatCode="[$€-2]\ #,##0.00;[Red]\-[$€-2]\ #,##0.00"/>
  </numFmts>
  <fonts count="17">
    <font>
      <sz val="10"/>
      <name val="Arial"/>
    </font>
    <font>
      <sz val="10"/>
      <name val="Arial"/>
    </font>
    <font>
      <sz val="8"/>
      <name val="Arial"/>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b/>
      <sz val="14"/>
      <color rgb="FFC00000"/>
      <name val="Calibri"/>
      <family val="2"/>
      <scheme val="minor"/>
    </font>
    <font>
      <u/>
      <sz val="10"/>
      <color theme="10"/>
      <name val="Arial"/>
    </font>
    <font>
      <u/>
      <sz val="10"/>
      <color theme="11"/>
      <name val="Arial"/>
    </font>
    <font>
      <b/>
      <sz val="11"/>
      <color rgb="FF000000"/>
      <name val="Calibri"/>
      <family val="2"/>
    </font>
    <font>
      <b/>
      <sz val="11"/>
      <color theme="3"/>
      <name val="Calibri"/>
      <scheme val="minor"/>
    </font>
  </fonts>
  <fills count="11">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indexed="47"/>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
      <left style="thin">
        <color rgb="FFB1BBCC"/>
      </left>
      <right style="thin">
        <color rgb="FFB1BBCC"/>
      </right>
      <top style="thin">
        <color rgb="FFB1BBCC"/>
      </top>
      <bottom style="thin">
        <color rgb="FFB1BBCC"/>
      </bottom>
      <diagonal/>
    </border>
  </borders>
  <cellStyleXfs count="7">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5" borderId="17"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43" fontId="1" fillId="0" borderId="0" applyFont="0" applyFill="0" applyBorder="0" applyAlignment="0" applyProtection="0"/>
  </cellStyleXfs>
  <cellXfs count="73">
    <xf numFmtId="0" fontId="0" fillId="0" borderId="0" xfId="0"/>
    <xf numFmtId="0" fontId="0" fillId="0" borderId="0" xfId="0" applyAlignment="1">
      <alignment horizontal="center"/>
    </xf>
    <xf numFmtId="9" fontId="0" fillId="0" borderId="0" xfId="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4" fillId="0" borderId="0" xfId="0" applyFont="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ill="1" applyBorder="1" applyAlignment="1" applyProtection="1">
      <alignment horizontal="left" wrapText="1"/>
      <protection locked="0"/>
    </xf>
    <xf numFmtId="165" fontId="7" fillId="0" borderId="1" xfId="2" applyNumberFormat="1" applyBorder="1" applyAlignment="1" applyProtection="1">
      <alignment horizontal="right"/>
      <protection locked="0"/>
    </xf>
    <xf numFmtId="165" fontId="7" fillId="0" borderId="1" xfId="2" applyNumberFormat="1" applyFill="1" applyBorder="1" applyAlignment="1" applyProtection="1">
      <alignment horizontal="right"/>
      <protection locked="0"/>
    </xf>
    <xf numFmtId="0" fontId="7" fillId="0" borderId="6" xfId="2" applyFill="1" applyBorder="1" applyAlignment="1" applyProtection="1">
      <alignment horizontal="left" wrapText="1"/>
      <protection locked="0"/>
    </xf>
    <xf numFmtId="164" fontId="7" fillId="0" borderId="6" xfId="2" applyNumberFormat="1" applyFill="1" applyBorder="1" applyAlignment="1" applyProtection="1">
      <alignment horizontal="left" wrapText="1"/>
      <protection locked="0"/>
    </xf>
    <xf numFmtId="2" fontId="7" fillId="0" borderId="6" xfId="2" applyNumberFormat="1" applyFill="1" applyBorder="1" applyAlignment="1" applyProtection="1">
      <alignment horizontal="left" wrapText="1"/>
      <protection locked="0"/>
    </xf>
    <xf numFmtId="2" fontId="7" fillId="0" borderId="7" xfId="2" applyNumberFormat="1" applyFill="1" applyBorder="1" applyAlignment="1" applyProtection="1">
      <alignment horizontal="left" wrapText="1"/>
      <protection locked="0"/>
    </xf>
    <xf numFmtId="164" fontId="7" fillId="0" borderId="7" xfId="2" applyNumberFormat="1" applyFill="1" applyBorder="1" applyAlignment="1" applyProtection="1">
      <alignment horizontal="left" wrapText="1"/>
      <protection locked="0"/>
    </xf>
    <xf numFmtId="2" fontId="7" fillId="0" borderId="0" xfId="2" applyNumberFormat="1" applyFill="1" applyBorder="1" applyAlignment="1" applyProtection="1">
      <alignment horizontal="left" wrapText="1"/>
      <protection locked="0"/>
    </xf>
    <xf numFmtId="2" fontId="7" fillId="2" borderId="1" xfId="2" applyNumberFormat="1" applyFill="1" applyBorder="1" applyAlignment="1" applyProtection="1">
      <alignment horizontal="center"/>
    </xf>
    <xf numFmtId="164" fontId="7" fillId="0" borderId="8" xfId="2" applyNumberFormat="1" applyFill="1" applyBorder="1" applyAlignment="1" applyProtection="1">
      <alignment horizontal="left" vertical="center" wrapText="1"/>
      <protection locked="0"/>
    </xf>
    <xf numFmtId="164" fontId="7" fillId="6" borderId="1" xfId="2" applyNumberFormat="1" applyFill="1" applyBorder="1" applyAlignment="1" applyProtection="1">
      <alignment horizontal="center" vertical="center"/>
    </xf>
    <xf numFmtId="164" fontId="7" fillId="4" borderId="1" xfId="2" applyNumberFormat="1" applyFill="1" applyBorder="1" applyAlignment="1" applyProtection="1">
      <alignment horizontal="center" vertical="center"/>
    </xf>
    <xf numFmtId="164" fontId="7" fillId="3" borderId="1" xfId="2" applyNumberForma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9" fillId="9" borderId="2" xfId="0" applyFont="1" applyFill="1" applyBorder="1" applyAlignment="1">
      <alignment wrapText="1"/>
    </xf>
    <xf numFmtId="0" fontId="11" fillId="0" borderId="0" xfId="0" applyFont="1" applyAlignment="1" applyProtection="1">
      <alignment horizontal="center" vertical="center"/>
      <protection locked="0"/>
    </xf>
    <xf numFmtId="0" fontId="12" fillId="0" borderId="0" xfId="0" applyFont="1" applyProtection="1">
      <protection locked="0"/>
    </xf>
    <xf numFmtId="9" fontId="8" fillId="5" borderId="17" xfId="3" applyNumberFormat="1" applyAlignment="1" applyProtection="1">
      <alignment horizontal="right"/>
      <protection locked="0"/>
    </xf>
    <xf numFmtId="165" fontId="8" fillId="5" borderId="17" xfId="3" applyNumberFormat="1" applyAlignment="1" applyProtection="1">
      <alignment horizontal="right"/>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ill="1" applyBorder="1" applyAlignment="1" applyProtection="1">
      <alignment horizontal="center"/>
      <protection locked="0"/>
    </xf>
    <xf numFmtId="166" fontId="15" fillId="0" borderId="18" xfId="0" applyNumberFormat="1" applyFont="1" applyBorder="1" applyAlignment="1">
      <alignment vertical="center"/>
    </xf>
    <xf numFmtId="43" fontId="8" fillId="5" borderId="17" xfId="6" applyFont="1" applyFill="1" applyBorder="1" applyAlignment="1" applyProtection="1">
      <alignment horizontal="right"/>
    </xf>
    <xf numFmtId="0" fontId="12" fillId="0" borderId="0" xfId="0" applyFont="1" applyAlignment="1" applyProtection="1">
      <alignment horizontal="left"/>
      <protection locked="0"/>
    </xf>
    <xf numFmtId="165" fontId="16" fillId="10" borderId="1" xfId="2" applyNumberFormat="1" applyFont="1" applyFill="1" applyBorder="1" applyAlignment="1" applyProtection="1">
      <alignment horizontal="right"/>
    </xf>
    <xf numFmtId="165" fontId="16" fillId="10" borderId="17" xfId="2" applyNumberFormat="1" applyFont="1" applyFill="1" applyBorder="1" applyAlignment="1" applyProtection="1">
      <alignment horizontal="right"/>
    </xf>
    <xf numFmtId="14" fontId="16" fillId="0" borderId="16" xfId="2" applyNumberFormat="1" applyFont="1" applyFill="1" applyBorder="1" applyAlignment="1" applyProtection="1">
      <alignment horizontal="center"/>
      <protection locked="0"/>
    </xf>
    <xf numFmtId="9" fontId="16" fillId="10" borderId="17" xfId="2" applyNumberFormat="1" applyFont="1" applyFill="1" applyBorder="1" applyAlignment="1" applyProtection="1">
      <alignment horizontal="right"/>
    </xf>
    <xf numFmtId="0" fontId="6" fillId="0" borderId="0" xfId="0" applyFont="1" applyAlignment="1">
      <alignment horizontal="left" vertical="center" wrapText="1"/>
    </xf>
    <xf numFmtId="0" fontId="5" fillId="0" borderId="0" xfId="0" applyFont="1" applyAlignment="1" applyProtection="1">
      <alignment horizontal="left"/>
      <protection locked="0"/>
    </xf>
    <xf numFmtId="0" fontId="12" fillId="0" borderId="0" xfId="0" applyFont="1" applyAlignment="1" applyProtection="1">
      <alignment horizontal="left"/>
      <protection locked="0"/>
    </xf>
  </cellXfs>
  <cellStyles count="7">
    <cellStyle name="Collegamento ipertestuale" xfId="4" builtinId="8" hidden="1"/>
    <cellStyle name="Collegamento ipertestuale visitato" xfId="5" builtinId="9" hidden="1"/>
    <cellStyle name="Migliaia" xfId="6" builtinId="3"/>
    <cellStyle name="Normale" xfId="0" builtinId="0"/>
    <cellStyle name="Output" xfId="3" builtinId="21"/>
    <cellStyle name="Percentuale" xfId="1" builtinId="5"/>
    <cellStyle name="Titolo 4" xfId="2" builtinId="19"/>
  </cellStyles>
  <dxfs count="22">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165" formatCode="&quot;€&quot;\ #,##0.00"/>
      <alignment horizontal="right" vertical="bottom" textRotation="0" wrapText="0" indent="0" justifyLastLine="0" shrinkToFit="0" readingOrder="0"/>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165" formatCode="&quot;€&quot;\ #,##0.00"/>
      <alignment horizontal="right" vertical="bottom" textRotation="0" wrapText="0" indent="0" justifyLastLine="0" shrinkToFit="0" readingOrder="0"/>
      <protection locked="1" hidden="0"/>
    </dxf>
    <dxf>
      <numFmt numFmtId="165" formatCode="&quot;€&quot;\ #,##0.00"/>
      <alignment horizontal="right" vertical="bottom" textRotation="0" wrapText="0" indent="0" justifyLastLine="0" shrinkToFit="0" readingOrder="0"/>
      <protection locked="1" hidden="0"/>
    </dxf>
    <dxf>
      <numFmt numFmtId="165" formatCode="&quot;€&quot;\ #,##0.00"/>
      <alignment horizontal="right" vertical="bottom" textRotation="0" wrapText="0" indent="0" justifyLastLine="0" shrinkToFit="0" readingOrder="0"/>
      <protection locked="1" hidden="0"/>
    </dxf>
    <dxf>
      <numFmt numFmtId="165" formatCode="&quot;€&quot;\ #,##0.00"/>
      <alignment horizontal="right" vertical="bottom" textRotation="0" wrapText="0" indent="0" justifyLastLine="0" shrinkToFit="0" readingOrder="0"/>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165" formatCode="&quot;€&quot;\ #,##0.00"/>
      <alignment horizontal="right" vertical="bottom" textRotation="0" wrapText="0" indent="0" justifyLastLine="0" shrinkToFit="0" readingOrder="0"/>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tabella!$B$3:$L$3</c:f>
              <c:strCache>
                <c:ptCount val="11"/>
                <c:pt idx="0">
                  <c:v>02/12/2023</c:v>
                </c:pt>
                <c:pt idx="1">
                  <c:v>09/12/2012</c:v>
                </c:pt>
                <c:pt idx="2">
                  <c:v>03/02/2024</c:v>
                </c:pt>
                <c:pt idx="3">
                  <c:v>18/12/2023</c:v>
                </c:pt>
                <c:pt idx="4">
                  <c:v>06/01/2024</c:v>
                </c:pt>
                <c:pt idx="5">
                  <c:v>30/01/2024</c:v>
                </c:pt>
                <c:pt idx="6">
                  <c:v>06/02/2024</c:v>
                </c:pt>
                <c:pt idx="7">
                  <c:v>06/02/20242</c:v>
                </c:pt>
                <c:pt idx="8">
                  <c:v>09/12/2023</c:v>
                </c:pt>
                <c:pt idx="9">
                  <c:v>04/12/2023</c:v>
                </c:pt>
                <c:pt idx="10">
                  <c:v>21/12/2023</c:v>
                </c:pt>
              </c:strCache>
            </c:strRef>
          </c:cat>
          <c:val>
            <c:numRef>
              <c:f>tabella!$B$11:$L$11</c:f>
              <c:numCache>
                <c:formatCode>_(* #,##0.00_);_(* \(#,##0.00\);_(* "-"??_);_(@_)</c:formatCode>
                <c:ptCount val="11"/>
                <c:pt idx="0">
                  <c:v>0.98794299024551324</c:v>
                </c:pt>
                <c:pt idx="1">
                  <c:v>1.0099009900990099</c:v>
                </c:pt>
                <c:pt idx="2">
                  <c:v>0.92307692307692313</c:v>
                </c:pt>
                <c:pt idx="3">
                  <c:v>1.0095087163232963</c:v>
                </c:pt>
                <c:pt idx="4">
                  <c:v>0.95867768595041325</c:v>
                </c:pt>
                <c:pt idx="5">
                  <c:v>1.1076923076923078</c:v>
                </c:pt>
                <c:pt idx="6">
                  <c:v>1.1428571428571428</c:v>
                </c:pt>
                <c:pt idx="7">
                  <c:v>1</c:v>
                </c:pt>
                <c:pt idx="8" formatCode="&quot;€&quot;\ #,##0.00">
                  <c:v>0.99777778872732825</c:v>
                </c:pt>
                <c:pt idx="9" formatCode="&quot;€&quot;\ #,##0.00">
                  <c:v>1.004553571127186</c:v>
                </c:pt>
                <c:pt idx="10" formatCode="&quot;€&quot;\ #,##0.00">
                  <c:v>1.0034391244381786</c:v>
                </c:pt>
              </c:numCache>
            </c:numRef>
          </c:val>
          <c:smooth val="0"/>
          <c:extLst>
            <c:ext xmlns:c16="http://schemas.microsoft.com/office/drawing/2014/chart" uri="{C3380CC4-5D6E-409C-BE32-E72D297353CC}">
              <c16:uniqueId val="{00000000-E7CC-4BB4-B277-66BFAA280A5C}"/>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tabella!$B$3:$L$3</c:f>
              <c:strCache>
                <c:ptCount val="11"/>
                <c:pt idx="0">
                  <c:v>02/12/2023</c:v>
                </c:pt>
                <c:pt idx="1">
                  <c:v>09/12/2012</c:v>
                </c:pt>
                <c:pt idx="2">
                  <c:v>03/02/2024</c:v>
                </c:pt>
                <c:pt idx="3">
                  <c:v>18/12/2023</c:v>
                </c:pt>
                <c:pt idx="4">
                  <c:v>06/01/2024</c:v>
                </c:pt>
                <c:pt idx="5">
                  <c:v>30/01/2024</c:v>
                </c:pt>
                <c:pt idx="6">
                  <c:v>06/02/2024</c:v>
                </c:pt>
                <c:pt idx="7">
                  <c:v>06/02/20242</c:v>
                </c:pt>
                <c:pt idx="8">
                  <c:v>09/12/2023</c:v>
                </c:pt>
                <c:pt idx="9">
                  <c:v>04/12/2023</c:v>
                </c:pt>
                <c:pt idx="10">
                  <c:v>21/12/2023</c:v>
                </c:pt>
              </c:strCache>
            </c:strRef>
          </c:cat>
          <c:val>
            <c:numRef>
              <c:f>tabella!$B$12:$L$12</c:f>
              <c:numCache>
                <c:formatCode>_(* #,##0.00_);_(* \(#,##0.00\);_(* "-"??_);_(@_)</c:formatCode>
                <c:ptCount val="11"/>
                <c:pt idx="0">
                  <c:v>1</c:v>
                </c:pt>
                <c:pt idx="1">
                  <c:v>1</c:v>
                </c:pt>
                <c:pt idx="2">
                  <c:v>1</c:v>
                </c:pt>
                <c:pt idx="3">
                  <c:v>1</c:v>
                </c:pt>
                <c:pt idx="4">
                  <c:v>1</c:v>
                </c:pt>
                <c:pt idx="5">
                  <c:v>1</c:v>
                </c:pt>
                <c:pt idx="6">
                  <c:v>1</c:v>
                </c:pt>
                <c:pt idx="7">
                  <c:v>1</c:v>
                </c:pt>
                <c:pt idx="8" formatCode="&quot;€&quot;\ #,##0.00">
                  <c:v>1</c:v>
                </c:pt>
                <c:pt idx="9" formatCode="&quot;€&quot;\ #,##0.00">
                  <c:v>1</c:v>
                </c:pt>
                <c:pt idx="10" formatCode="&quot;€&quot;\ #,##0.00">
                  <c:v>1</c:v>
                </c:pt>
              </c:numCache>
            </c:numRef>
          </c:val>
          <c:smooth val="0"/>
          <c:extLst>
            <c:ext xmlns:c16="http://schemas.microsoft.com/office/drawing/2014/chart" uri="{C3380CC4-5D6E-409C-BE32-E72D297353CC}">
              <c16:uniqueId val="{00000001-E7CC-4BB4-B277-66BFAA280A5C}"/>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_(* #,##0.00_);_(* \(#,##0.00\);_(* &quot;-&quot;??_);_(@_)"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en-US"/>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cat>
            <c:strRef>
              <c:f>tabella!$B$3:$E$3</c:f>
              <c:strCache>
                <c:ptCount val="4"/>
                <c:pt idx="0">
                  <c:v>02/12/2023</c:v>
                </c:pt>
                <c:pt idx="1">
                  <c:v>09/12/2012</c:v>
                </c:pt>
                <c:pt idx="2">
                  <c:v>03/02/2024</c:v>
                </c:pt>
                <c:pt idx="3">
                  <c:v>18/12/2023</c:v>
                </c:pt>
              </c:strCache>
            </c:strRef>
          </c:cat>
          <c:val>
            <c:numRef>
              <c:f>tabella!$B$4:$E$4</c:f>
              <c:numCache>
                <c:formatCode>[$€-2]\ #,##0.00;[Red]\-[$€-2]\ #,##0.00</c:formatCode>
                <c:ptCount val="4"/>
                <c:pt idx="0">
                  <c:v>1107</c:v>
                </c:pt>
                <c:pt idx="1">
                  <c:v>918</c:v>
                </c:pt>
                <c:pt idx="2">
                  <c:v>900</c:v>
                </c:pt>
                <c:pt idx="3">
                  <c:v>1911</c:v>
                </c:pt>
              </c:numCache>
            </c:numRef>
          </c:val>
          <c:smooth val="0"/>
          <c:extLst>
            <c:ext xmlns:c16="http://schemas.microsoft.com/office/drawing/2014/chart" uri="{C3380CC4-5D6E-409C-BE32-E72D297353CC}">
              <c16:uniqueId val="{00000002-4367-44C6-A019-BC9980D45A7D}"/>
            </c:ext>
          </c:extLst>
        </c:ser>
        <c:ser>
          <c:idx val="1"/>
          <c:order val="1"/>
          <c:tx>
            <c:strRef>
              <c:f>tabella!$A$5</c:f>
              <c:strCache>
                <c:ptCount val="1"/>
                <c:pt idx="0">
                  <c:v>Earned Value (EV)</c:v>
                </c:pt>
              </c:strCache>
            </c:strRef>
          </c:tx>
          <c:spPr>
            <a:ln w="12700">
              <a:solidFill>
                <a:srgbClr val="FF0000"/>
              </a:solidFill>
              <a:prstDash val="solid"/>
            </a:ln>
          </c:spPr>
          <c:cat>
            <c:strRef>
              <c:f>tabella!$B$3:$E$3</c:f>
              <c:strCache>
                <c:ptCount val="4"/>
                <c:pt idx="0">
                  <c:v>02/12/2023</c:v>
                </c:pt>
                <c:pt idx="1">
                  <c:v>09/12/2012</c:v>
                </c:pt>
                <c:pt idx="2">
                  <c:v>03/02/2024</c:v>
                </c:pt>
                <c:pt idx="3">
                  <c:v>18/12/2023</c:v>
                </c:pt>
              </c:strCache>
            </c:strRef>
          </c:cat>
          <c:val>
            <c:numRef>
              <c:f>tabella!$B$5:$E$5</c:f>
              <c:numCache>
                <c:formatCode>"€"\ #,##0.00</c:formatCode>
                <c:ptCount val="4"/>
                <c:pt idx="0">
                  <c:v>1107</c:v>
                </c:pt>
                <c:pt idx="1">
                  <c:v>918</c:v>
                </c:pt>
                <c:pt idx="2">
                  <c:v>900</c:v>
                </c:pt>
                <c:pt idx="3">
                  <c:v>1911</c:v>
                </c:pt>
              </c:numCache>
            </c:numRef>
          </c:val>
          <c:smooth val="0"/>
          <c:extLst>
            <c:ext xmlns:c16="http://schemas.microsoft.com/office/drawing/2014/chart" uri="{C3380CC4-5D6E-409C-BE32-E72D297353CC}">
              <c16:uniqueId val="{00000004-4367-44C6-A019-BC9980D45A7D}"/>
            </c:ext>
          </c:extLst>
        </c:ser>
        <c:ser>
          <c:idx val="2"/>
          <c:order val="2"/>
          <c:tx>
            <c:strRef>
              <c:f>tabella!$A$6</c:f>
              <c:strCache>
                <c:ptCount val="1"/>
                <c:pt idx="0">
                  <c:v>Actual Cost (AC)</c:v>
                </c:pt>
              </c:strCache>
            </c:strRef>
          </c:tx>
          <c:spPr>
            <a:ln w="12700">
              <a:solidFill>
                <a:srgbClr val="339933"/>
              </a:solidFill>
              <a:prstDash val="solid"/>
            </a:ln>
          </c:spPr>
          <c:cat>
            <c:strRef>
              <c:f>tabella!$B$3:$E$3</c:f>
              <c:strCache>
                <c:ptCount val="4"/>
                <c:pt idx="0">
                  <c:v>02/12/2023</c:v>
                </c:pt>
                <c:pt idx="1">
                  <c:v>09/12/2012</c:v>
                </c:pt>
                <c:pt idx="2">
                  <c:v>03/02/2024</c:v>
                </c:pt>
                <c:pt idx="3">
                  <c:v>18/12/2023</c:v>
                </c:pt>
              </c:strCache>
            </c:strRef>
          </c:cat>
          <c:val>
            <c:numRef>
              <c:f>tabella!$B$6:$E$6</c:f>
              <c:numCache>
                <c:formatCode>"€"\ #,##0.00</c:formatCode>
                <c:ptCount val="4"/>
                <c:pt idx="0" formatCode="[$€-2]\ #,##0.00;[Red]\-[$€-2]\ #,##0.00">
                  <c:v>1120.51</c:v>
                </c:pt>
                <c:pt idx="1">
                  <c:v>909</c:v>
                </c:pt>
                <c:pt idx="2">
                  <c:v>975</c:v>
                </c:pt>
                <c:pt idx="3">
                  <c:v>1893</c:v>
                </c:pt>
              </c:numCache>
            </c:numRef>
          </c:val>
          <c:smooth val="0"/>
          <c:extLst>
            <c:ext xmlns:c16="http://schemas.microsoft.com/office/drawing/2014/chart" uri="{C3380CC4-5D6E-409C-BE32-E72D297353CC}">
              <c16:uniqueId val="{00000006-4367-44C6-A019-BC9980D45A7D}"/>
            </c:ext>
          </c:extLst>
        </c:ser>
        <c:ser>
          <c:idx val="3"/>
          <c:order val="3"/>
          <c:tx>
            <c:strRef>
              <c:f>tabella!$A$7</c:f>
              <c:strCache>
                <c:ptCount val="1"/>
                <c:pt idx="0">
                  <c:v>Planned Value (PV)</c:v>
                </c:pt>
              </c:strCache>
            </c:strRef>
          </c:tx>
          <c:spPr>
            <a:ln w="12700">
              <a:solidFill>
                <a:srgbClr val="0000FF"/>
              </a:solidFill>
              <a:prstDash val="solid"/>
            </a:ln>
          </c:spPr>
          <c:cat>
            <c:strRef>
              <c:f>tabella!$B$3:$E$3</c:f>
              <c:strCache>
                <c:ptCount val="4"/>
                <c:pt idx="0">
                  <c:v>02/12/2023</c:v>
                </c:pt>
                <c:pt idx="1">
                  <c:v>09/12/2012</c:v>
                </c:pt>
                <c:pt idx="2">
                  <c:v>03/02/2024</c:v>
                </c:pt>
                <c:pt idx="3">
                  <c:v>18/12/2023</c:v>
                </c:pt>
              </c:strCache>
            </c:strRef>
          </c:cat>
          <c:val>
            <c:numRef>
              <c:f>tabella!$B$7:$E$7</c:f>
              <c:numCache>
                <c:formatCode>[$€-2]\ #,##0.00;[Red]\-[$€-2]\ #,##0.00</c:formatCode>
                <c:ptCount val="4"/>
                <c:pt idx="0">
                  <c:v>1107</c:v>
                </c:pt>
                <c:pt idx="1">
                  <c:v>918</c:v>
                </c:pt>
                <c:pt idx="2">
                  <c:v>900</c:v>
                </c:pt>
                <c:pt idx="3">
                  <c:v>1911</c:v>
                </c:pt>
              </c:numCache>
            </c:numRef>
          </c:val>
          <c:smooth val="0"/>
          <c:extLst>
            <c:ext xmlns:c16="http://schemas.microsoft.com/office/drawing/2014/chart" uri="{C3380CC4-5D6E-409C-BE32-E72D297353CC}">
              <c16:uniqueId val="{00000008-4367-44C6-A019-BC9980D45A7D}"/>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en-US"/>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2]\ #,##0.00;[Red]\-[$€-2]\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n-US"/>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tabella!$B$3:$L$3</c:f>
              <c:strCache>
                <c:ptCount val="11"/>
                <c:pt idx="0">
                  <c:v>02/12/2023</c:v>
                </c:pt>
                <c:pt idx="1">
                  <c:v>09/12/2012</c:v>
                </c:pt>
                <c:pt idx="2">
                  <c:v>03/02/2024</c:v>
                </c:pt>
                <c:pt idx="3">
                  <c:v>18/12/2023</c:v>
                </c:pt>
                <c:pt idx="4">
                  <c:v>06/01/2024</c:v>
                </c:pt>
                <c:pt idx="5">
                  <c:v>30/01/2024</c:v>
                </c:pt>
                <c:pt idx="6">
                  <c:v>06/02/2024</c:v>
                </c:pt>
                <c:pt idx="7">
                  <c:v>06/02/20242</c:v>
                </c:pt>
                <c:pt idx="8">
                  <c:v>09/12/2023</c:v>
                </c:pt>
                <c:pt idx="9">
                  <c:v>04/12/2023</c:v>
                </c:pt>
                <c:pt idx="10">
                  <c:v>21/12/2023</c:v>
                </c:pt>
              </c:strCache>
            </c:strRef>
          </c:cat>
          <c:val>
            <c:numRef>
              <c:f>tabella!$B$9:$L$9</c:f>
              <c:numCache>
                <c:formatCode>"€"\ #,##0.00</c:formatCode>
                <c:ptCount val="11"/>
                <c:pt idx="0">
                  <c:v>-13.509999999999991</c:v>
                </c:pt>
                <c:pt idx="1">
                  <c:v>9</c:v>
                </c:pt>
                <c:pt idx="2">
                  <c:v>-75</c:v>
                </c:pt>
                <c:pt idx="3">
                  <c:v>18</c:v>
                </c:pt>
                <c:pt idx="4">
                  <c:v>-22.5</c:v>
                </c:pt>
                <c:pt idx="5">
                  <c:v>189</c:v>
                </c:pt>
                <c:pt idx="6">
                  <c:v>40.5</c:v>
                </c:pt>
                <c:pt idx="7">
                  <c:v>0</c:v>
                </c:pt>
                <c:pt idx="8">
                  <c:v>-4.5099999999999909</c:v>
                </c:pt>
                <c:pt idx="9">
                  <c:v>13.489999999999782</c:v>
                </c:pt>
                <c:pt idx="10">
                  <c:v>13.489999999999782</c:v>
                </c:pt>
              </c:numCache>
            </c:numRef>
          </c:val>
          <c:smooth val="0"/>
          <c:extLst>
            <c:ext xmlns:c16="http://schemas.microsoft.com/office/drawing/2014/chart" uri="{C3380CC4-5D6E-409C-BE32-E72D297353CC}">
              <c16:uniqueId val="{00000000-AC13-4994-977C-8C8793E6A724}"/>
            </c:ext>
          </c:extLst>
        </c:ser>
        <c:ser>
          <c:idx val="1"/>
          <c:order val="1"/>
          <c:tx>
            <c:strRef>
              <c:f>tabella!$A$10</c:f>
              <c:strCache>
                <c:ptCount val="1"/>
                <c:pt idx="0">
                  <c:v>Schedule Variance (SV)</c:v>
                </c:pt>
              </c:strCache>
            </c:strRef>
          </c:tx>
          <c:cat>
            <c:strRef>
              <c:f>tabella!$B$3:$L$3</c:f>
              <c:strCache>
                <c:ptCount val="11"/>
                <c:pt idx="0">
                  <c:v>02/12/2023</c:v>
                </c:pt>
                <c:pt idx="1">
                  <c:v>09/12/2012</c:v>
                </c:pt>
                <c:pt idx="2">
                  <c:v>03/02/2024</c:v>
                </c:pt>
                <c:pt idx="3">
                  <c:v>18/12/2023</c:v>
                </c:pt>
                <c:pt idx="4">
                  <c:v>06/01/2024</c:v>
                </c:pt>
                <c:pt idx="5">
                  <c:v>30/01/2024</c:v>
                </c:pt>
                <c:pt idx="6">
                  <c:v>06/02/2024</c:v>
                </c:pt>
                <c:pt idx="7">
                  <c:v>06/02/20242</c:v>
                </c:pt>
                <c:pt idx="8">
                  <c:v>09/12/2023</c:v>
                </c:pt>
                <c:pt idx="9">
                  <c:v>04/12/2023</c:v>
                </c:pt>
                <c:pt idx="10">
                  <c:v>21/12/2023</c:v>
                </c:pt>
              </c:strCache>
            </c:strRef>
          </c:cat>
          <c:val>
            <c:numRef>
              <c:f>tabella!$B$10:$L$10</c:f>
              <c:numCache>
                <c:formatCode>"€"\ #,##0.00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AC13-4994-977C-8C8793E6A724}"/>
            </c:ext>
          </c:extLst>
        </c:ser>
        <c:ser>
          <c:idx val="2"/>
          <c:order val="2"/>
          <c:tx>
            <c:strRef>
              <c:f>tabella!$A$15</c:f>
              <c:strCache>
                <c:ptCount val="1"/>
                <c:pt idx="0">
                  <c:v>Variance at Completion (VAC)</c:v>
                </c:pt>
              </c:strCache>
            </c:strRef>
          </c:tx>
          <c:cat>
            <c:strRef>
              <c:f>tabella!$B$3:$L$3</c:f>
              <c:strCache>
                <c:ptCount val="11"/>
                <c:pt idx="0">
                  <c:v>02/12/2023</c:v>
                </c:pt>
                <c:pt idx="1">
                  <c:v>09/12/2012</c:v>
                </c:pt>
                <c:pt idx="2">
                  <c:v>03/02/2024</c:v>
                </c:pt>
                <c:pt idx="3">
                  <c:v>18/12/2023</c:v>
                </c:pt>
                <c:pt idx="4">
                  <c:v>06/01/2024</c:v>
                </c:pt>
                <c:pt idx="5">
                  <c:v>30/01/2024</c:v>
                </c:pt>
                <c:pt idx="6">
                  <c:v>06/02/2024</c:v>
                </c:pt>
                <c:pt idx="7">
                  <c:v>06/02/20242</c:v>
                </c:pt>
                <c:pt idx="8">
                  <c:v>09/12/2023</c:v>
                </c:pt>
                <c:pt idx="9">
                  <c:v>04/12/2023</c:v>
                </c:pt>
                <c:pt idx="10">
                  <c:v>21/12/2023</c:v>
                </c:pt>
              </c:strCache>
            </c:strRef>
          </c:cat>
          <c:val>
            <c:numRef>
              <c:f>tabella!$B$15:$L$15</c:f>
              <c:numCache>
                <c:formatCode>"€"\ #,##0.00</c:formatCode>
                <c:ptCount val="11"/>
                <c:pt idx="0">
                  <c:v>-13.509999999999991</c:v>
                </c:pt>
                <c:pt idx="1">
                  <c:v>9</c:v>
                </c:pt>
                <c:pt idx="2">
                  <c:v>-75</c:v>
                </c:pt>
                <c:pt idx="3">
                  <c:v>18</c:v>
                </c:pt>
                <c:pt idx="4">
                  <c:v>-22.5</c:v>
                </c:pt>
                <c:pt idx="5">
                  <c:v>189</c:v>
                </c:pt>
                <c:pt idx="6">
                  <c:v>40.5</c:v>
                </c:pt>
                <c:pt idx="7">
                  <c:v>0</c:v>
                </c:pt>
                <c:pt idx="8">
                  <c:v>-4.5099999999999909</c:v>
                </c:pt>
                <c:pt idx="9">
                  <c:v>16.372943548386957</c:v>
                </c:pt>
                <c:pt idx="10">
                  <c:v>13.490000000000236</c:v>
                </c:pt>
              </c:numCache>
            </c:numRef>
          </c:val>
          <c:smooth val="0"/>
          <c:extLst>
            <c:ext xmlns:c16="http://schemas.microsoft.com/office/drawing/2014/chart" uri="{C3380CC4-5D6E-409C-BE32-E72D297353CC}">
              <c16:uniqueId val="{00000002-AC13-4994-977C-8C8793E6A724}"/>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 uri="{147F2762-F138-4A5C-976F-8EAC2B608ADB}">
              <a16:predDERef xmlns:a16="http://schemas.microsoft.com/office/drawing/2014/main" pre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M17" totalsRowShown="0" headerRowDxfId="15" dataDxfId="14" tableBorderDxfId="13" headerRowCellStyle="Titolo 4" dataCellStyle="Titolo 4">
  <autoFilter ref="A3:M17" xr:uid="{00000000-0009-0000-0100-000001000000}"/>
  <tableColumns count="13">
    <tableColumn id="1" xr3:uid="{00000000-0010-0000-0000-000001000000}" name="Metric" dataDxfId="12" dataCellStyle="Titolo 4"/>
    <tableColumn id="2" xr3:uid="{00000000-0010-0000-0000-000002000000}" name="02/12/2023" dataDxfId="11" dataCellStyle="Titolo 4"/>
    <tableColumn id="3" xr3:uid="{00000000-0010-0000-0000-000003000000}" name="09/12/2012" dataDxfId="10" dataCellStyle="Titolo 4"/>
    <tableColumn id="9" xr3:uid="{2778C3F6-0E83-40CA-A928-81B8C0E9CF8C}" name="03/02/2024" dataDxfId="9" dataCellStyle="Output"/>
    <tableColumn id="5" xr3:uid="{00000000-0010-0000-0000-000005000000}" name="18/12/2023" dataDxfId="8" dataCellStyle="Titolo 4"/>
    <tableColumn id="10" xr3:uid="{F66B88B8-59BE-4B60-9B41-FA05A20805C5}" name="06/01/2024" dataDxfId="7" dataCellStyle="Output"/>
    <tableColumn id="4" xr3:uid="{B96DF339-A4E4-4E8C-A417-66345FA009A7}" name="30/01/2024" dataDxfId="6" dataCellStyle="Output"/>
    <tableColumn id="6" xr3:uid="{10CCBFCF-B595-4021-A313-19F5709B3BC1}" name="06/02/2024" dataDxfId="5" dataCellStyle="Output"/>
    <tableColumn id="11" xr3:uid="{BBC2D75D-7780-421A-9084-15F3D047ECCB}" name="06/02/20242" dataDxfId="4" dataCellStyle="Output"/>
    <tableColumn id="7" xr3:uid="{00000000-0010-0000-0000-000007000000}" name="09/12/2023" dataDxfId="3" dataCellStyle="Titolo 4"/>
    <tableColumn id="12" xr3:uid="{AA0488A4-7246-4589-80E9-E2B79EF7D2C4}" name="04/12/2023" dataDxfId="2" dataCellStyle="Output"/>
    <tableColumn id="8" xr3:uid="{00000000-0010-0000-0000-000008000000}" name="21/12/2023" dataDxfId="1" dataCellStyle="Titolo 4"/>
    <tableColumn id="14" xr3:uid="{0BCBD156-77B7-4732-A6A1-A7C7DC143FC4}" name="13/12/2024" dataDxfId="0"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C6" sqref="C6"/>
    </sheetView>
  </sheetViews>
  <sheetFormatPr defaultColWidth="8.85546875" defaultRowHeight="12.6"/>
  <cols>
    <col min="1" max="1" width="25.140625" bestFit="1" customWidth="1"/>
    <col min="2" max="2" width="8.42578125" style="1" customWidth="1"/>
    <col min="3" max="3" width="52.42578125" customWidth="1"/>
    <col min="4" max="4" width="33.140625" style="1" customWidth="1"/>
  </cols>
  <sheetData>
    <row r="1" spans="1:5" ht="18.75" customHeight="1">
      <c r="A1" s="71" t="s">
        <v>0</v>
      </c>
      <c r="B1" s="71"/>
      <c r="C1" s="71"/>
      <c r="D1" s="71"/>
    </row>
    <row r="2" spans="1:5" ht="38.25" customHeight="1">
      <c r="A2" s="70" t="s">
        <v>1</v>
      </c>
      <c r="B2" s="70"/>
      <c r="C2" s="70"/>
      <c r="D2" s="70"/>
    </row>
    <row r="3" spans="1:5">
      <c r="A3" s="6"/>
      <c r="B3" s="6"/>
      <c r="C3" s="6"/>
      <c r="D3" s="6"/>
    </row>
    <row r="4" spans="1:5" ht="12.95">
      <c r="A4" s="9" t="s">
        <v>2</v>
      </c>
      <c r="B4" s="10" t="s">
        <v>3</v>
      </c>
      <c r="C4" s="10" t="s">
        <v>4</v>
      </c>
      <c r="D4" s="8" t="s">
        <v>5</v>
      </c>
    </row>
    <row r="5" spans="1:5">
      <c r="A5" s="11" t="s">
        <v>6</v>
      </c>
      <c r="B5" s="12" t="s">
        <v>7</v>
      </c>
      <c r="C5" s="13" t="s">
        <v>8</v>
      </c>
      <c r="D5" s="12" t="s">
        <v>9</v>
      </c>
    </row>
    <row r="6" spans="1:5">
      <c r="A6" s="33" t="s">
        <v>10</v>
      </c>
      <c r="B6" s="19" t="s">
        <v>11</v>
      </c>
      <c r="C6" s="20" t="s">
        <v>12</v>
      </c>
      <c r="D6" s="19" t="s">
        <v>9</v>
      </c>
    </row>
    <row r="7" spans="1:5" ht="24.95">
      <c r="A7" s="29" t="s">
        <v>13</v>
      </c>
      <c r="B7" s="23" t="s">
        <v>14</v>
      </c>
      <c r="C7" s="60" t="s">
        <v>15</v>
      </c>
      <c r="D7" s="61" t="s">
        <v>16</v>
      </c>
    </row>
    <row r="8" spans="1:5" ht="24.95">
      <c r="A8" s="34" t="s">
        <v>17</v>
      </c>
      <c r="B8" s="21" t="s">
        <v>18</v>
      </c>
      <c r="C8" s="22" t="s">
        <v>19</v>
      </c>
      <c r="D8" s="21" t="s">
        <v>9</v>
      </c>
    </row>
    <row r="9" spans="1:5" ht="25.5" customHeight="1">
      <c r="A9" s="25" t="s">
        <v>20</v>
      </c>
      <c r="B9" s="26" t="s">
        <v>21</v>
      </c>
      <c r="C9" s="27" t="s">
        <v>22</v>
      </c>
      <c r="D9" s="28" t="s">
        <v>23</v>
      </c>
    </row>
    <row r="10" spans="1:5" ht="37.5">
      <c r="A10" s="29" t="s">
        <v>24</v>
      </c>
      <c r="B10" s="23" t="s">
        <v>25</v>
      </c>
      <c r="C10" s="24" t="s">
        <v>26</v>
      </c>
      <c r="D10" s="30" t="s">
        <v>27</v>
      </c>
      <c r="E10" s="2"/>
    </row>
    <row r="11" spans="1:5" ht="37.5">
      <c r="A11" s="25" t="s">
        <v>28</v>
      </c>
      <c r="B11" s="26" t="s">
        <v>29</v>
      </c>
      <c r="C11" s="27" t="s">
        <v>30</v>
      </c>
      <c r="D11" s="28" t="s">
        <v>31</v>
      </c>
    </row>
    <row r="12" spans="1:5" ht="24.95">
      <c r="A12" s="29" t="s">
        <v>32</v>
      </c>
      <c r="B12" s="23" t="s">
        <v>33</v>
      </c>
      <c r="C12" s="24" t="s">
        <v>34</v>
      </c>
      <c r="D12" s="30" t="s">
        <v>35</v>
      </c>
    </row>
    <row r="13" spans="1:5" ht="24.95">
      <c r="A13" s="35" t="s">
        <v>36</v>
      </c>
      <c r="B13" s="15" t="s">
        <v>37</v>
      </c>
      <c r="C13" s="16" t="s">
        <v>38</v>
      </c>
      <c r="D13" s="31" t="s">
        <v>39</v>
      </c>
    </row>
    <row r="14" spans="1:5" ht="37.5">
      <c r="A14" s="36" t="s">
        <v>40</v>
      </c>
      <c r="B14" s="17" t="s">
        <v>41</v>
      </c>
      <c r="C14" s="18" t="s">
        <v>42</v>
      </c>
      <c r="D14" s="32" t="s">
        <v>43</v>
      </c>
    </row>
    <row r="15" spans="1:5" ht="37.5">
      <c r="A15" s="25" t="s">
        <v>44</v>
      </c>
      <c r="B15" s="26" t="s">
        <v>45</v>
      </c>
      <c r="C15" s="27" t="s">
        <v>46</v>
      </c>
      <c r="D15" s="28" t="s">
        <v>47</v>
      </c>
    </row>
    <row r="16" spans="1:5" ht="37.5">
      <c r="A16" s="29" t="s">
        <v>48</v>
      </c>
      <c r="B16" s="23"/>
      <c r="C16" s="24" t="s">
        <v>49</v>
      </c>
      <c r="D16" s="30" t="s">
        <v>50</v>
      </c>
    </row>
    <row r="17" spans="1:4">
      <c r="A17" s="25"/>
      <c r="B17" s="26"/>
      <c r="C17" s="52" t="s">
        <v>51</v>
      </c>
      <c r="D17" s="26" t="s">
        <v>52</v>
      </c>
    </row>
    <row r="18" spans="1:4">
      <c r="A18" s="29"/>
      <c r="B18" s="23"/>
      <c r="C18" s="53" t="s">
        <v>53</v>
      </c>
      <c r="D18" s="23" t="s">
        <v>54</v>
      </c>
    </row>
    <row r="19" spans="1:4">
      <c r="A19" s="29"/>
      <c r="B19" s="23"/>
      <c r="C19" s="54" t="s">
        <v>55</v>
      </c>
      <c r="D19" s="23" t="s">
        <v>56</v>
      </c>
    </row>
    <row r="20" spans="1:4">
      <c r="A20" s="14"/>
      <c r="B20" s="7"/>
      <c r="C20" s="55" t="s">
        <v>57</v>
      </c>
      <c r="D20" s="7" t="s">
        <v>58</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T35"/>
  <sheetViews>
    <sheetView showGridLines="0" tabSelected="1" zoomScale="125" zoomScaleNormal="125" zoomScalePageLayoutView="125" workbookViewId="0">
      <pane xSplit="1" ySplit="3" topLeftCell="P4" activePane="bottomRight" state="frozen"/>
      <selection pane="bottomRight" activeCell="G8" sqref="G8"/>
      <selection pane="bottomLeft" activeCell="A5" sqref="A5"/>
      <selection pane="topRight" activeCell="B1" sqref="B1"/>
    </sheetView>
  </sheetViews>
  <sheetFormatPr defaultColWidth="8.85546875" defaultRowHeight="12.75" customHeight="1"/>
  <cols>
    <col min="1" max="1" width="41.42578125" style="4" customWidth="1"/>
    <col min="2" max="2" width="18.42578125" style="5" customWidth="1"/>
    <col min="3" max="3" width="19" style="3" customWidth="1"/>
    <col min="4" max="9" width="19.85546875" style="3" customWidth="1"/>
    <col min="10" max="11" width="18.5703125" style="3" customWidth="1"/>
    <col min="12" max="12" width="27.42578125" style="3" customWidth="1"/>
    <col min="13" max="13" width="35" style="3" customWidth="1"/>
    <col min="14" max="18" width="43.42578125" style="3" customWidth="1"/>
    <col min="19" max="19" width="46.140625" style="3" customWidth="1"/>
    <col min="20" max="20" width="59" style="3" customWidth="1"/>
    <col min="21" max="16384" width="8.85546875" style="3"/>
  </cols>
  <sheetData>
    <row r="1" spans="1:20" ht="18.75">
      <c r="A1" s="72" t="s">
        <v>0</v>
      </c>
      <c r="B1" s="72"/>
      <c r="C1" s="72"/>
      <c r="D1" s="72"/>
      <c r="E1" s="72"/>
      <c r="F1" s="72"/>
      <c r="G1" s="72"/>
      <c r="H1" s="72"/>
      <c r="I1" s="72"/>
      <c r="J1" s="72"/>
      <c r="K1" s="72"/>
      <c r="L1" s="72"/>
      <c r="M1" s="65"/>
    </row>
    <row r="2" spans="1:20" ht="15.75" customHeight="1">
      <c r="A2" s="57" t="s">
        <v>59</v>
      </c>
      <c r="B2" s="56" t="s">
        <v>60</v>
      </c>
      <c r="C2" s="56" t="s">
        <v>61</v>
      </c>
      <c r="D2" s="56" t="s">
        <v>62</v>
      </c>
      <c r="E2" s="56" t="s">
        <v>63</v>
      </c>
      <c r="F2" s="56" t="s">
        <v>64</v>
      </c>
      <c r="G2" s="56" t="s">
        <v>65</v>
      </c>
      <c r="H2" s="56" t="s">
        <v>66</v>
      </c>
      <c r="I2" s="56" t="s">
        <v>67</v>
      </c>
      <c r="J2" s="56" t="s">
        <v>68</v>
      </c>
      <c r="K2" s="56" t="s">
        <v>69</v>
      </c>
      <c r="L2" s="56" t="s">
        <v>70</v>
      </c>
      <c r="M2" s="56" t="s">
        <v>71</v>
      </c>
      <c r="N2" s="56" t="s">
        <v>72</v>
      </c>
      <c r="O2" s="56" t="s">
        <v>73</v>
      </c>
      <c r="P2" s="56" t="s">
        <v>74</v>
      </c>
      <c r="Q2" s="56" t="s">
        <v>75</v>
      </c>
      <c r="R2" s="56" t="s">
        <v>76</v>
      </c>
      <c r="S2" s="56" t="s">
        <v>77</v>
      </c>
      <c r="T2" s="56" t="s">
        <v>78</v>
      </c>
    </row>
    <row r="3" spans="1:20" ht="18.75">
      <c r="A3" s="37" t="s">
        <v>2</v>
      </c>
      <c r="B3" s="62" t="s">
        <v>79</v>
      </c>
      <c r="C3" s="62" t="s">
        <v>80</v>
      </c>
      <c r="D3" s="62" t="s">
        <v>81</v>
      </c>
      <c r="E3" s="62" t="s">
        <v>82</v>
      </c>
      <c r="F3" s="62" t="s">
        <v>83</v>
      </c>
      <c r="G3" s="62" t="s">
        <v>84</v>
      </c>
      <c r="H3" s="62" t="s">
        <v>85</v>
      </c>
      <c r="I3" s="62" t="s">
        <v>86</v>
      </c>
      <c r="J3" s="62" t="s">
        <v>87</v>
      </c>
      <c r="K3" s="62" t="s">
        <v>88</v>
      </c>
      <c r="L3" s="62" t="s">
        <v>89</v>
      </c>
      <c r="M3" s="68" t="s">
        <v>90</v>
      </c>
      <c r="N3" s="62">
        <v>44964</v>
      </c>
      <c r="O3" s="62">
        <v>45277</v>
      </c>
      <c r="P3" s="62">
        <v>45293</v>
      </c>
      <c r="Q3" s="62">
        <v>45297</v>
      </c>
      <c r="R3" s="62">
        <v>45321</v>
      </c>
      <c r="S3" s="62">
        <v>45329</v>
      </c>
      <c r="T3" s="62">
        <v>45329</v>
      </c>
    </row>
    <row r="4" spans="1:20" ht="15">
      <c r="A4" s="38" t="s">
        <v>91</v>
      </c>
      <c r="B4" s="63">
        <v>1107</v>
      </c>
      <c r="C4" s="63">
        <v>918</v>
      </c>
      <c r="D4" s="63">
        <v>900</v>
      </c>
      <c r="E4" s="63">
        <v>1911</v>
      </c>
      <c r="F4" s="63">
        <v>522</v>
      </c>
      <c r="G4" s="63">
        <v>1944</v>
      </c>
      <c r="H4" s="63">
        <v>324</v>
      </c>
      <c r="I4" s="63">
        <v>2400</v>
      </c>
      <c r="J4" s="39">
        <f>B4+C4</f>
        <v>2025</v>
      </c>
      <c r="K4" s="39">
        <f>3612</f>
        <v>3612</v>
      </c>
      <c r="L4" s="39">
        <f>Tabella1[[#This Row],[09/12/2023]]+Tabella1[[#This Row],[18/12/2023]]</f>
        <v>3936</v>
      </c>
      <c r="M4" s="66">
        <f>4512</f>
        <v>4512</v>
      </c>
      <c r="N4" s="39">
        <f>L4+D4</f>
        <v>4836</v>
      </c>
      <c r="O4" s="39">
        <f>5034</f>
        <v>5034</v>
      </c>
      <c r="P4" s="39">
        <v>5034</v>
      </c>
      <c r="Q4" s="39">
        <f>N4+F4</f>
        <v>5358</v>
      </c>
      <c r="R4" s="39">
        <f>Q4+G4</f>
        <v>7302</v>
      </c>
      <c r="S4" s="39">
        <f>R4+H4</f>
        <v>7626</v>
      </c>
      <c r="T4" s="39">
        <f>S4+I4</f>
        <v>10026</v>
      </c>
    </row>
    <row r="5" spans="1:20" ht="15">
      <c r="A5" s="41" t="s">
        <v>92</v>
      </c>
      <c r="B5" s="39">
        <f>B8*B7</f>
        <v>1107</v>
      </c>
      <c r="C5" s="39">
        <f>C8*C7</f>
        <v>918</v>
      </c>
      <c r="D5" s="39">
        <f>D8*D7</f>
        <v>900</v>
      </c>
      <c r="E5" s="39">
        <f t="shared" ref="E5:M5" si="0">E8*E7</f>
        <v>1911</v>
      </c>
      <c r="F5" s="39">
        <f>F8*F7</f>
        <v>522</v>
      </c>
      <c r="G5" s="39">
        <f t="shared" ref="G5:I5" si="1">G8*G7</f>
        <v>1944</v>
      </c>
      <c r="H5" s="39">
        <f t="shared" si="1"/>
        <v>324</v>
      </c>
      <c r="I5" s="39">
        <f t="shared" si="1"/>
        <v>2400</v>
      </c>
      <c r="J5" s="39">
        <f t="shared" si="0"/>
        <v>2025</v>
      </c>
      <c r="K5" s="39">
        <f>2976</f>
        <v>2976</v>
      </c>
      <c r="L5" s="39">
        <f t="shared" si="0"/>
        <v>3936</v>
      </c>
      <c r="M5" s="66">
        <f>3924</f>
        <v>3924</v>
      </c>
      <c r="N5" s="39">
        <f t="shared" ref="N5" si="2">N8*N7</f>
        <v>4836</v>
      </c>
      <c r="O5" s="39">
        <f>4134</f>
        <v>4134</v>
      </c>
      <c r="P5" s="39">
        <v>4518.9399999999996</v>
      </c>
      <c r="Q5" s="39">
        <f>Q8*Q7</f>
        <v>5358</v>
      </c>
      <c r="R5" s="39">
        <f>R8*R7</f>
        <v>7302</v>
      </c>
      <c r="S5" s="39">
        <f>S8*S7</f>
        <v>7626</v>
      </c>
      <c r="T5" s="39">
        <f>T8*T7</f>
        <v>10026</v>
      </c>
    </row>
    <row r="6" spans="1:20" ht="15">
      <c r="A6" s="41" t="s">
        <v>93</v>
      </c>
      <c r="B6" s="63">
        <v>1120.51</v>
      </c>
      <c r="C6" s="39">
        <f>909</f>
        <v>909</v>
      </c>
      <c r="D6" s="39">
        <f>975</f>
        <v>975</v>
      </c>
      <c r="E6" s="39">
        <v>1893</v>
      </c>
      <c r="F6" s="39">
        <f>544.5</f>
        <v>544.5</v>
      </c>
      <c r="G6" s="39">
        <v>1755</v>
      </c>
      <c r="H6" s="39">
        <v>283.5</v>
      </c>
      <c r="I6" s="39">
        <v>2400</v>
      </c>
      <c r="J6" s="40">
        <f>B6+C6</f>
        <v>2029.51</v>
      </c>
      <c r="K6" s="40">
        <f>2962.51</f>
        <v>2962.51</v>
      </c>
      <c r="L6" s="40">
        <f>Tabella1[[#This Row],[09/12/2023]]+Tabella1[[#This Row],[18/12/2023]]</f>
        <v>3922.51</v>
      </c>
      <c r="M6" s="66">
        <f>3922.51</f>
        <v>3922.51</v>
      </c>
      <c r="N6" s="40">
        <f>L6+D6</f>
        <v>4897.51</v>
      </c>
      <c r="O6" s="40">
        <f>4132.51</f>
        <v>4132.51</v>
      </c>
      <c r="P6" s="40">
        <v>4510.0600000000004</v>
      </c>
      <c r="Q6" s="40">
        <f>N6+F6</f>
        <v>5442.01</v>
      </c>
      <c r="R6" s="40">
        <f>Q6+G6</f>
        <v>7197.01</v>
      </c>
      <c r="S6" s="40">
        <f>R6+H6</f>
        <v>7480.51</v>
      </c>
      <c r="T6" s="40">
        <f>S6+I6</f>
        <v>9880.51</v>
      </c>
    </row>
    <row r="7" spans="1:20" ht="15">
      <c r="A7" s="41" t="s">
        <v>94</v>
      </c>
      <c r="B7" s="63">
        <v>1107</v>
      </c>
      <c r="C7" s="63">
        <f>918</f>
        <v>918</v>
      </c>
      <c r="D7" s="63">
        <f>900</f>
        <v>900</v>
      </c>
      <c r="E7" s="63">
        <v>1911</v>
      </c>
      <c r="F7" s="63">
        <f>522</f>
        <v>522</v>
      </c>
      <c r="G7" s="63">
        <v>1944</v>
      </c>
      <c r="H7" s="63">
        <v>324</v>
      </c>
      <c r="I7" s="63">
        <v>2400</v>
      </c>
      <c r="J7" s="39">
        <f>B7+C7</f>
        <v>2025</v>
      </c>
      <c r="K7" s="39">
        <f>2976</f>
        <v>2976</v>
      </c>
      <c r="L7" s="39">
        <f>Tabella1[[#This Row],[09/12/2023]]+Tabella1[[#This Row],[18/12/2023]]</f>
        <v>3936</v>
      </c>
      <c r="M7" s="66">
        <f>3924</f>
        <v>3924</v>
      </c>
      <c r="N7" s="39">
        <f>L7+D7</f>
        <v>4836</v>
      </c>
      <c r="O7" s="39">
        <f>4170</f>
        <v>4170</v>
      </c>
      <c r="P7" s="39">
        <v>4544.3999999999996</v>
      </c>
      <c r="Q7" s="39">
        <f>N7+F7</f>
        <v>5358</v>
      </c>
      <c r="R7" s="39">
        <f>Q7+G7</f>
        <v>7302</v>
      </c>
      <c r="S7" s="39">
        <f>R7+H7</f>
        <v>7626</v>
      </c>
      <c r="T7" s="39">
        <f>S7+I7</f>
        <v>10026</v>
      </c>
    </row>
    <row r="8" spans="1:20" ht="15">
      <c r="A8" s="41" t="s">
        <v>95</v>
      </c>
      <c r="B8" s="58">
        <v>1</v>
      </c>
      <c r="C8" s="58">
        <v>1</v>
      </c>
      <c r="D8" s="58">
        <v>1</v>
      </c>
      <c r="E8" s="58">
        <v>1</v>
      </c>
      <c r="F8" s="58">
        <v>1</v>
      </c>
      <c r="G8" s="58">
        <v>1</v>
      </c>
      <c r="H8" s="58">
        <v>1</v>
      </c>
      <c r="I8" s="58">
        <v>1</v>
      </c>
      <c r="J8" s="58">
        <v>1</v>
      </c>
      <c r="K8" s="58">
        <v>2</v>
      </c>
      <c r="L8" s="58">
        <v>1</v>
      </c>
      <c r="M8" s="69">
        <v>1</v>
      </c>
      <c r="N8" s="58">
        <v>1</v>
      </c>
      <c r="O8" s="58">
        <v>0.99136690647000003</v>
      </c>
      <c r="P8" s="58">
        <v>0.99439750019999995</v>
      </c>
      <c r="Q8" s="58">
        <v>1</v>
      </c>
      <c r="R8" s="58">
        <v>1</v>
      </c>
      <c r="S8" s="58">
        <v>1</v>
      </c>
      <c r="T8" s="58">
        <v>1</v>
      </c>
    </row>
    <row r="9" spans="1:20" ht="15">
      <c r="A9" s="42" t="s">
        <v>96</v>
      </c>
      <c r="B9" s="59">
        <f t="shared" ref="B9:M9" si="3">B5-B6</f>
        <v>-13.509999999999991</v>
      </c>
      <c r="C9" s="59">
        <f t="shared" si="3"/>
        <v>9</v>
      </c>
      <c r="D9" s="59">
        <f>D5-D6</f>
        <v>-75</v>
      </c>
      <c r="E9" s="59">
        <f t="shared" si="3"/>
        <v>18</v>
      </c>
      <c r="F9" s="59">
        <f t="shared" si="3"/>
        <v>-22.5</v>
      </c>
      <c r="G9" s="59">
        <f t="shared" ref="G9:I9" si="4">G5-G6</f>
        <v>189</v>
      </c>
      <c r="H9" s="59">
        <f t="shared" si="4"/>
        <v>40.5</v>
      </c>
      <c r="I9" s="59">
        <f t="shared" si="4"/>
        <v>0</v>
      </c>
      <c r="J9" s="59">
        <f t="shared" si="3"/>
        <v>-4.5099999999999909</v>
      </c>
      <c r="K9" s="59">
        <f t="shared" ref="K9" si="5">K5-K6</f>
        <v>13.489999999999782</v>
      </c>
      <c r="L9" s="59">
        <f t="shared" si="3"/>
        <v>13.489999999999782</v>
      </c>
      <c r="M9" s="67">
        <f t="shared" ref="M9" si="6">M5-M6</f>
        <v>1.4899999999997817</v>
      </c>
      <c r="N9" s="59">
        <f t="shared" ref="N9" si="7">N5-N6</f>
        <v>-61.510000000000218</v>
      </c>
      <c r="O9" s="59">
        <f t="shared" ref="O9" si="8">O5-O6</f>
        <v>1.4899999999997817</v>
      </c>
      <c r="P9" s="59">
        <f>P5-P6</f>
        <v>8.8799999999991996</v>
      </c>
      <c r="Q9" s="59">
        <f>Q5-Q6</f>
        <v>-84.010000000000218</v>
      </c>
      <c r="R9" s="59">
        <f>R5-R6</f>
        <v>104.98999999999978</v>
      </c>
      <c r="S9" s="59">
        <f>S5-S6</f>
        <v>145.48999999999978</v>
      </c>
      <c r="T9" s="59">
        <f>T5-T6</f>
        <v>145.48999999999978</v>
      </c>
    </row>
    <row r="10" spans="1:20" ht="15">
      <c r="A10" s="42" t="s">
        <v>97</v>
      </c>
      <c r="B10" s="59">
        <f t="shared" ref="B10:M10" si="9">B5-B7</f>
        <v>0</v>
      </c>
      <c r="C10" s="59">
        <f t="shared" si="9"/>
        <v>0</v>
      </c>
      <c r="D10" s="59">
        <f t="shared" si="9"/>
        <v>0</v>
      </c>
      <c r="E10" s="59">
        <f t="shared" si="9"/>
        <v>0</v>
      </c>
      <c r="F10" s="59">
        <f t="shared" si="9"/>
        <v>0</v>
      </c>
      <c r="G10" s="59">
        <f t="shared" ref="G10:I10" si="10">G5-G7</f>
        <v>0</v>
      </c>
      <c r="H10" s="59">
        <f t="shared" si="10"/>
        <v>0</v>
      </c>
      <c r="I10" s="59">
        <f t="shared" si="10"/>
        <v>0</v>
      </c>
      <c r="J10" s="59">
        <f t="shared" si="9"/>
        <v>0</v>
      </c>
      <c r="K10" s="59">
        <f t="shared" ref="K10" si="11">K5-K7</f>
        <v>0</v>
      </c>
      <c r="L10" s="59">
        <f t="shared" si="9"/>
        <v>0</v>
      </c>
      <c r="M10" s="67">
        <f t="shared" ref="M10" si="12">M5-M7</f>
        <v>0</v>
      </c>
      <c r="N10" s="59">
        <f t="shared" ref="N10" si="13">N5-N7</f>
        <v>0</v>
      </c>
      <c r="O10" s="59">
        <f t="shared" ref="O10" si="14">O5-O7</f>
        <v>-36</v>
      </c>
      <c r="P10" s="59">
        <f t="shared" ref="P10:R10" si="15">P5-P7</f>
        <v>-25.460000000000036</v>
      </c>
      <c r="Q10" s="59">
        <f>Q5-Q7</f>
        <v>0</v>
      </c>
      <c r="R10" s="59">
        <f t="shared" si="15"/>
        <v>0</v>
      </c>
      <c r="S10" s="59">
        <f t="shared" ref="S10:T10" si="16">S5-S7</f>
        <v>0</v>
      </c>
      <c r="T10" s="59">
        <f t="shared" si="16"/>
        <v>0</v>
      </c>
    </row>
    <row r="11" spans="1:20" ht="15">
      <c r="A11" s="43" t="s">
        <v>98</v>
      </c>
      <c r="B11" s="64">
        <f>IF(B6,B5/B6,"")</f>
        <v>0.98794299024551324</v>
      </c>
      <c r="C11" s="64">
        <f t="shared" ref="C11:L11" si="17">IF(C6,C5/C6,"")</f>
        <v>1.0099009900990099</v>
      </c>
      <c r="D11" s="64">
        <f t="shared" si="17"/>
        <v>0.92307692307692313</v>
      </c>
      <c r="E11" s="64">
        <f t="shared" si="17"/>
        <v>1.0095087163232963</v>
      </c>
      <c r="F11" s="64">
        <f t="shared" si="17"/>
        <v>0.95867768595041325</v>
      </c>
      <c r="G11" s="64">
        <f t="shared" ref="G11:I11" si="18">IF(G6,G5/G6,"")</f>
        <v>1.1076923076923078</v>
      </c>
      <c r="H11" s="64">
        <f t="shared" si="18"/>
        <v>1.1428571428571428</v>
      </c>
      <c r="I11" s="64">
        <f t="shared" si="18"/>
        <v>1</v>
      </c>
      <c r="J11" s="59">
        <f>IF(J6,J5/J6,"")</f>
        <v>0.99777778872732825</v>
      </c>
      <c r="K11" s="59">
        <f>IF(K6,K5/K6,"")</f>
        <v>1.004553571127186</v>
      </c>
      <c r="L11" s="59">
        <f t="shared" si="17"/>
        <v>1.0034391244381786</v>
      </c>
      <c r="M11" s="67">
        <f t="shared" ref="M11" si="19">IF(M6,M5/M6,"")</f>
        <v>1.0003798588148913</v>
      </c>
      <c r="N11" s="59">
        <f>IF(N6,N5/N6,"")</f>
        <v>0.9874405565277049</v>
      </c>
      <c r="O11" s="59">
        <f>IF(O6,O5/O6,"")</f>
        <v>1.0003605556913353</v>
      </c>
      <c r="P11" s="59">
        <f>IF(P6,P5/P6,"")</f>
        <v>1.0019689316771838</v>
      </c>
      <c r="Q11" s="59">
        <f>IF(Q6,Q5/Q6,"")</f>
        <v>0.98456268915345613</v>
      </c>
      <c r="R11" s="59">
        <f>IF(R6,R5/R6,"")</f>
        <v>1.0145880025177121</v>
      </c>
      <c r="S11" s="59">
        <f>IF(S6,S5/S6,"")</f>
        <v>1.0194492086769484</v>
      </c>
      <c r="T11" s="59">
        <f>IF(T6,T5/T6,"")</f>
        <v>1.0147249484085334</v>
      </c>
    </row>
    <row r="12" spans="1:20" ht="12.75" customHeight="1">
      <c r="A12" s="44" t="s">
        <v>99</v>
      </c>
      <c r="B12" s="64">
        <f t="shared" ref="B12:L12" si="20">IF(B7,B5/B7,"")</f>
        <v>1</v>
      </c>
      <c r="C12" s="64">
        <f t="shared" si="20"/>
        <v>1</v>
      </c>
      <c r="D12" s="64">
        <f t="shared" si="20"/>
        <v>1</v>
      </c>
      <c r="E12" s="64">
        <f t="shared" si="20"/>
        <v>1</v>
      </c>
      <c r="F12" s="64">
        <f t="shared" si="20"/>
        <v>1</v>
      </c>
      <c r="G12" s="64">
        <f t="shared" ref="G12:I12" si="21">IF(G7,G5/G7,"")</f>
        <v>1</v>
      </c>
      <c r="H12" s="64">
        <f t="shared" si="21"/>
        <v>1</v>
      </c>
      <c r="I12" s="64">
        <f t="shared" si="21"/>
        <v>1</v>
      </c>
      <c r="J12" s="59">
        <f>IF(J7,J5/J7,"")</f>
        <v>1</v>
      </c>
      <c r="K12" s="59">
        <f>IF(K7,K5/K7,"")</f>
        <v>1</v>
      </c>
      <c r="L12" s="59">
        <f t="shared" si="20"/>
        <v>1</v>
      </c>
      <c r="M12" s="67">
        <f t="shared" ref="M12" si="22">IF(M7,M5/M7,"")</f>
        <v>1</v>
      </c>
      <c r="N12" s="59">
        <f>IF(N7,N5/N7,"")</f>
        <v>1</v>
      </c>
      <c r="O12" s="59">
        <f>IF(O7,O5/O7,"")</f>
        <v>0.99136690647482018</v>
      </c>
      <c r="P12" s="59">
        <f>IF(P7,P5/P7,"")</f>
        <v>0.99439750022005102</v>
      </c>
      <c r="Q12" s="59">
        <f>IF(Q7,Q5/Q7,"")</f>
        <v>1</v>
      </c>
      <c r="R12" s="59">
        <f>IF(R7,R5/R7,"")</f>
        <v>1</v>
      </c>
      <c r="S12" s="59">
        <f>IF(S7,S5/S7,"")</f>
        <v>1</v>
      </c>
      <c r="T12" s="59">
        <f>IF(T7,T5/T7,"")</f>
        <v>1</v>
      </c>
    </row>
    <row r="13" spans="1:20" ht="15">
      <c r="A13" s="45" t="s">
        <v>100</v>
      </c>
      <c r="B13" s="59">
        <f t="shared" ref="B13:M13" si="23">IF(B5,IF(B6,B14-B6,""),"")</f>
        <v>0</v>
      </c>
      <c r="C13" s="59">
        <f t="shared" si="23"/>
        <v>0</v>
      </c>
      <c r="D13" s="59">
        <f>IF(D5,IF(D6,D14-D6,""),"")</f>
        <v>0</v>
      </c>
      <c r="E13" s="59">
        <f t="shared" si="23"/>
        <v>0</v>
      </c>
      <c r="F13" s="59">
        <f t="shared" si="23"/>
        <v>0</v>
      </c>
      <c r="G13" s="59">
        <f t="shared" ref="G13:I13" si="24">IF(G5,IF(G6,G14-G6,""),"")</f>
        <v>0</v>
      </c>
      <c r="H13" s="59">
        <f t="shared" si="24"/>
        <v>0</v>
      </c>
      <c r="I13" s="59">
        <f t="shared" si="24"/>
        <v>0</v>
      </c>
      <c r="J13" s="59">
        <f t="shared" si="23"/>
        <v>0</v>
      </c>
      <c r="K13" s="59">
        <f t="shared" ref="K13" si="25">IF(K5,IF(K6,K14-K6,""),"")</f>
        <v>633.11705645161283</v>
      </c>
      <c r="L13" s="59">
        <f t="shared" si="23"/>
        <v>-4.5474735088646412E-13</v>
      </c>
      <c r="M13" s="67">
        <f t="shared" ref="M13" si="26">IF(M5,IF(M6,M14-M6,""),"")</f>
        <v>587.77672782874652</v>
      </c>
      <c r="N13" s="59">
        <f t="shared" ref="N13" si="27">IF(N5,IF(N6,N14-N6,""),"")</f>
        <v>0</v>
      </c>
      <c r="O13" s="59">
        <f t="shared" ref="O13" si="28">IF(O5,IF(O6,O14-O6,""),"")</f>
        <v>899.67561683599433</v>
      </c>
      <c r="P13" s="59">
        <f t="shared" ref="P13:R13" si="29">IF(P5,IF(P6,P14-P6,""),"")</f>
        <v>514.04787485560792</v>
      </c>
      <c r="Q13" s="59">
        <f t="shared" ref="Q13" si="30">IF(Q5,IF(Q6,Q14-Q6,""),"")</f>
        <v>0</v>
      </c>
      <c r="R13" s="59">
        <f t="shared" si="29"/>
        <v>9.0949470177292824E-13</v>
      </c>
      <c r="S13" s="59">
        <f t="shared" ref="S13:T13" si="31">IF(S5,IF(S6,S14-S6,""),"")</f>
        <v>0</v>
      </c>
      <c r="T13" s="59">
        <f t="shared" si="31"/>
        <v>1.8189894035458565E-12</v>
      </c>
    </row>
    <row r="14" spans="1:20" ht="15">
      <c r="A14" s="45" t="s">
        <v>101</v>
      </c>
      <c r="B14" s="59">
        <f t="shared" ref="B14:M14" si="32">IF(B5,IF(B6,B4/B11,""),"")</f>
        <v>1120.51</v>
      </c>
      <c r="C14" s="59">
        <f t="shared" si="32"/>
        <v>909</v>
      </c>
      <c r="D14" s="59">
        <f>IF(D5,IF(D6,D4/D11,""),"")</f>
        <v>975</v>
      </c>
      <c r="E14" s="59">
        <f t="shared" si="32"/>
        <v>1893</v>
      </c>
      <c r="F14" s="59">
        <f t="shared" si="32"/>
        <v>544.5</v>
      </c>
      <c r="G14" s="59">
        <f t="shared" ref="G14:I14" si="33">IF(G5,IF(G6,G4/G11,""),"")</f>
        <v>1755</v>
      </c>
      <c r="H14" s="59">
        <f t="shared" si="33"/>
        <v>283.5</v>
      </c>
      <c r="I14" s="59">
        <f t="shared" si="33"/>
        <v>2400</v>
      </c>
      <c r="J14" s="59">
        <f t="shared" si="32"/>
        <v>2029.51</v>
      </c>
      <c r="K14" s="59">
        <f t="shared" ref="K14" si="34">IF(K5,IF(K6,K4/K11,""),"")</f>
        <v>3595.627056451613</v>
      </c>
      <c r="L14" s="59">
        <f t="shared" si="32"/>
        <v>3922.5099999999998</v>
      </c>
      <c r="M14" s="67">
        <f t="shared" ref="M14" si="35">IF(M5,IF(M6,M4/M11,""),"")</f>
        <v>4510.2867278287467</v>
      </c>
      <c r="N14" s="59">
        <f t="shared" ref="N14" si="36">IF(N5,IF(N6,N4/N11,""),"")</f>
        <v>4897.51</v>
      </c>
      <c r="O14" s="59">
        <f t="shared" ref="O14" si="37">IF(O5,IF(O6,O4/O11,""),"")</f>
        <v>5032.1856168359946</v>
      </c>
      <c r="P14" s="59">
        <f t="shared" ref="P14:R14" si="38">IF(P5,IF(P6,P4/P11,""),"")</f>
        <v>5024.1078748556083</v>
      </c>
      <c r="Q14" s="59">
        <f t="shared" ref="Q14" si="39">IF(Q5,IF(Q6,Q4/Q11,""),"")</f>
        <v>5442.01</v>
      </c>
      <c r="R14" s="59">
        <f t="shared" si="38"/>
        <v>7197.0100000000011</v>
      </c>
      <c r="S14" s="59">
        <f t="shared" ref="S14:T14" si="40">IF(S5,IF(S6,S4/S11,""),"")</f>
        <v>7480.51</v>
      </c>
      <c r="T14" s="59">
        <f t="shared" si="40"/>
        <v>9880.510000000002</v>
      </c>
    </row>
    <row r="15" spans="1:20" ht="16.5" customHeight="1">
      <c r="A15" s="45" t="s">
        <v>102</v>
      </c>
      <c r="B15" s="59">
        <f t="shared" ref="B15:M15" si="41">IF(B5,IF(B6,B4-B14,""),"")</f>
        <v>-13.509999999999991</v>
      </c>
      <c r="C15" s="59">
        <f t="shared" si="41"/>
        <v>9</v>
      </c>
      <c r="D15" s="59">
        <f t="shared" si="41"/>
        <v>-75</v>
      </c>
      <c r="E15" s="59">
        <f t="shared" si="41"/>
        <v>18</v>
      </c>
      <c r="F15" s="59">
        <f t="shared" si="41"/>
        <v>-22.5</v>
      </c>
      <c r="G15" s="59">
        <f t="shared" ref="G15:I15" si="42">IF(G5,IF(G6,G4-G14,""),"")</f>
        <v>189</v>
      </c>
      <c r="H15" s="59">
        <f t="shared" si="42"/>
        <v>40.5</v>
      </c>
      <c r="I15" s="59">
        <f t="shared" si="42"/>
        <v>0</v>
      </c>
      <c r="J15" s="59">
        <f t="shared" si="41"/>
        <v>-4.5099999999999909</v>
      </c>
      <c r="K15" s="59">
        <f t="shared" ref="K15" si="43">IF(K5,IF(K6,K4-K14,""),"")</f>
        <v>16.372943548386957</v>
      </c>
      <c r="L15" s="59">
        <f t="shared" si="41"/>
        <v>13.490000000000236</v>
      </c>
      <c r="M15" s="67">
        <f t="shared" ref="M15" si="44">IF(M5,IF(M6,M4-M14,""),"")</f>
        <v>1.7132721712532657</v>
      </c>
      <c r="N15" s="59">
        <f t="shared" ref="N15" si="45">IF(N5,IF(N6,N4-N14,""),"")</f>
        <v>-61.510000000000218</v>
      </c>
      <c r="O15" s="59">
        <f t="shared" ref="O15" si="46">IF(O5,IF(O6,O4-O14,""),"")</f>
        <v>1.8143831640054486</v>
      </c>
      <c r="P15" s="59">
        <f>IF(P5,IF(P6,P4-P14,""),"")</f>
        <v>9.8921251443916844</v>
      </c>
      <c r="Q15" s="59">
        <f>IF(Q5,IF(Q6,Q4-Q14,""),"")</f>
        <v>-84.010000000000218</v>
      </c>
      <c r="R15" s="59">
        <f>IF(R5,IF(R6,R4-R14,""),"")</f>
        <v>104.98999999999887</v>
      </c>
      <c r="S15" s="59">
        <f>IF(S5,IF(S6,S4-S14,""),"")</f>
        <v>145.48999999999978</v>
      </c>
      <c r="T15" s="59">
        <f>IF(T5,IF(T6,T4-T14,""),"")</f>
        <v>145.48999999999796</v>
      </c>
    </row>
    <row r="16" spans="1:20" ht="16.5" customHeight="1">
      <c r="A16" s="46" t="s">
        <v>103</v>
      </c>
      <c r="B16" s="47">
        <f t="shared" ref="B16:M16" si="47">(B12+B11)/2</f>
        <v>0.99397149512275662</v>
      </c>
      <c r="C16" s="47">
        <f t="shared" si="47"/>
        <v>1.004950495049505</v>
      </c>
      <c r="D16" s="47">
        <f t="shared" si="47"/>
        <v>0.96153846153846156</v>
      </c>
      <c r="E16" s="47">
        <f t="shared" si="47"/>
        <v>1.004754358161648</v>
      </c>
      <c r="F16" s="47">
        <f t="shared" si="47"/>
        <v>0.97933884297520657</v>
      </c>
      <c r="G16" s="47">
        <f t="shared" ref="G16:I16" si="48">(G12+G11)/2</f>
        <v>1.0538461538461539</v>
      </c>
      <c r="H16" s="47">
        <f t="shared" si="48"/>
        <v>1.0714285714285714</v>
      </c>
      <c r="I16" s="47">
        <f t="shared" si="48"/>
        <v>1</v>
      </c>
      <c r="J16" s="47">
        <f t="shared" si="47"/>
        <v>0.99888889436366413</v>
      </c>
      <c r="K16" s="47">
        <f t="shared" ref="K16" si="49">(K12+K11)/2</f>
        <v>1.002276785563593</v>
      </c>
      <c r="L16" s="47">
        <f t="shared" si="47"/>
        <v>1.0017195622190893</v>
      </c>
      <c r="M16" s="47">
        <f t="shared" si="47"/>
        <v>1.0001899294074457</v>
      </c>
      <c r="N16" s="47">
        <f t="shared" ref="N16" si="50">(N12+N11)/2</f>
        <v>0.99372027826385245</v>
      </c>
      <c r="O16" s="47">
        <f t="shared" ref="O16" si="51">(O12+O11)/2</f>
        <v>0.9958637310830778</v>
      </c>
      <c r="P16" s="47">
        <f t="shared" ref="P16:R16" si="52">(P12+P11)/2</f>
        <v>0.99818321594861747</v>
      </c>
      <c r="Q16" s="47">
        <f t="shared" ref="Q16" si="53">(Q12+Q11)/2</f>
        <v>0.99228134457672801</v>
      </c>
      <c r="R16" s="47">
        <f t="shared" si="52"/>
        <v>1.007294001258856</v>
      </c>
      <c r="S16" s="47">
        <f t="shared" ref="S16:T16" si="54">(S12+S11)/2</f>
        <v>1.0097246043384742</v>
      </c>
      <c r="T16" s="47">
        <f t="shared" si="54"/>
        <v>1.0073624742042666</v>
      </c>
    </row>
    <row r="17" spans="1:20" ht="15">
      <c r="A17" s="48" t="s">
        <v>104</v>
      </c>
      <c r="B17" s="49" t="str">
        <f t="shared" ref="B17:M17" si="55">IF(B7,IF(B6,IF(B16&lt;0.65,"BLACK",IF(B16&lt;0.85,"RED",IF(B16&lt;1,"YELLOW","GREEN"))),""),"")</f>
        <v>YELLOW</v>
      </c>
      <c r="C17" s="50" t="str">
        <f t="shared" si="55"/>
        <v>GREEN</v>
      </c>
      <c r="D17" s="50" t="str">
        <f t="shared" si="55"/>
        <v>YELLOW</v>
      </c>
      <c r="E17" s="50" t="str">
        <f t="shared" si="55"/>
        <v>GREEN</v>
      </c>
      <c r="F17" s="50" t="str">
        <f t="shared" si="55"/>
        <v>YELLOW</v>
      </c>
      <c r="G17" s="50" t="str">
        <f t="shared" si="55"/>
        <v>GREEN</v>
      </c>
      <c r="H17" s="50" t="str">
        <f t="shared" si="55"/>
        <v>GREEN</v>
      </c>
      <c r="I17" s="50" t="str">
        <f t="shared" si="55"/>
        <v>GREEN</v>
      </c>
      <c r="J17" s="51" t="str">
        <f t="shared" si="55"/>
        <v>YELLOW</v>
      </c>
      <c r="K17" s="51" t="str">
        <f t="shared" ref="K17" si="56">IF(K7,IF(K6,IF(K16&lt;0.65,"BLACK",IF(K16&lt;0.85,"RED",IF(K16&lt;1,"YELLOW","GREEN"))),""),"")</f>
        <v>GREEN</v>
      </c>
      <c r="L17" s="51" t="str">
        <f t="shared" si="55"/>
        <v>GREEN</v>
      </c>
      <c r="M17" s="66" t="str">
        <f t="shared" ref="M17" si="57">IF(M7,IF(M6,IF(M16&lt;0.65,"BLACK",IF(M16&lt;0.85,"RED",IF(M16&lt;1,"YELLOW","GREEN"))),""),"")</f>
        <v>GREEN</v>
      </c>
      <c r="N17" s="51" t="str">
        <f t="shared" ref="N17" si="58">IF(N7,IF(N6,IF(N16&lt;0.65,"BLACK",IF(N16&lt;0.85,"RED",IF(N16&lt;1,"YELLOW","GREEN"))),""),"")</f>
        <v>YELLOW</v>
      </c>
      <c r="O17" s="51" t="str">
        <f t="shared" ref="O17" si="59">IF(O7,IF(O6,IF(O16&lt;0.65,"BLACK",IF(O16&lt;0.85,"RED",IF(O16&lt;1,"YELLOW","GREEN"))),""),"")</f>
        <v>YELLOW</v>
      </c>
      <c r="P17" s="51" t="str">
        <f t="shared" ref="P17:R17" si="60">IF(P7,IF(P6,IF(P16&lt;0.65,"BLACK",IF(P16&lt;0.85,"RED",IF(P16&lt;1,"YELLOW","GREEN"))),""),"")</f>
        <v>YELLOW</v>
      </c>
      <c r="Q17" s="51" t="str">
        <f t="shared" ref="Q17" si="61">IF(Q7,IF(Q6,IF(Q16&lt;0.65,"BLACK",IF(Q16&lt;0.85,"RED",IF(Q16&lt;1,"YELLOW","GREEN"))),""),"")</f>
        <v>YELLOW</v>
      </c>
      <c r="R17" s="51" t="str">
        <f t="shared" si="60"/>
        <v>GREEN</v>
      </c>
      <c r="S17" s="51" t="str">
        <f t="shared" ref="S17:T17" si="62">IF(S7,IF(S6,IF(S16&lt;0.65,"BLACK",IF(S16&lt;0.85,"RED",IF(S16&lt;1,"YELLOW","GREEN"))),""),"")</f>
        <v>GREEN</v>
      </c>
      <c r="T17" s="51" t="str">
        <f t="shared" si="62"/>
        <v>GREEN</v>
      </c>
    </row>
    <row r="18" spans="1:20">
      <c r="C18" s="5"/>
      <c r="D18" s="5"/>
      <c r="E18" s="5"/>
      <c r="F18" s="5"/>
      <c r="G18" s="5"/>
      <c r="H18" s="5"/>
      <c r="I18" s="5"/>
    </row>
    <row r="19" spans="1:20">
      <c r="C19" s="5"/>
      <c r="D19" s="5"/>
      <c r="E19" s="5"/>
      <c r="F19" s="5"/>
      <c r="G19" s="5"/>
      <c r="H19" s="5"/>
      <c r="I19" s="5"/>
    </row>
    <row r="20" spans="1:20">
      <c r="C20" s="5"/>
      <c r="D20" s="5"/>
    </row>
    <row r="21" spans="1:20">
      <c r="C21" s="5"/>
      <c r="D21" s="5"/>
      <c r="E21" s="5"/>
      <c r="F21" s="5"/>
      <c r="G21" s="5"/>
      <c r="H21" s="5"/>
      <c r="I21" s="5"/>
    </row>
    <row r="22" spans="1:20">
      <c r="C22" s="5"/>
      <c r="D22" s="5"/>
      <c r="E22" s="5"/>
      <c r="F22" s="5"/>
      <c r="G22" s="5"/>
      <c r="H22" s="5"/>
      <c r="I22" s="5"/>
    </row>
    <row r="23" spans="1:20">
      <c r="C23" s="5"/>
      <c r="D23" s="5"/>
      <c r="E23" s="5"/>
      <c r="F23" s="5"/>
      <c r="G23" s="5"/>
      <c r="H23" s="5"/>
      <c r="I23" s="5"/>
    </row>
    <row r="24" spans="1:20">
      <c r="C24" s="5"/>
      <c r="D24" s="5"/>
      <c r="E24" s="5"/>
      <c r="F24" s="5"/>
      <c r="G24" s="5"/>
      <c r="H24" s="5"/>
      <c r="I24" s="5"/>
    </row>
    <row r="25" spans="1:20">
      <c r="C25" s="5"/>
      <c r="D25" s="5"/>
      <c r="E25" s="5"/>
      <c r="F25" s="5"/>
      <c r="G25" s="5"/>
      <c r="H25" s="5"/>
      <c r="I25" s="5"/>
    </row>
    <row r="26" spans="1:20">
      <c r="C26" s="5"/>
      <c r="D26" s="5"/>
      <c r="E26" s="5"/>
      <c r="F26" s="5"/>
      <c r="G26" s="5"/>
      <c r="H26" s="5"/>
      <c r="I26" s="5"/>
    </row>
    <row r="27" spans="1:20">
      <c r="C27" s="5"/>
      <c r="D27" s="5"/>
      <c r="E27" s="5"/>
      <c r="F27" s="5"/>
      <c r="G27" s="5"/>
      <c r="H27" s="5"/>
      <c r="I27" s="5"/>
    </row>
    <row r="28" spans="1:20">
      <c r="C28" s="5"/>
      <c r="D28" s="5"/>
      <c r="E28" s="5"/>
      <c r="F28" s="5"/>
      <c r="G28" s="5"/>
      <c r="H28" s="5"/>
      <c r="I28" s="5"/>
    </row>
    <row r="29" spans="1:20">
      <c r="C29" s="5"/>
      <c r="D29" s="5"/>
      <c r="E29" s="5"/>
      <c r="F29" s="5"/>
      <c r="G29" s="5"/>
      <c r="H29" s="5"/>
      <c r="I29" s="5"/>
    </row>
    <row r="30" spans="1:20">
      <c r="C30" s="5"/>
      <c r="D30" s="5"/>
      <c r="E30" s="5"/>
      <c r="F30" s="5"/>
      <c r="G30" s="5"/>
      <c r="H30" s="5"/>
      <c r="I30" s="5"/>
    </row>
    <row r="31" spans="1:20">
      <c r="C31" s="5"/>
      <c r="D31" s="5"/>
      <c r="E31" s="5"/>
      <c r="F31" s="5"/>
      <c r="G31" s="5"/>
      <c r="H31" s="5"/>
      <c r="I31" s="5"/>
    </row>
    <row r="32" spans="1:20">
      <c r="C32" s="5"/>
      <c r="D32" s="5"/>
      <c r="E32" s="5"/>
      <c r="F32" s="5"/>
      <c r="G32" s="5"/>
      <c r="H32" s="5"/>
      <c r="I32" s="5"/>
    </row>
    <row r="33" spans="3:9">
      <c r="C33" s="5"/>
      <c r="D33" s="5"/>
      <c r="E33" s="5"/>
      <c r="F33" s="5"/>
      <c r="G33" s="5"/>
      <c r="H33" s="5"/>
      <c r="I33" s="5"/>
    </row>
    <row r="34" spans="3:9">
      <c r="C34" s="5"/>
      <c r="D34" s="5"/>
      <c r="E34" s="5"/>
      <c r="F34" s="5"/>
      <c r="G34" s="5"/>
      <c r="H34" s="5"/>
      <c r="I34" s="5"/>
    </row>
    <row r="35" spans="3:9">
      <c r="C35" s="5"/>
      <c r="D35" s="5"/>
      <c r="E35" s="5"/>
      <c r="F35" s="5"/>
      <c r="G35" s="5"/>
      <c r="H35" s="5"/>
      <c r="I35" s="5"/>
    </row>
  </sheetData>
  <sheetProtection formatCells="0" formatColumns="0" formatRows="0" insertColumns="0" insertRows="0" insertHyperlinks="0" deleteColumns="0" deleteRows="0" sort="0" autoFilter="0" pivotTables="0"/>
  <mergeCells count="1">
    <mergeCell ref="A1:L1"/>
  </mergeCells>
  <phoneticPr fontId="2" type="noConversion"/>
  <conditionalFormatting sqref="A17">
    <cfRule type="cellIs" dxfId="21" priority="1" stopIfTrue="1" operator="equal">
      <formula>"GREEN"</formula>
    </cfRule>
    <cfRule type="cellIs" dxfId="20" priority="2" stopIfTrue="1" operator="equal">
      <formula>"YELLOW"</formula>
    </cfRule>
    <cfRule type="cellIs" dxfId="19" priority="3" stopIfTrue="1" operator="equal">
      <formula>"RED"</formula>
    </cfRule>
  </conditionalFormatting>
  <conditionalFormatting sqref="B17:T17">
    <cfRule type="cellIs" dxfId="18" priority="4" stopIfTrue="1" operator="equal">
      <formula>"GREEN"</formula>
    </cfRule>
    <cfRule type="cellIs" dxfId="17" priority="5" stopIfTrue="1" operator="equal">
      <formula>"YELLOW"</formula>
    </cfRule>
    <cfRule type="cellIs" dxfId="16" priority="6" stopIfTrue="1" operator="equal">
      <formula>"RED"</formula>
    </cfRule>
  </conditionalFormatting>
  <dataValidations count="1">
    <dataValidation type="decimal" allowBlank="1" showInputMessage="1" showErrorMessage="1" error="Please enter a valid number." sqref="C6:I6 B5:I5 B8:I8 J4:T8" xr:uid="{00000000-0002-0000-0100-000000000000}">
      <formula1>-100000000</formula1>
      <formula2>100000000</formula2>
    </dataValidation>
  </dataValidations>
  <pageMargins left="0.75" right="0.75" top="1" bottom="1" header="0.5" footer="0.5"/>
  <pageSetup scale="76" orientation="landscape" r:id="rId1"/>
  <headerFooter alignWithMargins="0">
    <oddHeader>&amp;A</oddHeader>
    <oddFooter>Page &amp;P of &amp;N</oddFooter>
  </headerFooter>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opLeftCell="F51" zoomScale="85" zoomScaleNormal="85" zoomScalePageLayoutView="85" workbookViewId="0">
      <selection activeCell="AB51" sqref="AB51"/>
    </sheetView>
  </sheetViews>
  <sheetFormatPr defaultColWidth="8.85546875" defaultRowHeight="12.6"/>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4.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8952B8-A92A-4EC6-919A-585326AE1665}"/>
</file>

<file path=customXml/itemProps2.xml><?xml version="1.0" encoding="utf-8"?>
<ds:datastoreItem xmlns:ds="http://schemas.openxmlformats.org/officeDocument/2006/customXml" ds:itemID="{59DE95EC-569D-4A4A-A6C6-CE9D2601D3CE}"/>
</file>

<file path=customXml/itemProps3.xml><?xml version="1.0" encoding="utf-8"?>
<ds:datastoreItem xmlns:ds="http://schemas.openxmlformats.org/officeDocument/2006/customXml" ds:itemID="{5C132233-F222-492C-9D45-2E862E9A3BD7}"/>
</file>

<file path=customXml/itemProps4.xml><?xml version="1.0" encoding="utf-8"?>
<ds:datastoreItem xmlns:ds="http://schemas.openxmlformats.org/officeDocument/2006/customXml" ds:itemID="{114F2242-DD79-4927-A859-E00403A130D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keywords/>
  <dc:description/>
  <cp:lastModifiedBy>DAVIDE LA GAMBA</cp:lastModifiedBy>
  <cp:revision/>
  <dcterms:created xsi:type="dcterms:W3CDTF">2004-04-27T16:32:13Z</dcterms:created>
  <dcterms:modified xsi:type="dcterms:W3CDTF">2024-02-07T11:49:52Z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