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검색기" sheetId="1" r:id="rId4"/>
    <sheet state="visible" name="raw data" sheetId="2" r:id="rId5"/>
    <sheet state="visible" name="구비된 술 목록" sheetId="3" r:id="rId6"/>
    <sheet state="visible" name="구비된 음료" sheetId="4" r:id="rId7"/>
  </sheets>
  <definedNames/>
  <calcPr/>
</workbook>
</file>

<file path=xl/sharedStrings.xml><?xml version="1.0" encoding="utf-8"?>
<sst xmlns="http://schemas.openxmlformats.org/spreadsheetml/2006/main" count="2147" uniqueCount="1160">
  <si>
    <t>메인</t>
  </si>
  <si>
    <t>기법</t>
  </si>
  <si>
    <t>레시피</t>
  </si>
  <si>
    <t>점수</t>
  </si>
  <si>
    <t>구비 여부</t>
  </si>
  <si>
    <t>이름</t>
  </si>
  <si>
    <t>점수(by 권)</t>
  </si>
  <si>
    <t>후기</t>
  </si>
  <si>
    <t>21세기</t>
  </si>
  <si>
    <t>데낄라</t>
  </si>
  <si>
    <t>쉐이킹</t>
  </si>
  <si>
    <t>데낄라 블랑코 60ml, 카카오 화이트 23ml, 레몬즙 23ml, 아가베 시럽 1티스푼</t>
  </si>
  <si>
    <t>가리발디</t>
  </si>
  <si>
    <t>캄파리</t>
  </si>
  <si>
    <t>쉐이킹 or 블렌딩</t>
  </si>
  <si>
    <t>캄파리 45ml, 오렌지 주스 135ml</t>
  </si>
  <si>
    <t>갓더터</t>
  </si>
  <si>
    <t>보드카</t>
  </si>
  <si>
    <t>빌드</t>
  </si>
  <si>
    <t>보드카 60ml, 아마레또 30ml, 크림 30ml</t>
  </si>
  <si>
    <t>갓선</t>
  </si>
  <si>
    <t>위스키</t>
  </si>
  <si>
    <t>스카치 위스키 60ml, 아마레또 30ml, 크림 30ml</t>
  </si>
  <si>
    <t>갓파더</t>
  </si>
  <si>
    <t>위스키 4, 아마레또 1 비율</t>
  </si>
  <si>
    <t>곤돌리에레</t>
  </si>
  <si>
    <t>스터</t>
  </si>
  <si>
    <t>스카치 위스키 60ml, 마라스키노 30ml</t>
  </si>
  <si>
    <t>골드 러쉬</t>
  </si>
  <si>
    <t>버번</t>
  </si>
  <si>
    <t>버번 or 라이 or 블렌디드 위스키 60ml, 레몬즙 22.5ml, 꿀 22.5ml, 레몬 트위스트</t>
  </si>
  <si>
    <t>골든 데이즈</t>
  </si>
  <si>
    <t>진</t>
  </si>
  <si>
    <t xml:space="preserve">피치트리 45ml, 진 15ml, 오렌지 주스 30ml </t>
  </si>
  <si>
    <t>골든 드림</t>
  </si>
  <si>
    <t>리큐르</t>
  </si>
  <si>
    <t>갈리아노 30ml, 트리플 섹 15ml, 오렌지 주스 15ml, 크림 15ml</t>
  </si>
  <si>
    <t>골든 드림2</t>
  </si>
  <si>
    <t>갈리아노 30ml, 트리플 섹 30ml, 오렌지 주스 30ml, 크림 15ml</t>
  </si>
  <si>
    <t>골든 마르가리따</t>
  </si>
  <si>
    <t>쉐이킹 or 빌드</t>
  </si>
  <si>
    <t>데낄라 40ml, 오렌지 큐라소 20ml, 레몬즙 10ml</t>
  </si>
  <si>
    <t>골든 캐딜락</t>
  </si>
  <si>
    <t>크렘 드 카카오 60ml, 갈리아노 22.5ml, 크림 30ml</t>
  </si>
  <si>
    <t>골든 피즈</t>
  </si>
  <si>
    <t>진 45ml, 레몬즙 22.5ml, 심플시럽 22.5ml, 계란 1개, 드라이 쉐이킹 후 쉐이킹, 탄산수 90ml</t>
  </si>
  <si>
    <t>그랑블루</t>
  </si>
  <si>
    <t>피치트리</t>
  </si>
  <si>
    <t>피치트리 30ml, 블루 큐라소 15ml, 말리부 15ml, 사워믹스 60ml</t>
  </si>
  <si>
    <t>맛있고 예쁨</t>
  </si>
  <si>
    <t>그래스호퍼</t>
  </si>
  <si>
    <t>민트 리큐르</t>
  </si>
  <si>
    <t>쉐이킹(보스턴)</t>
  </si>
  <si>
    <t>민트 리큐르 30ml, 카카오 리큐르(화이트) 30ml, 우유 or 크림 30ml</t>
  </si>
  <si>
    <t>그레네이드</t>
  </si>
  <si>
    <t>진 52.5ml, 레몬즙 30ml, 쉐이킹 후 크러쉬드 아이스 가득, 그레나딘 시럽 22.5ml</t>
  </si>
  <si>
    <t>그레이 하운드</t>
  </si>
  <si>
    <t>진or보드카</t>
  </si>
  <si>
    <t>진or보드카 45ml, 자몽 주스 적당량, 소금 약간</t>
  </si>
  <si>
    <t>그린 위도우</t>
  </si>
  <si>
    <t>블루 큐라소 30ml, 오렌지 주스 45ml</t>
  </si>
  <si>
    <t>그린 피치</t>
  </si>
  <si>
    <t>피치 리큐르</t>
  </si>
  <si>
    <t>블렌딩</t>
  </si>
  <si>
    <t>보드카 15ml, 멜론 리큐르 15ml, 피치 리큐르 22.5ml, 오렌지 주스 30ml, 사워믹스 30ml</t>
  </si>
  <si>
    <t>글래디에이터</t>
  </si>
  <si>
    <t>샷 글라스에 아마레또 15ml, 셔던 컴포트 15ml, 유리잔에 오렌지 주스 60ml, 레몬라임 소다 60ml, 샷 글라스를 유리잔에 퐁당!</t>
  </si>
  <si>
    <t>글루미 바이올렛</t>
  </si>
  <si>
    <t>데낄라 30ml, 블루 큐라소 15ml, 드라이 베르뭇 15ml, 라임즙 15ml, 크렌베리 주스 30ml</t>
  </si>
  <si>
    <t>길다</t>
  </si>
  <si>
    <t>블랑코 데낄라 60ml, 파인애플 주스 15ml, 라임즙 15ml, 계피시럽 15ml</t>
  </si>
  <si>
    <t>김렛</t>
  </si>
  <si>
    <t>드라이 진 45ml, 라임즙 15ml, 설탕시럽 7.5ml</t>
  </si>
  <si>
    <t>깁슨</t>
  </si>
  <si>
    <t>드라이 진 45ml, 드라이 베르뭇 22ml, 가니쉬로 칵테일 어니언 2~3개 풍덩</t>
  </si>
  <si>
    <t>깔루아밀크</t>
  </si>
  <si>
    <t>깔루아</t>
  </si>
  <si>
    <t>깔루아 30ml, 우유 120ml</t>
  </si>
  <si>
    <t>GOAT</t>
  </si>
  <si>
    <t>깔바도스 칵테일</t>
  </si>
  <si>
    <t>애플 브랜디</t>
  </si>
  <si>
    <t>애플 브랜디 60ml, 트리플 섹 15ml, 오렌지 주스 15ml, 레몬즙 15ml, 오렌지 비터 1대쉬</t>
  </si>
  <si>
    <t>꿀벌의 키스</t>
  </si>
  <si>
    <t>럼</t>
  </si>
  <si>
    <t>화이트 럼 45ml, 헤비 휘핑 크림 or 라이트 크림 30ml, 꿀 2작은술, 가니쉬 잘게 갈린 육두구</t>
  </si>
  <si>
    <t>낙원</t>
  </si>
  <si>
    <t>드라이 진 30ml, 오렌지 주스 30ml, 살구 or 애프리콧 브랜디 30ml</t>
  </si>
  <si>
    <t>네그로니</t>
  </si>
  <si>
    <t>캄파리 30ml, 베르뭇 로쏘 30ml, 진 30ml, 오렌지 or 레몬 껍질</t>
  </si>
  <si>
    <t>오렌지 안들어가면 쓰다</t>
  </si>
  <si>
    <t>네그로니 사워</t>
  </si>
  <si>
    <t>진 23ml, 캄파리 23ml, 스윗 베르뭇 23ml, 레몬즙 30ml, 시럽 15ml, 계란 흰자 1개</t>
  </si>
  <si>
    <t>뇌출혈</t>
  </si>
  <si>
    <t>플로팅</t>
  </si>
  <si>
    <t>피치트리 2/3, 베일리스 1/3, 그레나딘 시럽 톡톡</t>
  </si>
  <si>
    <t>뉴 스쿨 진 데이지</t>
  </si>
  <si>
    <t>진 45ml, 레몬즙 15ml, 그레나딘 시럽 7.5ml, 심플시럽 7.5ml, 쉐이킹 후 탄산수 필업</t>
  </si>
  <si>
    <t>뉴욕</t>
  </si>
  <si>
    <t>버번 위스키 60ml, 레몬즙 30ml, 설탕 1티스푼, 그레나딘 시럽 1/2 티스푼</t>
  </si>
  <si>
    <t>뉴욕2</t>
  </si>
  <si>
    <t>버번 위스키 45ml, 라임즙 15ml, 설탕 1티스푼, 그레나딘 시럽 1/2 티스푼</t>
  </si>
  <si>
    <t>니콜라시카</t>
  </si>
  <si>
    <t>브랜디 or 꼬냑</t>
  </si>
  <si>
    <t>브랜디 or 꼬냑 25ml, 레몬 슬라이스 1조각 위에 설탕 1덩어리, 레몬과 설탕을 털어먹고 원샷!</t>
  </si>
  <si>
    <t>다이키리</t>
  </si>
  <si>
    <t>화이트 럼 45ml, 라임즙 30ml, 설탕시럽 15ml, 라임 슬라이스</t>
  </si>
  <si>
    <t>다이키리2</t>
  </si>
  <si>
    <t>화이트 럼 60ml, 라임즙 20ml, 설탕시럽 10ml</t>
  </si>
  <si>
    <t>다잉 바스타드</t>
  </si>
  <si>
    <t>혼합</t>
  </si>
  <si>
    <t>브랜디 or꼬냑 15ml, 진 15ml, 버번 15ml, 라임즙 15ml, 비터 2대쉬, 쉐이킹 후 진저비어 필업</t>
  </si>
  <si>
    <t>닥터 킬러</t>
  </si>
  <si>
    <t>론디아즈 15ml, 보드카 15ml, 진 15ml, 럼 15ml, 드람부이 15ml</t>
  </si>
  <si>
    <t>더 브로디</t>
  </si>
  <si>
    <t>데낄라 30ml, 체리 히링 23ml, 스윗 베르뭇 23ml</t>
  </si>
  <si>
    <t>더비</t>
  </si>
  <si>
    <t>버번 or 라이 위스키 30ml, 라임즙 22.5ml, 스윗 베르뭇 15ml, 오렌지 큐라소 15ml, 레몬 웻지</t>
  </si>
  <si>
    <t>더비 피즈</t>
  </si>
  <si>
    <t>스카치 위스키 45ml, 오렌지 큐라소 1티스푼, 레몬즙 15ml, 설탕 1티스푼, 계란 1개, 쉐이킹 후 탄산수 필업</t>
  </si>
  <si>
    <t>더스티 로즈</t>
  </si>
  <si>
    <t>체리 브랜디 30ml, 크렘 드 카카오 화이트 15ml, 휘핑 크림 or 크림 60ml, 가니쉬 체리</t>
  </si>
  <si>
    <t>더티 마더</t>
  </si>
  <si>
    <t>브랜디</t>
  </si>
  <si>
    <t>브랜디 40ml, 깔루아 20ml</t>
  </si>
  <si>
    <t>데낄라 썬라이즈</t>
  </si>
  <si>
    <t>데낄라 45ml, 오렌지 주스 80%, 그레나딘 시럽 15ml</t>
  </si>
  <si>
    <t>스테디셀러</t>
  </si>
  <si>
    <t>데드 바스타드</t>
  </si>
  <si>
    <t>브랜디 or 꼬냑 15ml, 진 15ml, 버번 15ml, 화이트 럼 15ml, 라임즙 15ml, 비터 2대쉬, 쉐이킹 후 진저비어 필업</t>
  </si>
  <si>
    <t>데저트 힐러</t>
  </si>
  <si>
    <t>진 45ml, 체리 브랜디 15ml, 오렌지 주스 60ml, 쉐이킹 후 진저비어 60ml</t>
  </si>
  <si>
    <t>데티니</t>
  </si>
  <si>
    <t>데낄라 75ml, 드라이 베르뭇 15ml, 비터 1대쉬</t>
  </si>
  <si>
    <t>도랄토</t>
  </si>
  <si>
    <t>데낄라 45ml, 레몬즙 15ml, 설탕 1/2티스푼, 비터 1대쉬, 토닉워터 120ml(쉐이킹 후)</t>
  </si>
  <si>
    <t>도쿄 아이스티</t>
  </si>
  <si>
    <t>보드카 15ml, 럼 15ml, 진 15ml, 데낄라 15ml, 트리플섹 15ml, 사워믹스 60ml, 멜론 리큐르 30ml, 사이다 필업</t>
  </si>
  <si>
    <t>달콤함</t>
  </si>
  <si>
    <t>도화</t>
  </si>
  <si>
    <t>피치트리 30ml, 트리플섹 20ml, 사워믹스 20ml 라임즙 10ml, 사과주스 45ml, 그레나딘 시럽 2티스푼, 사이다 풀업(쉐이킹 후)</t>
  </si>
  <si>
    <t>동해</t>
  </si>
  <si>
    <t>피치트리 30ml, 블루 큐라소 15ml, 사워믹스 45ml, 사과 주스 45ml</t>
  </si>
  <si>
    <t>가볍고 예쁘고 달콤</t>
  </si>
  <si>
    <t>동해2</t>
  </si>
  <si>
    <t>피치트리 30ml, 블루 큐라소 15ml, 사과 주스 60ml, 라임즙 15ml, 심플시럼 15ml, 사워믹스 60ml</t>
  </si>
  <si>
    <t>라 아구아</t>
  </si>
  <si>
    <t>말리부 15ml, 블루 큐라소 15ml, 베일리스 15ml</t>
  </si>
  <si>
    <t>라이 클럽</t>
  </si>
  <si>
    <t>라이 위스키 45ml, 오렌지 큐라소 30ml, 오렌지 비터 1대쉬</t>
  </si>
  <si>
    <t>러브 엘릭서</t>
  </si>
  <si>
    <t>X레이티드</t>
  </si>
  <si>
    <t>빌드 or 쉐이킹</t>
  </si>
  <si>
    <t>X레이티드 30ml, 보드카 15ml, 오렌지 주스 30ml, 파인애플 주스 30ml, 그레나딘 시럽 15ml</t>
  </si>
  <si>
    <t>궁극기</t>
  </si>
  <si>
    <t>러스티 네일</t>
  </si>
  <si>
    <t>스카치 위스키 30ml, 드람부이 15ml</t>
  </si>
  <si>
    <t>위스키 베이스</t>
  </si>
  <si>
    <t>런던 아이스티</t>
  </si>
  <si>
    <t>화이트 럼 22.5ml, 드라이 진 22.5ml, 디사론노 15ml, 설탕 시럽 60ml, 레몬즙 22.5ml, 쉐이킹 후 콜라 90ml</t>
  </si>
  <si>
    <t>럼 콕</t>
  </si>
  <si>
    <t>화이트 럼 45ml, 코카콜라 풀업</t>
  </si>
  <si>
    <t>심플</t>
  </si>
  <si>
    <t>럼 플립</t>
  </si>
  <si>
    <t>숙성 or 다크 럼 60ml, 계란 1개, 심플 시럽 7.5ml, 드라이 쉐이킹 후 쉐이킹, 가니쉬 육두구</t>
  </si>
  <si>
    <t>레드 아이</t>
  </si>
  <si>
    <t>맥주</t>
  </si>
  <si>
    <t>맥주 90ml, 토마토 주스 90ml</t>
  </si>
  <si>
    <t>레드 애플</t>
  </si>
  <si>
    <t>보드카 30ml, 사과 주스 30ml, 그레나딘 시럽 1티스푼</t>
  </si>
  <si>
    <t>레몬 드랍</t>
  </si>
  <si>
    <t>보드카 30ml, 레몬즙 30ml, 트리플 섹 or 심플시럽 15ml, 레몬 슬라이스 1조각</t>
  </si>
  <si>
    <t>레이디 백</t>
  </si>
  <si>
    <t>진 30ml, 애플 보드카 30ml, 파인애플 주스 60ml, 쉐이킹 후 탄산수 30ml</t>
  </si>
  <si>
    <t>레이먼드 매쉬</t>
  </si>
  <si>
    <t>라이 or 버번 or 블렌디드 위스키 60ml, 생강 시럽 15ml, 쉐이킹 후 스파클링 와인 150ml</t>
  </si>
  <si>
    <t>로시타</t>
  </si>
  <si>
    <t>데낄라 45ml, 캄파리 15ml, 드라이 베르뭇 15ml, 스윗 베르뭇 15ml, 비터 1대쉬</t>
  </si>
  <si>
    <t>로얄 하와이안</t>
  </si>
  <si>
    <t>진 45ml, 파인애플 주스 30ml, 레몬즙 15ml, 오르쟈 시럽 15ml</t>
  </si>
  <si>
    <t>로켓 퓨얼</t>
  </si>
  <si>
    <t>보드카 20ml, 151 20ml, 진 20ml, 트리플섹 20ml, 오렌지 주스 20ml, 스터 후 다크럼 20ml(쌓아준다는 느낌)</t>
  </si>
  <si>
    <t>롭 로이</t>
  </si>
  <si>
    <t>스카치 위스키 45ml, 스윗 베르뭇 23ml, 비터 1대쉬, 체리 1조각</t>
  </si>
  <si>
    <t>롱 비치 아이스티</t>
  </si>
  <si>
    <t>럼 15ml, 진 15ml, 보드카 15ml, 데낄라 15ml, 트리플섹 15ml, 라임즙 15ml, 사워믹스 60ml 크렌베리 주스 필업(쉐이킹 후)</t>
  </si>
  <si>
    <t>붉은 롱티</t>
  </si>
  <si>
    <t>롱 아일랜드 아이스티</t>
  </si>
  <si>
    <t>보드카 30ml, 진 30ml, 럼 30ml, 데낄라 30ml, 트리플섹 30ml, 사워믹스 60ml, 코카콜라 풀업, 오렌지 웨지</t>
  </si>
  <si>
    <t>롱 아일랜드 아이스티2</t>
  </si>
  <si>
    <t>럼 15ml, 진 15ml, 보드카 15ml, 데낄라 15ml, 트리플섹 15ml, 라임즙 15ml, 사워믹스 60ml, 콜라 적당히</t>
  </si>
  <si>
    <t>루돌프 콜린스</t>
  </si>
  <si>
    <t>진 45ml, 슬로 진 22.5ml, 레몬즙 22.5ml, 계피시럽 15ml, 쉐이킹 후 탄산수 필업</t>
  </si>
  <si>
    <t>루시안-가우딘</t>
  </si>
  <si>
    <t>진 30ml, 캄파리 15ml, 트리플 섹 15ml, 드라이 베르뭇 15ml, 레몬 트위스트</t>
  </si>
  <si>
    <t>리버스 맨해튼</t>
  </si>
  <si>
    <t>스윗 베르뭇 60ml, 라이 or 버번 or 블렌디드 위스키 30ml, 앙고스투라 비터 2대쉬, 가니쉬 레몬 트위스트, 체리</t>
  </si>
  <si>
    <t>리볼버</t>
  </si>
  <si>
    <t>버번 위스키 60ml, 커피 리큐르 15ml, 오렌지 비터 2대쉬, 오렌지 껍질 가니쉬</t>
  </si>
  <si>
    <t>리치 콜린스</t>
  </si>
  <si>
    <t>진 30ml, 콰이페 30ml, 레몬즙 반개, 시럽 15ml, 탄산수 필업(쉐이킹 후)</t>
  </si>
  <si>
    <t>립 이어</t>
  </si>
  <si>
    <t>진 60ml, 스윗 베르뭇 15ml, 그랑 마르니에 15ml, 레몬즙 8ml</t>
  </si>
  <si>
    <t>마드라스</t>
  </si>
  <si>
    <t>보드카 45ml, 오렌지 주스 60ml, 크렌베리 주스 60ml, 오렌지 웨지</t>
  </si>
  <si>
    <t>마르가리따</t>
  </si>
  <si>
    <t>데낄라 45ml, 트리플섹 15ml, 라임즙 15ml, 잔에 소금 리밍, 라임 슬라이스 1조각</t>
  </si>
  <si>
    <t>마미 테일러</t>
  </si>
  <si>
    <t>레몬 or 라임즙 22.5ml, 스카치 위스키 60ml, 진저에일 or 진저비어 90ml, 오렌지 비터 2대쉬, 가니쉬 레몬 웻지</t>
  </si>
  <si>
    <t>마블 퀸</t>
  </si>
  <si>
    <t>데낄라 45ml, 코코넛 믹스 30ml, 라임즙 15ml</t>
  </si>
  <si>
    <t>마이타이</t>
  </si>
  <si>
    <t>말리부</t>
  </si>
  <si>
    <t>말리부 30ml, 트리플섹 15ml, 파인애플 주스 60ml, 오렌지 주스 30ml, 레몬즙 15ml, 라임즙 15ml, 그레나딘 시럽 15ml</t>
  </si>
  <si>
    <t>마크 트웨인</t>
  </si>
  <si>
    <t>스카치 위스키 45ml, 레몬즙 23ml, 시럽 15ml, 비터 2대쉬</t>
  </si>
  <si>
    <t>마타도르(투우사)</t>
  </si>
  <si>
    <t>데낄라 30ml, 파인애플 주스 60ml, 라임즙 15ml, 파인애플 조각, 체리 조각</t>
  </si>
  <si>
    <t>마티니</t>
  </si>
  <si>
    <t>진 60ml, 드라이 베르뭇 15ml, 취향에 따라 잘섞이게 스터, 칵테일 올리브 1개</t>
  </si>
  <si>
    <t>맨해튼</t>
  </si>
  <si>
    <t>버번 위스키 60ml, 베르뭇 로쏘 20ml, 비터 3대쉬, 체리 1조각, 레몬 오일</t>
  </si>
  <si>
    <t>맨해튼2</t>
  </si>
  <si>
    <t>버번 위스키 45ml, 스윗 베르뭇 23ml, 비터 1대쉬</t>
  </si>
  <si>
    <t>머드 슬라이스</t>
  </si>
  <si>
    <t>블렌딩 or 쉐이킹</t>
  </si>
  <si>
    <t>깔루아 30ml, 베일리스 20ml, 보드카 20ml, 크림 30ml, 블렌딩 후 초콜릿 시럽 뿌려주기</t>
  </si>
  <si>
    <t>메트로폴리탄</t>
  </si>
  <si>
    <t>꼬냑 or 브랜디</t>
  </si>
  <si>
    <t>브랜디 or 꼬냑 60ml, 스윗베르뭇 30ml, 심플시럽 0.5티스푼, 앙고스투라 비터 2대쉬</t>
  </si>
  <si>
    <t>멕시칸 선셋</t>
  </si>
  <si>
    <t>아마레또 30ml, 피치 슈냅스 30ml, 실버데낄라 90ml, 파인애플 주스 180ml, 쉐이킹 후 그레나딘 시럽 15ml, 가니쉬로 라임, 체리</t>
  </si>
  <si>
    <t>멕시콜라</t>
  </si>
  <si>
    <t>데낄라 45ml, 코카콜라 풀업, 라임즙 15ml</t>
  </si>
  <si>
    <t>멜론 쿨러</t>
  </si>
  <si>
    <t>멜론 리큐르</t>
  </si>
  <si>
    <t>멜론 리큐르 30ml, 피치 리큐르 15ml, 파인애플 주스 60ml, 탄산수 필업</t>
  </si>
  <si>
    <t>멜론 패치</t>
  </si>
  <si>
    <t>보드카 60ml, 멜론 리큐르 30ml, 트리플섹 15ml, 쉐이킹 후 탄산수 120ml, 가니쉬 레몬껍질</t>
  </si>
  <si>
    <t>멜론볼</t>
  </si>
  <si>
    <t>보드카 30ml, 멜론 리큐르 60ml, 오렌지 주스 적당량</t>
  </si>
  <si>
    <t>모스코 뮬</t>
  </si>
  <si>
    <t>보드카 45ml, 라임즙 15ml, 진저비어 110ml</t>
  </si>
  <si>
    <t>모킹 버드</t>
  </si>
  <si>
    <t>페페로페즈(데낄라) 30ml, 민트 리큐르 15ml, 라임즙 15ml</t>
  </si>
  <si>
    <t>몽키 사인</t>
  </si>
  <si>
    <t>화이트 럼 45ml, 말리부 15ml, 파인애플 60ml, 라임즙 10ml</t>
  </si>
  <si>
    <t>미도리 볼</t>
  </si>
  <si>
    <t>멜론 리큐르 30ml, 사워믹스 15ml, 오렌지 주스 80%, 레몬 슬라이스, 체리 1조각</t>
  </si>
  <si>
    <t>미도리 사워</t>
  </si>
  <si>
    <t>멜론 리큐르 45ml, 레몬즙 30ml, 설탕 2티스푼</t>
  </si>
  <si>
    <t>미도리 사워2</t>
  </si>
  <si>
    <t>멜론 리큐르 45ml, 레몬즙 30ml, 사이다 80%, 레몬 슬라이스</t>
  </si>
  <si>
    <t>미도리 일루젼</t>
  </si>
  <si>
    <t>보드카 15ml, 트리플섹 15ml, 멜론 리큐르 60ml, 레몬즙 30ml, 파인애플 주스 30ml</t>
  </si>
  <si>
    <t>미친듯한 미도리사워</t>
  </si>
  <si>
    <t>멜론 리큐르 30ml, 진 30ml, 레몬즙 22.5ml, 라임농축액 15ml, 계란흰자 1개, 드라이 쉐이킹 후 쉐이킹, 오렌지 필</t>
  </si>
  <si>
    <t>민들레</t>
  </si>
  <si>
    <t>릴레블랑 45ml, 베네딕틴 15ml, 압생트 5ml, 가니쉬 레몬필</t>
  </si>
  <si>
    <t>민주당 원</t>
  </si>
  <si>
    <t>버번 or 라이 or 블렌디드 위스키 60ml, 피치트리 15ml, 레몬즙 22.5ml, 꿀 15ml 빌드</t>
  </si>
  <si>
    <t>민트 라떼</t>
  </si>
  <si>
    <t>커피 리큐르 30ml, 크렘 드 민트 화이트 30ml, 우유 60%(하아볼 글라스 기준)</t>
  </si>
  <si>
    <t>민트 크림 마티니</t>
  </si>
  <si>
    <t>민트 리큐르 30ml, 베일리스 30ml, 보드카 30ml, 우유 30~60ml</t>
  </si>
  <si>
    <t>밀크 펀치</t>
  </si>
  <si>
    <t>우유 45ml, 꼬냑 or 브랜디 30ml, 다크럼 30ml, 심플시럽 22.5ml, 가니쉬 육두구</t>
  </si>
  <si>
    <t>바나나 보트</t>
  </si>
  <si>
    <t>바나나 리큐르</t>
  </si>
  <si>
    <t>진 45ml, 바나나 리큐르 30ml, 오렌지 주스 90ml, 쉐이킹 후 그레나딘 시럽 3~4방울, 바나나 조각 2~3개, 오렌지 조각 1개</t>
  </si>
  <si>
    <t>바나나 블리스</t>
  </si>
  <si>
    <t>꼬냑 or 브랜디 30ml, 스윗 or 드라이 셰리 22.5ml, 바나나 리큐르 7.5ml</t>
  </si>
  <si>
    <t>바나나 크림</t>
  </si>
  <si>
    <t>바나나 리큐르 15ml, 카카오 리큐르 15ml, 베일리스 15ml, 크림 15ml</t>
  </si>
  <si>
    <t>바니 마더</t>
  </si>
  <si>
    <t>보드카 45ml, 오렌지 주스 30ml, 레몬즙 30ml, 심플시럽 2티스푼, 그레나딘 시럽 7.5ml 쉐이킹 후 트리플 섹 7.5ml 플로팅, 가니쉬 빨대</t>
  </si>
  <si>
    <t>바니 마더2</t>
  </si>
  <si>
    <t>보드카 45ml, 오렌지 주스 30ml, 레몬즙 30ml, 심플시럽 2티스푼, 그레나딘 시럽 7.5ml, 트리플 섹 7.5ml</t>
  </si>
  <si>
    <t>바비 번즈</t>
  </si>
  <si>
    <t>스카치 위스키 60ml, 스윗 베르뭇 23ml, 베네딕틴 15ml</t>
  </si>
  <si>
    <t>바카디</t>
  </si>
  <si>
    <t>화이트 럼 45ml, 라임즙 20ml, 그레나딘 시럽 10ml</t>
  </si>
  <si>
    <t>밴시</t>
  </si>
  <si>
    <t>바나나 리큐르 45ml, 크림 or 우유 30ml, 크렘 드 카카오 15ml</t>
  </si>
  <si>
    <t>발레 러스</t>
  </si>
  <si>
    <t>보드카 40ml, 카시스 15ml, 칼린스 90ml(향이 첨가된 탄산수)</t>
  </si>
  <si>
    <t>발렌시아</t>
  </si>
  <si>
    <t>디사론노</t>
  </si>
  <si>
    <t>애프리콧 or 디사론노 45ml, 오렌지 주스 60ml, 비터 2대쉬</t>
  </si>
  <si>
    <t>백만달러</t>
  </si>
  <si>
    <t>진 45ml, 스윗 베르뭇 22.5ml, 파인애플 주스 60ml, 그레나딘 시럽 1티스푼, 계란흰자 1개</t>
  </si>
  <si>
    <t>뱀부</t>
  </si>
  <si>
    <t>와인</t>
  </si>
  <si>
    <t>드라이 셰리 60ml, 드라이 베르뭇 30ml, 오렌지 비터 2대쉬</t>
  </si>
  <si>
    <t>뱀파이어 키스</t>
  </si>
  <si>
    <t>멜론 리큐르 15ml, 크림 37.5ml, 보드카 22.5ml, 파인애플 주스 75ml, 쉐이킹 후 그레나딘 시럽을 뿌려주고, 그 위에 드리즐해준다.</t>
  </si>
  <si>
    <t>버뮤다 헌드레드</t>
  </si>
  <si>
    <t>진 30ml, 캄파리 23ml, 라임즙 15ml, 파인애플 주스 45ml, 오르쟈 15ml</t>
  </si>
  <si>
    <t>버번 리뉴얼</t>
  </si>
  <si>
    <t>버번 위스키 60ml, 레몬즙 30ml, 카시스 15ml, 심플시럽 15ml, 앙고스투라 비터 1대쉬, 가니쉬 레몬 웻지</t>
  </si>
  <si>
    <t>버번 리프트</t>
  </si>
  <si>
    <t>버번 위스키 45ml, 오르쟈 시럽 15ml, 헤비 휘핑 크림 15ml, 커피 리큐르 15ml, 쉐이킹 후 탄산수 90ml</t>
  </si>
  <si>
    <t>버번 토닉</t>
  </si>
  <si>
    <t>버번 위스키 60ml, 탄산수 60ml, 앙고스투라 비터 2~3대쉬</t>
  </si>
  <si>
    <t>버블 껌 보이 샷</t>
  </si>
  <si>
    <t>바나나 리큐르 15ml, 블루 큐라소 15ml, 베일리스 15ml</t>
  </si>
  <si>
    <t>버진 키스</t>
  </si>
  <si>
    <t>다크럼 40ml, 갈리아노 10ml, 애프리콧 브랜디 10ml, 레몬즙 15ml, 파인애플 주스 30ml</t>
  </si>
  <si>
    <t>베넷</t>
  </si>
  <si>
    <t>진 60ml, 라임즙 30ml, 심플시럽 15ml, 앙고스투라 비터 1대쉬</t>
  </si>
  <si>
    <t>베이 브리즈</t>
  </si>
  <si>
    <t>화이트 럼 60ml, 크렌베리 주스 45ml, 파인애플 주스 45ml</t>
  </si>
  <si>
    <t>베일리스 캔디케인</t>
  </si>
  <si>
    <t>베일리스 30ml, 카카오 리큐르 30ml, 민트 리큐르 15ml</t>
  </si>
  <si>
    <t>벨리니 사워</t>
  </si>
  <si>
    <t>벨리니 100ml, 보드카 30ml, 레몬 or 라임 슬라이스</t>
  </si>
  <si>
    <t>벨벳 해머</t>
  </si>
  <si>
    <t>트리플 섹 30ml, 크렘 드 카카오 화이트 30ml, 그레나딘 시럽 1티스푼, 크림 30ml</t>
  </si>
  <si>
    <t>보드카 썬라이즈</t>
  </si>
  <si>
    <t>보드카 45ml, 오렌지 주스 140ml, 그레나딘 시럽 1티스푼</t>
  </si>
  <si>
    <t>보드카피즈</t>
  </si>
  <si>
    <t>보드카 45ml, 설탕 2티스푼, 레몬즙 20ml, 탄산수 풀업, 레몬 슬라이스</t>
  </si>
  <si>
    <t>보스턴 티파티</t>
  </si>
  <si>
    <t>럼 15ml, 진 15ml, 보드카 15ml, 데낄라 15ml, 트리플섹 15ml, 라임즙 15ml, 사워믹스 60ml, 깔루아 15ml(쉐이킹 후)</t>
  </si>
  <si>
    <t>보체 볼</t>
  </si>
  <si>
    <t>보드카 60ml, 아마레또 30ml, 오렌지 주스 120ml</t>
  </si>
  <si>
    <t>보치 볼</t>
  </si>
  <si>
    <t>아마레또</t>
  </si>
  <si>
    <t>아마레또 30ml, 오렌지 주스 30ml, 탄산수 45ml</t>
  </si>
  <si>
    <t>볼레로</t>
  </si>
  <si>
    <t>다크럼 30ml, 브랜디 or 꼬냑 30ml, 오렌지 주스 15ml, 라임즙 30ml, 심플 시럽 15ml</t>
  </si>
  <si>
    <t>봄보</t>
  </si>
  <si>
    <t>럼 60ml, 계피 or 흑설탕 or 생강 시럽 1작은술, 물 30ml, 가니쉬 갈린 육두구</t>
  </si>
  <si>
    <t>불독 하이볼</t>
  </si>
  <si>
    <t>드라이 진 45ml, 오렌지 주스 15ml, 진저에일 풀업</t>
  </si>
  <si>
    <t>블루 사파이어2</t>
  </si>
  <si>
    <t>피치트리 30ml, 말리부 15ml, 블루 큐라소 15ml, 라임즙 15ml, 사이다 풀업(쉐이킹 후)</t>
  </si>
  <si>
    <t>불바디에</t>
  </si>
  <si>
    <t>캄파리 30ml, 베르뭇 로쏘 30ml, 버번 위스키 30ml, 레몬 오일</t>
  </si>
  <si>
    <t>뷰모트</t>
  </si>
  <si>
    <t>진 45ml, 생제르맹 23ml, 레몬즙 23ml, 시럽 8ml</t>
  </si>
  <si>
    <t>브라운 다이아몬드</t>
  </si>
  <si>
    <t>다크 럼 30ml, 스윗 셰리 와인 22.5ml, 진저비어 필업</t>
  </si>
  <si>
    <t>브람블</t>
  </si>
  <si>
    <t>진 45ml, 레몬즙 22.5ml, 심플시럽 15ml, 쉐이킹 후 카시스 22.5ml</t>
  </si>
  <si>
    <t>브랑코 버스터</t>
  </si>
  <si>
    <t>애플 브랜디 30ml, 라이 or 버번 위스키 30ml, 레몬즙 22.5ml, 오렌지 큐라소 22.5ml, 심플시럽 약간(선택), 레몬 트위스트</t>
  </si>
  <si>
    <t>브랜디 소다</t>
  </si>
  <si>
    <t>브랜디 60ml, 탄산수 120ml</t>
  </si>
  <si>
    <t>브랜디 플립</t>
  </si>
  <si>
    <t>브랜디 45ml, 설탕 1티수푼, 라이트 크림 2티스푼, 계란 1개, 가니쉬로 너트맥 가루</t>
  </si>
  <si>
    <t>브레이브 불</t>
  </si>
  <si>
    <t>데낄라 40ml, 깔루아 20ml</t>
  </si>
  <si>
    <t>브롱스</t>
  </si>
  <si>
    <t>진 60ml, 스윗 베르뭇 7.5ml, 드라이 베르뭇 7.5ml, 오렌지 주스 30ml, 오렌지 비터 2대쉬, 오렌지 웻지 or 트위스트 or 체리</t>
  </si>
  <si>
    <t>블랙 러시안</t>
  </si>
  <si>
    <t>깔루아 30ml, 보드카 45ml</t>
  </si>
  <si>
    <t>블랙 벨벳</t>
  </si>
  <si>
    <t>스파클링 화이트 와인 120ml, 스타우트 30ml</t>
  </si>
  <si>
    <t>블랙 앤 탄</t>
  </si>
  <si>
    <t>에일 맥주 240ml, 스타우트 맥주 240ml</t>
  </si>
  <si>
    <t>블랙 호크</t>
  </si>
  <si>
    <t>버번 위스키 37.5ml, 슬로 진 37.5ml, 레몬즙 30ml</t>
  </si>
  <si>
    <t>블랙메탈</t>
  </si>
  <si>
    <t>다크럼</t>
  </si>
  <si>
    <t>다크럼 30ml, 버번위스키 15ml, 깔루아 30ml</t>
  </si>
  <si>
    <t>블랙잭</t>
  </si>
  <si>
    <t>꼬냑 or 브랜디 45ml, 체리 브랜디 15ml, 아이스커피 15ml, 심플시럽 7.5ml, 가니쉬 체리 3개</t>
  </si>
  <si>
    <t>블랙홀</t>
  </si>
  <si>
    <t>피치트리 30ml, 카시스 15ml, 깔루아 15ml, 사워믹스 60ml, 쉐이킹 후 사이다 적당히</t>
  </si>
  <si>
    <t>상당히 달콤함. 별로 검진 않음</t>
  </si>
  <si>
    <t>블러드 앤 샌드</t>
  </si>
  <si>
    <t>스카치 위스키 30ml, 스윗 베르뭇 30ml, 체리 브랜디 30ml, 오렌지 주스 30ml</t>
  </si>
  <si>
    <t>블러디 메리</t>
  </si>
  <si>
    <t>보드카 30ml, 토마토 주스 90ml, [소금, 후추, 우스터소스 등등](선택사항)</t>
  </si>
  <si>
    <t>블루 라군</t>
  </si>
  <si>
    <t>블루 큐라소</t>
  </si>
  <si>
    <t>보드카 40ml, 블루 큐라소 15ml, 레몬즙 20ml, 사이다 풀업</t>
  </si>
  <si>
    <t>블루 라군2</t>
  </si>
  <si>
    <t>보드카 30ml, 블루 큐라소 30ml, 레몬즙 30ml</t>
  </si>
  <si>
    <t>블루 마르가리따</t>
  </si>
  <si>
    <t>데낄라 45ml, 블루 큐라소 15ml, 라임즙 30ml, 잔에 설탕 리밍</t>
  </si>
  <si>
    <t>예쁨</t>
  </si>
  <si>
    <t>블루 먼데이</t>
  </si>
  <si>
    <t>보드카 45ml, 트리플섹 30ml, 블루 큐라소 15ml, 레몬 웻지</t>
  </si>
  <si>
    <t>블루 문</t>
  </si>
  <si>
    <t>진 45ml, 블루 큐라소 15ml, 설탕시럽 15ml(또는 2티스푼), 레몬즙 30ml, 파인애플 주스90ml(쉐이킹 후)</t>
  </si>
  <si>
    <t>블루 문2</t>
  </si>
  <si>
    <t>진 30ml, 파르페 아무르 15ml, 레몬즙 15ml</t>
  </si>
  <si>
    <t>블루 사파이어</t>
  </si>
  <si>
    <t>말리부 15ml, 블루 큐라소 15ml, 피치트리 15ml, 레몬즙 15ml, 라임즙 15ml, 사이다 풀업(쉐이킹 후), 체리 1조각, 레몬 슬라이스</t>
  </si>
  <si>
    <t>블루 스카이</t>
  </si>
  <si>
    <t>피치트리 15ml, 보드카 15ml, 블루 큐라소 10ml, 베일리스 톡톡</t>
  </si>
  <si>
    <t>예쁘게 하기 어려움</t>
  </si>
  <si>
    <t>블루 트레인</t>
  </si>
  <si>
    <t>진 45ml, 블루 큐라소 30ml, 레몬즙 15ml</t>
  </si>
  <si>
    <t>블루 판타지</t>
  </si>
  <si>
    <t>콰이페</t>
  </si>
  <si>
    <t>콰이페 30ml, 블루 큐라소 15ml, 피치트리 15ml, 사워믹스 60ml</t>
  </si>
  <si>
    <t>블루 하와이안</t>
  </si>
  <si>
    <t>화이트 럼 40ml, 파인애플 주스 100ml, 블루 큐라소 20ml, 말리부 40ml</t>
  </si>
  <si>
    <t>말리부 향이 강한 편</t>
  </si>
  <si>
    <t>블루 하와이안2</t>
  </si>
  <si>
    <t>화이트 럼 20ml, 보드카 20ml, 블루 큐라소 15ml, 파인애플 주스 90ml, 사워믹스 30ml</t>
  </si>
  <si>
    <t>블루스타</t>
  </si>
  <si>
    <t>블루 큐라소 30ml, 피치트리 30ml, 파인애플 주스 60ml, 사과 주스 60ml</t>
  </si>
  <si>
    <t>비너스</t>
  </si>
  <si>
    <t>애프리콧 브랜디 30ml, 갈리아노 15ml, 사워믹스 30ml, 심플시럽 15ml, 오렌지 주스 90ml</t>
  </si>
  <si>
    <t>비즈니스</t>
  </si>
  <si>
    <t>진 60ml, 레몬즙 23ml, 꿀 23ml</t>
  </si>
  <si>
    <t>비키니 마티니</t>
  </si>
  <si>
    <t>진 30ml, 블루 큐라소 30ml, 피치트리 7.5ml, 레몬즙 7.5ml, 물 22.5ml(선택사항)</t>
  </si>
  <si>
    <t>비터 스피릿츠</t>
  </si>
  <si>
    <t>캄파리 60ml, 스파클링 화이트 와인 60ml, 탄산수 30ml</t>
  </si>
  <si>
    <t>비트윈 더 시츠</t>
  </si>
  <si>
    <t>화이트 럼 20ml, 트리플섹 20ml, 꼬냑 20ml, 레몬즙 3~5ml</t>
  </si>
  <si>
    <t>비트윈 더 시츠2</t>
  </si>
  <si>
    <t>브랜디 30ml, 럼 30ml, 코앵트로 30ml, 레몬즙 1개</t>
  </si>
  <si>
    <t>사우스 비치</t>
  </si>
  <si>
    <t>캄파리 30ml, 아마레또 30ml, 오렌지 주스 120~150ml</t>
  </si>
  <si>
    <t>사이드카</t>
  </si>
  <si>
    <t>브랜디 45ml, 레몬 1/2조각(약 15ml), 코앵트로 15ml</t>
  </si>
  <si>
    <t>사이드카2</t>
  </si>
  <si>
    <t>브랜디 30ml, 코앵트로 15ml, 사워믹스 15ml</t>
  </si>
  <si>
    <t>사이드카3</t>
  </si>
  <si>
    <t>브랜디 30ml, 코앵트로 30ml, 레몬즙 8ml</t>
  </si>
  <si>
    <t>사이드카4</t>
  </si>
  <si>
    <t>브랜디 30ml, 코앵트로 20ml, 레몬즙 20ml</t>
  </si>
  <si>
    <t>산사태</t>
  </si>
  <si>
    <t>보드카 60ml, 커피 리큐르 30ml, 베일리스 30ml, 초콜릿 소스 취향껏</t>
  </si>
  <si>
    <t>산의 맛</t>
  </si>
  <si>
    <t>봄베이</t>
  </si>
  <si>
    <t>스터 + 빌드</t>
  </si>
  <si>
    <t>봄베이 1샷, 크렘 드 민트 1샷, 앙고스투라 비터 4대쉬, 얼음이 담긴 하이볼 글라스에 스터 후 솔의 눈 풀업, 민트 잎 1~2장</t>
  </si>
  <si>
    <t>상디</t>
  </si>
  <si>
    <t>진저에일 or 진저비어 or 사이다 50%, 라거 맥주 50%</t>
  </si>
  <si>
    <t>샌디 카페</t>
  </si>
  <si>
    <t>맥주 90ml, 진저에일 90ml</t>
  </si>
  <si>
    <t>서퍼링 바스타드</t>
  </si>
  <si>
    <t>브랜디 or 꼬냑 30ml, 진 30ml, 라임즙 15ml, 앙고스투라 비터 2대쉬, 쉐이킹 후 진저에일 필업</t>
  </si>
  <si>
    <t>섹스 온 더 아일랜드</t>
  </si>
  <si>
    <t>말리부 15ml, 카시스 15ml, 피치트리 15ml, 멜론 리큐르 15ml, 크렌베리 주스 60ml, 오렌지 주스 60ml, 레몬 웻지</t>
  </si>
  <si>
    <t>섹스온더비치</t>
  </si>
  <si>
    <t>보드카 45ml, 피치트리 15ml, 크렌베리 주스 60ml, 오렌지 주스 60ml</t>
  </si>
  <si>
    <t>섹스온더비치2</t>
  </si>
  <si>
    <t>보드카 30ml, 카시스 15ml, 멜론 리큐르 15ml, 파인애플 주스 30ml, 그레나딘 시럽 1/4 티스푼</t>
  </si>
  <si>
    <t>섹스온더비치3</t>
  </si>
  <si>
    <t>보드카 30ml, 카시스 20ml, 피치 슈냅스 20ml, 파인애플 주스 45ml, 크렌베리 주스 45ml</t>
  </si>
  <si>
    <t>섹시 넘버원</t>
  </si>
  <si>
    <t>꼬냑</t>
  </si>
  <si>
    <t>꼬냑 37.5ml, 코앵트로 15ml, 피치 리큐르 15ml, 그레나딘 시럽 15ml, 사워믹스 45ml</t>
  </si>
  <si>
    <t>섹시 마일드</t>
  </si>
  <si>
    <t>블루 큐라소 15ml, 사워믹스 30ml, 피냐콜라다 믹스 30ml, 우유 30ml</t>
  </si>
  <si>
    <t>소녀의 기도</t>
  </si>
  <si>
    <t>진 45ml, 코앵트로 15ml. 레몬즙 15ml, 오렌지주스 15ml</t>
  </si>
  <si>
    <t>소녀의 기도2</t>
  </si>
  <si>
    <t>진 30ml, 트리플 섹 30ml, 레몬즙 15ml, 오렌지 주스 15ml, 비터 1대쉬</t>
  </si>
  <si>
    <t>솔티 치와와</t>
  </si>
  <si>
    <t xml:space="preserve">소금 리밍, 블랑코 데낄라 60ml, 자몽주스 90ml, </t>
  </si>
  <si>
    <t>솔티독</t>
  </si>
  <si>
    <t>보드카 30ml, 자몽주스 120ml</t>
  </si>
  <si>
    <t>스카이 다이빙</t>
  </si>
  <si>
    <t>화이트 럼 30ml, 블루 큐라소 15ml, 라임즙 15ml</t>
  </si>
  <si>
    <t>스카이 라이트 피즈</t>
  </si>
  <si>
    <t>바이올렛</t>
  </si>
  <si>
    <t>바이올렛 30ml, 레몬즙 15ml, 크림 or 우유 1티스푼, 설탕 2티스푼, 쉐이킹 후 탄산수 필업</t>
  </si>
  <si>
    <t>스카이 라이트 피즈2</t>
  </si>
  <si>
    <t>진 40ml, 레몬즙 20ml, 생크림 20ml, 시럽 1티스푼, 탄산수 필업(쉐이킹 후)</t>
  </si>
  <si>
    <t>스콜피온</t>
  </si>
  <si>
    <t>럼 45ml, 브랜디 20ml, 오렌지 주스 60ml, 레몬즙 15ml, 라임즙 15ml</t>
  </si>
  <si>
    <t>스크류드라이버</t>
  </si>
  <si>
    <t>보드카 45ml, 오렌지 주스 140ml, 오렌지 슬라이스</t>
  </si>
  <si>
    <t>스테디하게 맛있음. 감귤 주스가 더 나음</t>
  </si>
  <si>
    <t>스타더스트</t>
  </si>
  <si>
    <t>보드카 45ml, 피치트리 15ml, 블루 큐라소 15ml, 레몬즙 22.5ml, 파인애플 주스 22.5ml, 쉐이킹 후 그레나딘 시럽 22.5ml</t>
  </si>
  <si>
    <t>스트로 핫</t>
  </si>
  <si>
    <t>데낄라 45ml, 토마토 주스 90ml</t>
  </si>
  <si>
    <t>스팅거</t>
  </si>
  <si>
    <t>브랜디 45ml, 민트 리큐르 15ml</t>
  </si>
  <si>
    <t>스푸모니</t>
  </si>
  <si>
    <t>캄파리 20ml, 자몽 주스 30ml, 토닉워터 적당량, 자몽 1조각</t>
  </si>
  <si>
    <t>슬로 진 하이볼</t>
  </si>
  <si>
    <t>슬로 진 75ml, 레몬즙 30ml, 심플시럽 15ml, 쉐이킹 후 탄산수 필업</t>
  </si>
  <si>
    <t>슬로진 사워</t>
  </si>
  <si>
    <t>슬로진 30ml, 레몬즙 15ml, 설탕 1티스푼, 쉐이킹 후 탄산수 필업</t>
  </si>
  <si>
    <t>시티 리키</t>
  </si>
  <si>
    <t>진 45ml, 트리플 섹 30ml, 크렌베리 주스 45ml, 라임즙 15ml, 쉐이킹 후 탄산수 필업</t>
  </si>
  <si>
    <t>실버 라이닝</t>
  </si>
  <si>
    <t>라이 or 버번 or 블렌디드 위스키 45ml, 바닐라 리큐르 22.5ml, 레몬즙 22.5ml, 계란 흰자 1개, 쉐이킹 후 탄산수 60ml</t>
  </si>
  <si>
    <t>실버 캐딜락</t>
  </si>
  <si>
    <t>크렘 드 카카오 60ml, 화이트 삼부카 22.5ml, 크림 30ml</t>
  </si>
  <si>
    <t>싱가폴 슬링</t>
  </si>
  <si>
    <t>드라이 진 45ml, 레몬즙 15ml, 설탕 1티스푼, 쉐이킹 후 클럽소다 필업, 체리 브랜디 15ml 띄워주기</t>
  </si>
  <si>
    <t>싱커</t>
  </si>
  <si>
    <t>스카치 위스키 60ml, 파인애플 주스 30ml, 레몬즙 15ml, 생강 시럽 15ml, 가니쉬 파인애플 조각, 생강</t>
  </si>
  <si>
    <t>썬 번</t>
  </si>
  <si>
    <t>데낄라 40ml, 트리플 섹 30ml, 크렌베리 주스 90ml</t>
  </si>
  <si>
    <t>썬샤인</t>
  </si>
  <si>
    <t>논 알코올</t>
  </si>
  <si>
    <t>파인애플 주스 60ml, 오렌지 주스 30ml, 레몬즙 15ml, 그레나딘 시럽 15ml</t>
  </si>
  <si>
    <t>썬플라워 하이볼</t>
  </si>
  <si>
    <t>보드카 45ml, 바닐라 리큐르 30ml, 오렌지 주스 120ml</t>
  </si>
  <si>
    <t>씨 브리즈</t>
  </si>
  <si>
    <t>보드카 30ml, 자몽 주스 30ml, 라임즙 15ml, 크렌베리 주스 적당량</t>
  </si>
  <si>
    <t>씨 브리즈2</t>
  </si>
  <si>
    <t>보드카 40ml, 크렌베리 주스 100ml, 자몽 주스 40ml, 라임 웨지</t>
  </si>
  <si>
    <t>아가보니</t>
  </si>
  <si>
    <t>데낄라 23ml, 캄파리 23ml, 스윗 베르뭇 23ml, 오렌지 비터스 2대쉬</t>
  </si>
  <si>
    <t>아도니스</t>
  </si>
  <si>
    <t>드라이 셰리 60ml, 스윗 베르뭇 30ml, 오렌지 비터 2대쉬</t>
  </si>
  <si>
    <t>아디오스 마더 퍼커</t>
  </si>
  <si>
    <t>럼 15ml, 진 15ml, 보드카 15ml, 데낄라 15ml, 블루 큐라소 15ml, 라임즙 15ml, 사워믹스 60ml, 사이다 필업(쉐이킹 후)</t>
  </si>
  <si>
    <t>무난한 롱티류</t>
  </si>
  <si>
    <t>아마레또 사워</t>
  </si>
  <si>
    <t>아마레또 45ml, 버번 위스키 22.5ml, 레몬즙 30ml, 계란 흰자 1개, 심플시럽 1티스푼, 드라이쉐이킹 후 쉐이킹</t>
  </si>
  <si>
    <t>아마레또 오렌지</t>
  </si>
  <si>
    <t>레몬즙 15ml, 오렌지 주스 60ml, 아마레또 30ml</t>
  </si>
  <si>
    <t>아메리카노</t>
  </si>
  <si>
    <t>캄파리 30ml, 스윗 베르뭇 30ml, 탄산수 필업</t>
  </si>
  <si>
    <t>아메리칸 뷰티</t>
  </si>
  <si>
    <t>브랜디 15ml, 드라이 베르뭇 15ml, 오렌지 주스 15ml, 그레나딘 시럽 15ml, 민트 화이트 1대쉬, 쉐이킹 후 포트 와인 살짝 따라주기</t>
  </si>
  <si>
    <t>아몬드 브라더</t>
  </si>
  <si>
    <t>블랑코 데낄라 60ml, 아마레또 7.5ml, 애프리콧 브랜디 1티스푼, 라임즙 22.5ml, 오르쟈 시럽 7.5ml, 메이플 시럽 7.5ml</t>
  </si>
  <si>
    <t>아미&amp;네이비</t>
  </si>
  <si>
    <t>진 60ml, 레몬즙 15ml, 오르쟈 시럽13ml, 앙고스투라 1대쉬</t>
  </si>
  <si>
    <t>아스토르 마티니</t>
  </si>
  <si>
    <t>보드카 or 진</t>
  </si>
  <si>
    <t>보드카 or 진 60ml, 캄파리 15ml, 자몽 주스 30ml</t>
  </si>
  <si>
    <t>아우로라</t>
  </si>
  <si>
    <t>카카오 화이트</t>
  </si>
  <si>
    <t>카카오 화이트 45ml, 우유 45ml, 블루큐라소 15ml, 디사론노 30ml</t>
  </si>
  <si>
    <t>아이 위시</t>
  </si>
  <si>
    <t>보드카 15ml, 멜론 리큐르 15ml, 말리부 22.5ml, 바나나 22.5ml, 사워믹스 45ml, 우유 22.5ml, 그레나딘 시럽 15ml</t>
  </si>
  <si>
    <t>아이리쉬 마티니</t>
  </si>
  <si>
    <t>아이리쉬 위스키 45ml, 에스프레소 30ml, 커피 리큐르 15ml, 심플시럽 7.5ml</t>
  </si>
  <si>
    <t>아이리쉬 카밤</t>
  </si>
  <si>
    <t>기네스 7부, 샷글라스에 베일리스 절반, 아이리쉬 위스키 약간 플로팅, 그리고 기네스에 풍덩! 원샷!</t>
  </si>
  <si>
    <t>아이리쉬 캑터스</t>
  </si>
  <si>
    <t>데낄라 30ml, 베일리스 30ml</t>
  </si>
  <si>
    <t>아이리쉬 커피</t>
  </si>
  <si>
    <t>제임슨</t>
  </si>
  <si>
    <t>제임슨 30ml, 에스프레소 1잔, 설탕 2티스푼, 뜨거운물(취향껏), 휘핑 or 일반크림</t>
  </si>
  <si>
    <t>아이스 브레이커</t>
  </si>
  <si>
    <t>데낄라 30ml, 자몽주스 30ml, 트리플섹 10ml, 그레나딘 시럽 1티스푼</t>
  </si>
  <si>
    <t>아이스 브레이커2</t>
  </si>
  <si>
    <t>데낄라 60ml, 코앵트로 1대쉬, 그레나딘 시럽 1대쉬, 자몽 주스 60ml</t>
  </si>
  <si>
    <t>아일랜드 골드</t>
  </si>
  <si>
    <t>아이리쉬 위스키 60ml, 복숭아 리큐르 15ml, 오렌지 주스 15~30ml, 진저비어 or 진저에일 120ml</t>
  </si>
  <si>
    <t>아쿠아마린</t>
  </si>
  <si>
    <t>보드카 30ml, 피치트리 20ml, 블루 큐라소 5ml, 사과 주스 120ml</t>
  </si>
  <si>
    <t>박정원이 좋아함</t>
  </si>
  <si>
    <t>아페롤 사워</t>
  </si>
  <si>
    <t>진 45ml, 캄파리 15ml, 레몬즙 22.5ml, 심플시럽 15ml</t>
  </si>
  <si>
    <t>안개 절단기</t>
  </si>
  <si>
    <t>럼 45ml, 브랜디 or 꼬냑 15ml, 진 15ml, 오렌지 주스 60ml, 레몬즙 15ml, 오르쟈 시럽 15ml, 쉐이킹 후 스윗 셰리 와인 살짝 플로팅</t>
  </si>
  <si>
    <t>알라바마 교도소</t>
  </si>
  <si>
    <t>보드카 30ml, 슬로진 22.5ml, 셔던 컴포트 30ml, 오렌지 주스 120ml, 그레나딘 시럽 약간</t>
  </si>
  <si>
    <t>알래스카 아이스티</t>
  </si>
  <si>
    <t>진 15ml, 럼 15ml, 보드카 15ml, 블루 큐라소 15ml, 레몬즙 15ml, 라임즙 15ml, 사이다 필업</t>
  </si>
  <si>
    <t>알렉산더</t>
  </si>
  <si>
    <t>브랜디 30ml, 카카오 리큐르 30ml, 크림 30ml</t>
  </si>
  <si>
    <t>애프리콧 레이디</t>
  </si>
  <si>
    <t>화이트 럼 30ml, 애프리콧 브랜디 30ml, 계란 흰자 1개, 라임즙 15ml, 오렌지 큐라소 7.5ml, 드라이 쉐이킹 후 쉐이킹</t>
  </si>
  <si>
    <t>애프리콧 사워</t>
  </si>
  <si>
    <t>애프리콧 브랜디</t>
  </si>
  <si>
    <t>애프리콧 브랜디 60ml, 레몬즙 30ml, 심플 시럽 1티스푼</t>
  </si>
  <si>
    <t>애프리콧 플립</t>
  </si>
  <si>
    <t>꼬냑 60ml, 애프리콧 브랜디 30ml, 심플 시럽 15ml, 계란 1개, 드라이 쉐이킹 후, 쉐이킹</t>
  </si>
  <si>
    <t>애프리콧 피즈</t>
  </si>
  <si>
    <t>애프리콧 브랜디 75ml, 레몬즙 22.5ml, 쉐이킹 후 탄산수 필업</t>
  </si>
  <si>
    <t>애플 마티니</t>
  </si>
  <si>
    <t>애플퍼커</t>
  </si>
  <si>
    <t>보드카 30ml, 애플퍼커 30ml, 라임즙 15ml</t>
  </si>
  <si>
    <t>애플 마티니2</t>
  </si>
  <si>
    <t>보드카 45ml, 애플퍼커 15ml, 코앵트로 15ml</t>
  </si>
  <si>
    <t>애플 사이드카</t>
  </si>
  <si>
    <t>보드카 45ml, 애플 브랜디 15ml, 레몬즙 30ml, 심플시럽 15ml, 오렌지 주스 15ml</t>
  </si>
  <si>
    <t>애플 소스</t>
  </si>
  <si>
    <t>버번 or 라이 or 블렌디드 위스키 60ml, 메이플 시럽 22.5ml, 레몬즙 22.5ml, 쉐이킹 후 사이다 필업, 계피가루 1꼬집, 시나몬 스틱</t>
  </si>
  <si>
    <t>애플 잭 레빗</t>
  </si>
  <si>
    <t>애플 잭 60ml, 레몬즙 22.5ml, 오렌지 주스 22.5ml, 메이플 시럽 15ml</t>
  </si>
  <si>
    <t>애플 크런치</t>
  </si>
  <si>
    <t>애플퍼커 30ml, 말리부 30ml, 트리플섹 10ml, 크렌베리 주스 45ml, 파인애플 주스 45ml, 스프라이트 30ml(쉐이킹 후)</t>
  </si>
  <si>
    <t>어라운드 더 월드</t>
  </si>
  <si>
    <t>진 30ml, 민트 리큐르 30ml, 파인애플 주스 30ml, 레몬 웻지</t>
  </si>
  <si>
    <t>어퍼니티</t>
  </si>
  <si>
    <t>스카치 위스키 30ml, 스윗 베르뭇 30ml, 드라이 베르뭇 30ml, 비터 2대쉬</t>
  </si>
  <si>
    <t>업 투 데이트</t>
  </si>
  <si>
    <t>드라이 or 스윗 셰리 45ml, 라이 or 버번 위스키 45ml, 오렌지 큐라소 15ml, 앙고스투라 비터 2대쉬</t>
  </si>
  <si>
    <t>에그 사워</t>
  </si>
  <si>
    <t>브랜디 or 꼬냑 30ml, 오렌지 큐라소 30ml, 계란 1개, 심플시럽 2티스푼, 레몬즙 3대쉬</t>
  </si>
  <si>
    <t>에르난데스</t>
  </si>
  <si>
    <t>바닐라 리큐르 45ml, 스윗 베르뭇 30ml, 앙고스투라 비터 2대쉬, 가니쉬 체리</t>
  </si>
  <si>
    <t>에메랄드</t>
  </si>
  <si>
    <t>아이리쉬 위스키 60ml, 스윗 베르뭇 30ml, 오렌지 비터 2대쉬, 앙고스투라 비터 1대쉬</t>
  </si>
  <si>
    <t>에메랄드 시티</t>
  </si>
  <si>
    <t>말리부 30ml, 멜론 리큐르 15ml, 블루 큐라소 15ml, 레몬즙 15ml, 라임즙 15ml, 사이다 필업(쉐이킹 후), 레몬 슬라이스</t>
  </si>
  <si>
    <t>에메랄드 쿨러</t>
  </si>
  <si>
    <t>진 30ml, 민트 리큐르 15ml, 레몬즙 15ml, 시럽 1티스푼, 탄산수 필업(쉐이킹 후)</t>
  </si>
  <si>
    <t>에이화츠</t>
  </si>
  <si>
    <t>다크럼 60ml, 트리플섹 15ml, 라임즙 30ml, 오르쟈 15ml, 시럽 8ml</t>
  </si>
  <si>
    <t>엘 도라도</t>
  </si>
  <si>
    <t>애프리콧 브랜드 30ml, 블루 큐라소 15ml, 사과 주스 45ml, 심플시럽 15ml, 사워믹스 15ml 쉐이킹 후 사이다 적당히</t>
  </si>
  <si>
    <t>엘 디아블로</t>
  </si>
  <si>
    <t>데낄라 45ml, 카시스 15ml, 라임즙 15ml, 진저에일 필업(쉐이킹 후)</t>
  </si>
  <si>
    <t>엘 프레지덴테</t>
  </si>
  <si>
    <t>화이트 럼 30ml, 드라이 베르뭇 15ml, 코앵트로 15ml, 그레나딘 시럽 1대쉬</t>
  </si>
  <si>
    <t>엘 프레지덴테2</t>
  </si>
  <si>
    <t>그레나딘 시럽 1바스푼, 드라이 베르뭇 30ml, 큐라소 리큐르20~25ml, 화이트 럼 60ml, 약 15초간 스터 후 칵테일 글라스에 담아준다</t>
  </si>
  <si>
    <t>옐로우 빌드</t>
  </si>
  <si>
    <t>화이트 럼 40ml, 바나나 리큐르 15ml, 갈리아노 15ml, 오렌지 주스 40ml, 파인애플 주스 40ml</t>
  </si>
  <si>
    <t>옐로우 해머</t>
  </si>
  <si>
    <t>보드카 15ml, 럼 15ml, 아마레또 15ml, 오렌지 주스 30ml, 파인애플 주스 60ml, 오렌지 슬라이스</t>
  </si>
  <si>
    <t>오 헨리</t>
  </si>
  <si>
    <t>버번 위스키 60ml, 베네딕틴 30ml, 진저에일 필업(쉐이킹 후)</t>
  </si>
  <si>
    <t>오렌지 봉봉</t>
  </si>
  <si>
    <t>보드카 30ml, 크렘 드 카카오 화이트 30ml, 오렌지 주스 30ml, 오렌지 큐라소 15ml, 크러쉬드 아이스 1~2스쿱(블렌딩), 오렌지 조각 1개</t>
  </si>
  <si>
    <t>오렌지 블라썸</t>
  </si>
  <si>
    <t>드라이진 45ml, 오렌지 주스 90ml, 오렌지 1조각</t>
  </si>
  <si>
    <t>오렌지 피즈</t>
  </si>
  <si>
    <t>진 45ml, 오렌지 주스 30ml, 레몬즙 15ml, 심플시럽 10ml, 쉐이킹 후 탄산수 풀업</t>
  </si>
  <si>
    <t>오르가즘</t>
  </si>
  <si>
    <t>깔루아 30ml, 아마레또 30ml, 베일리스 30ml, 체리 1조각</t>
  </si>
  <si>
    <t>옥보단</t>
  </si>
  <si>
    <t>피치트리 20ml, 말리부 20ml, 사워믹스 20ml, 라임즙 10ml, 오렌지 주스 30ml, 그레나딘 시럽 1티스푼(쉐이킹 후)</t>
  </si>
  <si>
    <t>상당히 달콤</t>
  </si>
  <si>
    <t>올드패션드</t>
  </si>
  <si>
    <t>설탕 1티스푼, 비터 4대쉬, 탄산수 10ml를 넣고 스터해준다. 그 위에 버번 위스키 45ml를 넣고 스터, 그 후 큰 얼음을 넣고 30초간 스터</t>
  </si>
  <si>
    <t>올드패션드2</t>
  </si>
  <si>
    <t>각설탕 1개, 탄산수 15ml, 버번 위스키 45ml, 비터 1대쉬</t>
  </si>
  <si>
    <t>올림픽</t>
  </si>
  <si>
    <t>브랜디 25ml, 오렌지 큐라소 10ml, 오렌지 주스 10ml</t>
  </si>
  <si>
    <t>올림픽2</t>
  </si>
  <si>
    <t>브랜디 30ml, 트리플 섹 30ml, 오렌지 주스 30ml</t>
  </si>
  <si>
    <t>왱왱</t>
  </si>
  <si>
    <t>브랜디, 럼, 데낄라, 보드카, 버번, 스카치 23ml씩, 오렌지 60ml, 파인애플 60ml, 그레나딘 시럽 약간</t>
  </si>
  <si>
    <t>우우(Woo Woo)</t>
  </si>
  <si>
    <t>피치트리 15ml, 보드카 30ml, 크렌베리 주스 필업</t>
  </si>
  <si>
    <t>워싱턴 애플</t>
  </si>
  <si>
    <t>버번 위스키 30ml, 애플퍼커 30ml, 크렌베리 30ml</t>
  </si>
  <si>
    <t>웨어울프</t>
  </si>
  <si>
    <t>위스키 리키</t>
  </si>
  <si>
    <t>위스키 60ml, 라임즙 15ml, 탄산수 120ml</t>
  </si>
  <si>
    <t>위스키 사워</t>
  </si>
  <si>
    <t>위스키 60ml, 레몬즙 23ml, 시럽 15ml, 계란 흰자 1개</t>
  </si>
  <si>
    <t>이탈리안75</t>
  </si>
  <si>
    <t>진 22.5ml, 레몬라임 소다 3부, 스파클링 화이트 와인 3부, 가니쉬 레몬 트위스트</t>
  </si>
  <si>
    <t>자라나</t>
  </si>
  <si>
    <t>데낄라 45ml, 파인애플 주스 120ml, 설탕 시럽 2티스푼</t>
  </si>
  <si>
    <t>자메이카 10단</t>
  </si>
  <si>
    <t>화이트 럼 or 보드카 30ml, 멜론 리큐르 22.5ml, 바나나 리큐르 7.5ml, 말리부 7.5ml, 크림 15ml</t>
  </si>
  <si>
    <t>자키 클럽</t>
  </si>
  <si>
    <t>진 60ml, 아마레또 22.5ml, 레몬즙 22.5ml, 앙고스투라 비터 2대쉬</t>
  </si>
  <si>
    <t>재패니스</t>
  </si>
  <si>
    <t>꼬냑 or 브랜디 60ml, 애프리콧 브랜디 15ml, 앙고스투라 비터 3대쉬</t>
  </si>
  <si>
    <t>재패니즈 슬리퍼</t>
  </si>
  <si>
    <t>체리 1조각, 멜론 리큐르 30ml, 트리플 섹 or 보드카 30ml, 레몬즙 30ml</t>
  </si>
  <si>
    <t>잭 로즈</t>
  </si>
  <si>
    <t>애플 잭 45ml, 라임즙 15ml, 그레나딘 시럽 7ml</t>
  </si>
  <si>
    <t>잭 인 더 박스</t>
  </si>
  <si>
    <t>애플 잭 45ml, 파인애플 주스 45ml, 앙고스투라 비터 2대쉬</t>
  </si>
  <si>
    <t>쟈스민</t>
  </si>
  <si>
    <t>진 45ml, 레몬즙 22.5ml, 코앵트로 7.5ml, 캄파리 7.5ml, 가니쉬로 레몬껍질</t>
  </si>
  <si>
    <t>저글링 쥬스</t>
  </si>
  <si>
    <t>화이트 럼 30ml, 바나나 리큐르 15ml, 레몬즙 15ml, 설탕 시럽 2티스푼</t>
  </si>
  <si>
    <t>정글 버드</t>
  </si>
  <si>
    <t>다크럼 45ml, 캄파리 23ml, 시럽 15ml, 파인애플 주스 45ml, 라임즙15ml</t>
  </si>
  <si>
    <t>정복자</t>
  </si>
  <si>
    <t>숙성 럼주 30ml, 데낄라 블랑코 30ml, 심플시럽 15ml, 레몬즙 15ml, 라임즙 15ml, 오렌지 비터 2대쉬, 계란 흰자 1개, 드라이 쉐이킹 후 쉐이킹</t>
  </si>
  <si>
    <t>제이크 반스</t>
  </si>
  <si>
    <t>애플 브랜디 45ml, 레몬즙 15ml, 파인애플 주스 15ml, 그레나딘 시럽 15ml, 앙고스투라 비터 1대쉬</t>
  </si>
  <si>
    <t>조 리키</t>
  </si>
  <si>
    <t>버번 위스키 60ml, 라임 1/2개(즙과 라임 다 넣는다), 탄산수 필업</t>
  </si>
  <si>
    <t>조세핀 베이커</t>
  </si>
  <si>
    <t>심플시럽 2티스푼, 계란 1개, 포트와인 45ml를 드라이 쉐이킹 후 꼬냑 or 브랜디 45ml, 애프리콧 브랜디 45ml를 쉐이킹, 레몬필</t>
  </si>
  <si>
    <t>존 콜린스</t>
  </si>
  <si>
    <t>위스키 60ml, 레몬즙 20ml, 설탕 1티스푼, 쉐이킹 후 탄산수 적당량, 레몬 슬라이스, 체리 1조각</t>
  </si>
  <si>
    <t>좀비</t>
  </si>
  <si>
    <t>다크럼 30ml, 화이트 럼 15ml, 골드럼 15ml, 파인애플 주스 60ml, 오렌지 주스 30ml, 라임즙 15ml, 그레나딘 30ml</t>
  </si>
  <si>
    <t>엘마리아치의 그 맛</t>
  </si>
  <si>
    <t>주도</t>
  </si>
  <si>
    <t>피치트리 30ml, 블루 큐라소 15ml, 레몬즙 15ml, 라임즙 30ml, 사과 주스 45ml, 설탕 시럽 2대쉬</t>
  </si>
  <si>
    <t>준 벅</t>
  </si>
  <si>
    <t>멜론 리큐르 30ml, 말리부 15ml, 바나나 리큐르 15ml, 파인애플 주스 60ml, 사워믹스 60ml</t>
  </si>
  <si>
    <t>준장</t>
  </si>
  <si>
    <t>버번 or 라이 위스키 45ml, 크렘 드 카카오 15ml, 레몬즙 15ml, 그레나딘 시럽 1바스푼</t>
  </si>
  <si>
    <t>줄리엣</t>
  </si>
  <si>
    <t>카시스</t>
  </si>
  <si>
    <t>카시스 30ml, 피치트리 15ml, 보드카 15ml, 그레나딘 시럽 15ml, 사워믹스 30ml, 사과주스 30ml, 크러쉬드 아이스 1스쿱</t>
  </si>
  <si>
    <t>진 리키</t>
  </si>
  <si>
    <t>진 60ml, 라임 1/2개(즙과 라임 다 넣는다), 탄산수 필업</t>
  </si>
  <si>
    <t>진 벅</t>
  </si>
  <si>
    <t>드라이진 45ml, 레몬즙 20ml, 진저 에일 90ml</t>
  </si>
  <si>
    <t>진 벅2</t>
  </si>
  <si>
    <t>레몬 웻지 1조각, 진 60ml, 진저에일 90ml</t>
  </si>
  <si>
    <t>진 소닉</t>
  </si>
  <si>
    <t>진 45ml, 탄산수 50ml, 토닉워터 50ml</t>
  </si>
  <si>
    <t>진 슬링</t>
  </si>
  <si>
    <t>진 45ml, 스윗 베르뭇 30ml, 레몬즙 22.5ml, 심플시럽 30ml, 앙고스투라 비터 1대쉬, 쉐이킹 후 탄산수 90ml</t>
  </si>
  <si>
    <t>진-진 하이볼</t>
  </si>
  <si>
    <t>진 45ml, 진저 에일 150ml, 앙고스투라 비터 2대쉬, 가니쉬 레몬 트위스트</t>
  </si>
  <si>
    <t>진토닉</t>
  </si>
  <si>
    <t>진 30~60ml, 토닉워터 필업, 레몬즙 약간, 레몬 슬라이스 1조각</t>
  </si>
  <si>
    <t>차이나블루</t>
  </si>
  <si>
    <t>리치 리큐르 30ml, 자몽 주스 45ml, 토닉워터 풀업, 블루 큐라소 7.5ml</t>
  </si>
  <si>
    <t>차이니즈</t>
  </si>
  <si>
    <t>다크럼 45ml, 그레나딘 시럽 23ml, 마라스키노 3대쉬, 코앵트로 3대쉬, 비터 1대쉬</t>
  </si>
  <si>
    <t>찰리 채플린</t>
  </si>
  <si>
    <t>애프리콧 브랜디 30ml, 슬로 진 30ml, 라임즙 30ml</t>
  </si>
  <si>
    <t>처칠</t>
  </si>
  <si>
    <t>스카치 위스키 45ml, 스윗 베르뭇 15ml, 코앵트로 15ml, 라임즙 15ml</t>
  </si>
  <si>
    <t>천사의 눈물</t>
  </si>
  <si>
    <t>피치트리 30ml, 사워믹스 90ml, 화이트 럼 15ml, 그레나딘 시럽 15ml(쉐이킹 전 or 후)</t>
  </si>
  <si>
    <t>천진난만한 소녀</t>
  </si>
  <si>
    <t>꼬냑 or 브랜디 60ml, 스윗 베르뭇 30ml, 계피시럽 1티스푼</t>
  </si>
  <si>
    <t>첫사랑</t>
  </si>
  <si>
    <t>커피 리밍, 진 22ml, 깔루아 22ml, 아마레또 1티스푼, 우유 22ml</t>
  </si>
  <si>
    <t>체리 럼 콕</t>
  </si>
  <si>
    <t>럼 30ml, 체리 브랜디 15ml, 콜라 필업</t>
  </si>
  <si>
    <t>체리 럼 피즈</t>
  </si>
  <si>
    <t>럼 30ml, 체리 브랜디 15ml, 그레나딘 시럽 1티스푼, 카시스 10ml, 레몬즙 2티스푼, 크렌베리 주스 30ml, 쉐이킹 후 탄산수 20ml</t>
  </si>
  <si>
    <t>체리 블라썸</t>
  </si>
  <si>
    <t>브랜디 or 꼬냑 30ml, 체리 브랜디 30ml, 트리플 섹 15ml, 레몬즙 15ml</t>
  </si>
  <si>
    <t>치치</t>
  </si>
  <si>
    <t>보드카 30ml, 말리부 45ml, 파인애플 주스 80ml, 파인애플 웻지, 체리 조각</t>
  </si>
  <si>
    <t>카나발</t>
  </si>
  <si>
    <t>파인애플 100g, 딸기 2개, 오르쟈 시럽 15ml, 라임즙 20ml, 카샤사 럼 45~50ml, 크러쉬드 아이스 2스쿱</t>
  </si>
  <si>
    <t>카리 오카</t>
  </si>
  <si>
    <t>숙성 럼주 45ml, 커피 리큐르 15ml, 크림 15ml, 달걀 노른자 1개, 드라이 쉐이킹 후 쉐이킹</t>
  </si>
  <si>
    <t>카리 오카 하와이안</t>
  </si>
  <si>
    <t>화이트 or 파인애플 럼 45ml, 파인애플 주스 30ml, 라임즙 15ml, 심플시럽 1티스푼, 앙고스투라 비터 1대쉬</t>
  </si>
  <si>
    <t>카리부 루</t>
  </si>
  <si>
    <t>오버프루프 럼</t>
  </si>
  <si>
    <t>151 45ml, 말리부 30ml, 파인애플 주스 120ml</t>
  </si>
  <si>
    <t>카메론스 킥</t>
  </si>
  <si>
    <t>스카치 위스키 30ml, 아이리쉬 위스키 30ml, 레몬즙 22.5ml, 오르쟈 시럽 22.5ml, 레몬 트위스트</t>
  </si>
  <si>
    <t>카미카제</t>
  </si>
  <si>
    <t>보드카 30ml, 트리플섹 15ml, 라임즙 15ml, 레몬 웻지</t>
  </si>
  <si>
    <t>카사 진저 민트 팔로마</t>
  </si>
  <si>
    <t>데낄라 60ml, 자몽주스 45ml, 라임즙 30ml, 시럽 15ml</t>
  </si>
  <si>
    <t>카시스 밀크</t>
  </si>
  <si>
    <t>카시스 1 : 우유 3</t>
  </si>
  <si>
    <t>카시스 소다</t>
  </si>
  <si>
    <t>카시스 60ml, 레몬즙 10ml, 탄산수 필업</t>
  </si>
  <si>
    <t>카시스 오렌지</t>
  </si>
  <si>
    <t>카시스 60ml, 오렌지 주스 필업</t>
  </si>
  <si>
    <t>카시스 프라페</t>
  </si>
  <si>
    <t xml:space="preserve">카시스 20~22ml, 피치트리 15ml, 말리부 15ml, 오렌지 주스 30ml, 사워믹스 30ml </t>
  </si>
  <si>
    <t>카우보이</t>
  </si>
  <si>
    <t>버번 위스키 30~45ml, 우유 취향껏</t>
  </si>
  <si>
    <t>카이칸 피즈</t>
  </si>
  <si>
    <t>진 45ml, 우유 30ml, 레몬즙 15ml, 시럽 1티스푼, 탄산수 필업(쉐이킹 후)</t>
  </si>
  <si>
    <t>카이피로스카</t>
  </si>
  <si>
    <t>보드카 45ml, 다진 라임 1/6개, 설탕시럽 10ml, 탄산수 필업(쉐이킹 후)</t>
  </si>
  <si>
    <t>카카오 피즈</t>
  </si>
  <si>
    <t>카카오 리큐르</t>
  </si>
  <si>
    <t>카카오 리큐르 45ml, 라임즙 15ml, 설탕 1~2티스푼, 탄산수 필업(쉐이킹 후)</t>
  </si>
  <si>
    <t>카타르시스</t>
  </si>
  <si>
    <t>151 15ml, 깔루아 15ml, 아마레또 22.5ml</t>
  </si>
  <si>
    <t>카페 로얄</t>
  </si>
  <si>
    <t>뜨거운 커피 1컵, 티스푼 위에 각설탕 1개, 각설탕 위에 브랜디를 소량 붓고 불붙이기(조명을 꺼주면 분위기 굳)</t>
  </si>
  <si>
    <t>칸타리토</t>
  </si>
  <si>
    <t>블랑코 데낄라 45ml, 오렌지 주스 37.5ml, 자몽 주스 22.5ml, 라임즙 22.5ml, 자몽 소다 120ml, 소금 한꼬집</t>
  </si>
  <si>
    <t>칸타리토스</t>
  </si>
  <si>
    <t>소금 리밍, 데낄라 45ml, 라임즙 15ml, 레몬즙 15ml, 오렌지 주스 15ml, 자몽소다 120ml, 오렌지 1조각</t>
  </si>
  <si>
    <t>칼리모초</t>
  </si>
  <si>
    <t>올드패션드 글라스, 레드 와인 30ml, 콜라 풀업, 가니쉬 레몬웻지</t>
  </si>
  <si>
    <t>캔틴 마티니</t>
  </si>
  <si>
    <t>화이트 럼 45ml, 셔던 컴포트 45ml, 아마레또 15ml, 라임즙 15ml</t>
  </si>
  <si>
    <t>캥거루</t>
  </si>
  <si>
    <t>보드카 50ml, 드라이 베르뭇 22.5ml, 오렌지 비터 2대쉬, 레몬 트위스트</t>
  </si>
  <si>
    <t>케이블카</t>
  </si>
  <si>
    <t>설탕+계피가루 리밍, 시나몬 1대쉬, 스파이스드 럼 45ml, 오렌지 큐라소 22.5ml, 레몬즙 30ml, 심플시럽 15ml</t>
  </si>
  <si>
    <t>케이프코더</t>
  </si>
  <si>
    <t>보드카 45ml, 크렌베리 주스 140ml, 라임 슬라이스</t>
  </si>
  <si>
    <t>켄터키 벅</t>
  </si>
  <si>
    <t>버번 위스키 60ml, 레몬즙 22.5ml, 심플시럽 or 생강시럽 22.5ml, 비터 2대쉬, 쉐이킹 후 탄산수 or 진저에일 필업, 가니쉬 레몬웻지, 딸기 1조각</t>
  </si>
  <si>
    <t>코스모 폴리탄</t>
  </si>
  <si>
    <t>보드카 40ml, 크렌베리 주스 20ml, 라임즙 5ml, 트리플섹 5ml</t>
  </si>
  <si>
    <t>달콤함 성희픽</t>
  </si>
  <si>
    <t>코스모 폴리탄2</t>
  </si>
  <si>
    <t>보드카 30ml, 코앵트로 15ml, 라임즙 15ml, 크렌베리 주스 15ml</t>
  </si>
  <si>
    <t>코코 로코</t>
  </si>
  <si>
    <t>럼 30ml, 보드카 30ml, 데낄라 30ml, 코코넛 워터 120ml, 코코넛 크림 240ml, 라임즙 45ml</t>
  </si>
  <si>
    <t>코코넛 다이키리</t>
  </si>
  <si>
    <t>화이트 럼 60ml, 라임즙 30ml, 코코넛 밀크 30ml, 얼음 1/2스쿱</t>
  </si>
  <si>
    <t>콜로라도 불독</t>
  </si>
  <si>
    <t>보드카 30ml, 커피 리큐르 30ml, 콜라 필업, 휘핑크림 30ml, 가니쉬 체리</t>
  </si>
  <si>
    <t>쿠바 리브레</t>
  </si>
  <si>
    <t>화이트 럼 45ml, 라임즙 10ml, 코카콜라 풀업</t>
  </si>
  <si>
    <t>엠티 가성비 최고</t>
  </si>
  <si>
    <t>퀸즈</t>
  </si>
  <si>
    <t>진 30ml, 드라이 베르뭇 15ml, 스윗 베르뭇 15ml, 파인애플 주스 15ml, 레몬 웻지</t>
  </si>
  <si>
    <t>크레인 킥</t>
  </si>
  <si>
    <t>일본 위스키 60ml, 말리부 2티스푼, 스카치 위스키 1티스푼, 오렌지 주스 30ml, 레몬즙 15ml, 오르쟈 시럽 15ml, 앙고스투라 비터 1대쉬</t>
  </si>
  <si>
    <t>크렌베리 네그로니</t>
  </si>
  <si>
    <t>진 30ml, 드라이 베르뭇 30ml, 캄파리 30ml, 크렌베리 주스 30ml, 가니쉬로 레몬껍질</t>
  </si>
  <si>
    <t>크림 케이크</t>
  </si>
  <si>
    <t>베일리스 30ml, 아마레또 30ml, 피치 리큐르 30ml, 싱글 크림 30ml</t>
  </si>
  <si>
    <t>크림슨 크레인</t>
  </si>
  <si>
    <t>버번 or 라이 or 블렌디드 위스키 50ml, 크렘 드 카카오 15ml, 크렌베리 주스 22.5ml, 앙고스투라 비터 1대쉬, 오렌지 비터 1대쉬</t>
  </si>
  <si>
    <t>클래식</t>
  </si>
  <si>
    <t>설탕 리밍(선택), 브랜디 or 꼬냑 45ml, 오렌지 큐라소 15ml, 마라스키노 15ml, 레몬즙 15ml</t>
  </si>
  <si>
    <t>클로버 클럽</t>
  </si>
  <si>
    <t>진 60ml, 레몬즙 30ml, 계란흰자 1개, 그레나딘 시럽 15ml</t>
  </si>
  <si>
    <t>키르 로얄</t>
  </si>
  <si>
    <t>샴페인</t>
  </si>
  <si>
    <t>샴페인 120ml, 카시스 20ml</t>
  </si>
  <si>
    <t>키스 오브 파이어</t>
  </si>
  <si>
    <t>보드카 30ml, 진 15ml, 드라이 베르뭇 15ml, 레몬즙 15ml, 슈가 리밍</t>
  </si>
  <si>
    <t>키스 인 더 다크</t>
  </si>
  <si>
    <t>진 30ml, 드라이 베르뭇 30ml. 체리 브랜디 30ml</t>
  </si>
  <si>
    <t>킬(kir)</t>
  </si>
  <si>
    <t>백포도주 120ml, 카시스 20ml</t>
  </si>
  <si>
    <t>킬러펀치</t>
  </si>
  <si>
    <t>보드카 45ml, 멜론 리큐르 15ml, 디사론노 15ml, 라임즙 10ml, 크렌베리 주스 적당량</t>
  </si>
  <si>
    <t>킹스톤 네그로니</t>
  </si>
  <si>
    <t>다크럼 30ml, 스윗 베르뭇 30ml, 캄파리 30ml</t>
  </si>
  <si>
    <t>탄산 피스톤 슬링거</t>
  </si>
  <si>
    <t>오버프루프 럼 60ml, 슬로 진 22.5ml, 라임즙 22.5ml, 쉐이킹 후 탄산수 30ml</t>
  </si>
  <si>
    <t>탐 콜린스</t>
  </si>
  <si>
    <t>진(올드 톰) 60ml, 레몬즙 15ml, 설탕 1티스푼, 탄산수 풀업(쉐이킹 후)</t>
  </si>
  <si>
    <t>탑 바나나</t>
  </si>
  <si>
    <t>럼 30ml, 바나나 리큐르 30ml, 파인애플 주스 120ml, 코코넛 밀크 30ml, 오렌지 주스 30ml, 가니쉬로 체리, 오렌지 조각</t>
  </si>
  <si>
    <t>탱고</t>
  </si>
  <si>
    <t>드라이 진 30ml, 트리플 섹 15ml, 드라이 베르뭇 15ml, 스윗 베르뭇 15ml, 오렌지 주스 15ml</t>
  </si>
  <si>
    <t>턱시도</t>
  </si>
  <si>
    <t>진 60ml, 드라이 셰리 30ml, 오렌지 비터 2대쉬</t>
  </si>
  <si>
    <t>테슬라</t>
  </si>
  <si>
    <t>테라</t>
  </si>
  <si>
    <t>테라 3, 참이슬 1</t>
  </si>
  <si>
    <t>텍사스 아이스티</t>
  </si>
  <si>
    <t>럼 15ml, 진 15ml, 보드카 15ml, 데낄라 15ml, 트리플섹 15ml, 버번 위스키 15ml, 사워믹스 30ml, 코카콜라 풀업(쉐이킹 후)</t>
  </si>
  <si>
    <t>텍사스 티키</t>
  </si>
  <si>
    <t>보드카 45ml, 레몬즙 15ml, 파인애플 주스 30ml, 블루 큐라소 22.5ml, 허니시럽 15ml, 아마레또 22.5ml</t>
  </si>
  <si>
    <t>투 헤븐</t>
  </si>
  <si>
    <t>슈가리밍, 말리부 15ml, 피치트리 15ml, 블루 큐라소 15ml, 라임즙 15ml, 설탕시럽 15ml</t>
  </si>
  <si>
    <t>트로피컬 머메이드</t>
  </si>
  <si>
    <t>밀리부 30ml, 바나나 리큐르15ml, 파인애플 주스 60ml, 라임즙 7.5ml, 약간의 스터 후 블루 큐라소 7.5ml</t>
  </si>
  <si>
    <t>트로피컬 썬라이즈</t>
  </si>
  <si>
    <t>빌드 + 쉐이킹</t>
  </si>
  <si>
    <t>얼음가득, 그레나딘 시럽 15ml, 오렌지 주스 120ml, [보드카 30ml, 멜론 리큐르 30ml 쉐이킹]</t>
  </si>
  <si>
    <t>트로피컬 파라다이스</t>
  </si>
  <si>
    <t>럼 15ml, 말리부 30ml, 바나나 리큐르 30ml, 크렌베리 주스 60ml, 파인애플 주스 60ml, 우산 가니쉬, 체리 1~2조각</t>
  </si>
  <si>
    <t>트리클</t>
  </si>
  <si>
    <t>다크럼 60ml, 시럽 8ml, 앙고스투라 비터 2대쉬, 사과주스 15ml</t>
  </si>
  <si>
    <t>트리클 넘버원</t>
  </si>
  <si>
    <t>오버프루프 럼 30ml, 시럽 7.5ml, 앙고스투라 비터 2대쉬, 취향껏 스터 후 오버프루프 럼 30ml, 취향껏 스터 후 사과주스 15ml 플로팅</t>
  </si>
  <si>
    <t>트웰브(12)</t>
  </si>
  <si>
    <t>피치트리 30ml, 트리플섹 20ml, 사워믹스 20ml, 라임즙 10ml, 사과주스 45ml, 그레나딘 시럽 2티스푼(쉐이킹 후)</t>
  </si>
  <si>
    <t>티라미수</t>
  </si>
  <si>
    <t>계란 노른자 1개, 디사론노 20ml, 오르쟈 시럽 20ml, 에스프레소 1잔, 보드카 60ml, 카카오가루 2티스푼, 크림 or 치즈 거품(쉐이킹 후)</t>
  </si>
  <si>
    <t>티라미수 마티니</t>
  </si>
  <si>
    <t>커피 리큐르 30ml, 아마레또 30ml, 초콜릿 리큐르30ml, 생크림(쉐이킹 후)</t>
  </si>
  <si>
    <t>티키 에스프레소 마티니</t>
  </si>
  <si>
    <t>말리부 30ml, 콜드브루 커피 30ml, 에스프레소 10ml, 아마레또 15ml</t>
  </si>
  <si>
    <t>파나쉬</t>
  </si>
  <si>
    <t>맥주 90ml, 탄산수 90ml</t>
  </si>
  <si>
    <t>파라다이스</t>
  </si>
  <si>
    <t>블루 큐라소 15ml, 물 30ml, 말리부 60ml, 파인애플 주스 120ml, 그레나딘 시럽 30ml, 순서대로!</t>
  </si>
  <si>
    <t>파라다이스2</t>
  </si>
  <si>
    <t>그레나딘 시럽 15ml, 크러쉬드 아이스 가득, 말리부 30ml + 파인애플 주스 60+ (혼합), 물 30ml + 블루 큐라소 7.5ml</t>
  </si>
  <si>
    <t>파르마 네그로니</t>
  </si>
  <si>
    <t>드라이진 30ml, 캄파리 30ml, 자몽주스 30ml, 설탕시럽 15ml, 앙고스투라 비터 2대쉬</t>
  </si>
  <si>
    <t>파리지앵</t>
  </si>
  <si>
    <t>진 30ml, 드라이 베르뭇 15ml, 카시스 15ml</t>
  </si>
  <si>
    <t>파우스트</t>
  </si>
  <si>
    <t>151 30ml, 화이트 럼 or 말리부 30ml, 카시스 15ml</t>
  </si>
  <si>
    <t>파우스트2</t>
  </si>
  <si>
    <t>화이트 럼 45ml, 카시스 15ml, 말리부 15ml</t>
  </si>
  <si>
    <t>파우스트3</t>
  </si>
  <si>
    <t>151 30ml, 말리부 30ml, 카시스 30ml</t>
  </si>
  <si>
    <t>파인애플 피즈</t>
  </si>
  <si>
    <t>화이트 럼 45ml, 골드 럼 15ml, 파인애플 주스 37.5ml, 시럽 10ml, 앙고스투라 비터 2대쉬, 쉐이킹 후 탄산수 필업</t>
  </si>
  <si>
    <t>파파 도블레</t>
  </si>
  <si>
    <t>화이트 럼 60ml, 마라스키노 15ml, 라임즙 22.5ml, 자몽 주스 15ml, 가니쉬 라임 or 자몽 조각, 체리</t>
  </si>
  <si>
    <t>파파스머프</t>
  </si>
  <si>
    <t>말리부 30ml, 보드카 30ml, 블루 큐라소 15ml, 사워믹스 30ml, 라임즙 15ml, 사이다 풀업(쉐이킹 후)</t>
  </si>
  <si>
    <t>퍼지 네이블</t>
  </si>
  <si>
    <t>피치트리 45ml, 오렌지 주스 120ml, 오렌지 웨지</t>
  </si>
  <si>
    <t>페인 킬러</t>
  </si>
  <si>
    <t>화이트 럼 40ml, 파인애플 주스 90m, 오렌지 주스 30ml, 말리부 40ml</t>
  </si>
  <si>
    <t>페퍼민트 스틱</t>
  </si>
  <si>
    <t>크렘 드 카카오 화이트 45ml, 크림 30ml, 크렘 드 민트 화이트 30ml</t>
  </si>
  <si>
    <t>폴라 숏컷</t>
  </si>
  <si>
    <t>다크럼 15ml, 코앵트로 15ml, 체리 브랜디 15ml, 드라이 베르뭇 15ml</t>
  </si>
  <si>
    <t>푸스 카페</t>
  </si>
  <si>
    <t>그레나딘 시럽 1/5, 깔루아 1/5, 크렘 드 민트 그린 1/5, 갈리아노 1/5, 블루 큐라소 1/5 순서대로 플로팅</t>
  </si>
  <si>
    <t>프라이드</t>
  </si>
  <si>
    <t>진 45ml, 말리부 15ml, 그레나딘 시럽 15ml, 오렌지 주스 45ml, 사워믹스 45ml</t>
  </si>
  <si>
    <t>프랑스 맨해튼</t>
  </si>
  <si>
    <t>꼬냑 or 브랜디 45ml, 스윗 베르뭇 45ml, 오렌지 큐라소 7.5ml, 오렌지 비터 1~2대쉬</t>
  </si>
  <si>
    <t>프레디 푸드 퍼커</t>
  </si>
  <si>
    <t>블랑코 데낄라 60ml, 오렌지 주스 90ml, 갈리아노 or 삼부카 15ml</t>
  </si>
  <si>
    <t>프렌치 75</t>
  </si>
  <si>
    <t>드라이 진 45ml, 레몬즙 22ml, 설탕시럽 15ml, 쉐이킹 후 샴페인 필업</t>
  </si>
  <si>
    <t>프렌치 키스</t>
  </si>
  <si>
    <t>화이트 럼 15ml, 피치트리 15ml, 말리부 15ml, 그레나딘 시럽 15ml, 사워믹스 45ml, 크렌베리 주스 45ml</t>
  </si>
  <si>
    <t>프렌치 키스2</t>
  </si>
  <si>
    <t>X레이티드 30ml, 보드카 30ml, 사워믹스 30ml</t>
  </si>
  <si>
    <t>플라밍고</t>
  </si>
  <si>
    <t>화이트 럼 60ml, 라임즙 22.5ml, 쉐이킹 후 자몽 소다 90ml</t>
  </si>
  <si>
    <t>피냐 콜라다</t>
  </si>
  <si>
    <t>화이트 럼 40ml, 파인애플 주스 120ml, 말리부 or 코코넛 밀크 30ml, 설탕 2티스푼</t>
  </si>
  <si>
    <t>피냐 콜라다2</t>
  </si>
  <si>
    <t>파인애플 100g, 설탕 2대쉬, 화이트 럼 40ml, 골드or다크럼 20ml, 말리부 25ml, 레몬즙 약간, 코코넛 밀크 20~25ml</t>
  </si>
  <si>
    <t>피치 코코</t>
  </si>
  <si>
    <t>피치트리 30ml, 말리부 30ml, 크렌베리 주스 60ml, 오렌지 주스 60ml</t>
  </si>
  <si>
    <t>피치 크러쉬</t>
  </si>
  <si>
    <t xml:space="preserve">피치트리 45ml, 레몬즙 15ml, 사워믹스 30ml, 크렌베리 주스 60ml </t>
  </si>
  <si>
    <t>무난 스테디 셀러</t>
  </si>
  <si>
    <t>피치 크러쉬2</t>
  </si>
  <si>
    <t>피치트리 30ml, 사워믹스 60ml, 크렌베리 주스 60ml, 체리 2조각, 레몬 슬라이스</t>
  </si>
  <si>
    <t>필리버스터</t>
  </si>
  <si>
    <t>라이 or 버번 위스키 60ml, 레몬즙 22.5ml, 메이플 시럽 15ml, 계란 흰자 1개, 비터 3대쉬, 드라이 쉐이킹 후 쉐이킹</t>
  </si>
  <si>
    <t>핑크 레이디</t>
  </si>
  <si>
    <t>진 45ml, 그레나딘 시럽 23ml, 달걀 흰자 1개</t>
  </si>
  <si>
    <t>핑크 레이디2</t>
  </si>
  <si>
    <t>드라이 진 30ml, 그레나딘 시럽 1티스푼, 우유 60ml</t>
  </si>
  <si>
    <t>핑크-A-콜라다</t>
  </si>
  <si>
    <t>말리부 60ml, 코코넛 워터 60ml, 파인애플 주스 45ml, 크렌베리 주스 90ml</t>
  </si>
  <si>
    <t>핑퐁</t>
  </si>
  <si>
    <t>진 30ml, 파르페 30ml, 레몬즙 15ml</t>
  </si>
  <si>
    <t>하바나 비치</t>
  </si>
  <si>
    <t>화이트 럼 30ml, 파인애플 주스 30ml, 시럽 15ml, 레몬즙 반개, 진저에일 필업(블렌딩 후)</t>
  </si>
  <si>
    <t>하베스트 문</t>
  </si>
  <si>
    <t>애플 브랜디 45ml, 라임 or 레몬즙 15ml, 오르쟈 시럽 15ml</t>
  </si>
  <si>
    <t>하베스트 사워</t>
  </si>
  <si>
    <t>라이 위스키 30ml, 애플 브랜디 30ml, 레몬즙 22.5ml, 심플시럽 22.5ml, 계란 흰자 1개, 드라이 쉐이킹 후 쉐이킹, 가니쉬 계피가루 한꼬집</t>
  </si>
  <si>
    <t>하비 월뱅어</t>
  </si>
  <si>
    <t>보드카 60ml, 오렌지 주스 90ml, 갈리아노 15ml</t>
  </si>
  <si>
    <t>하와이안 보드카</t>
  </si>
  <si>
    <t>보드카 60 or 90ml, 오렌지 주스 30ml, 레몬즙 30ml, 파인애플 주스 30ml, 그레나딘 시럽 1티스푼</t>
  </si>
  <si>
    <t>하와이안 선셋</t>
  </si>
  <si>
    <t>보드카 45ml, 오르쟈 시럽 15ml, 레몬즙 15ml, 라임즙 15ml, 그레나딘 시럽 1티스푼, 라임웻지</t>
  </si>
  <si>
    <t>하와이안 펀치</t>
  </si>
  <si>
    <t>셔던 컴포트 30ml, 아마레또 15ml, 보드카 15ml, 그레나딘 시럽 20ml, 오렌지 주스 45ml, 파인애플 주스 45ml, 사워믹스 30ml</t>
  </si>
  <si>
    <t>하이랜더</t>
  </si>
  <si>
    <t>스카치 위스키 60ml, 베네딕틴 15ml, 비터 1대쉬</t>
  </si>
  <si>
    <t>하이랜드 쿨러</t>
  </si>
  <si>
    <t>스카치 위스키 30ml, 레몬즙 15ml, 비터 2대쉬, 설탕 1티스푼, 진저에일 120ml(쉐이킹 후)</t>
  </si>
  <si>
    <t>핫 그로그</t>
  </si>
  <si>
    <t>골드or다크럼 45ml, 설탕 1~2티스푼, 뜨거운 물 적당량</t>
  </si>
  <si>
    <t>핫 위스키 토디</t>
  </si>
  <si>
    <t>위스키 45ml, 설탕 약간, 뜨거운 물 필업, 레몬 슬라이스 1조각, 시나몬 스틱 1개</t>
  </si>
  <si>
    <t>허니문</t>
  </si>
  <si>
    <t>애플 브랜디 30ml, 베네딕틴 30ml, 트리플 섹 1티스푼, 레몬즙 15ml</t>
  </si>
  <si>
    <t>허리케인</t>
  </si>
  <si>
    <t>화이트 럼 30ml, 다크럼 30ml, 오렌지 주스 15ml, 파인애플 주스 10ml, 레몬즙 15ml, 쉐이킹 후 그레나딘 시럽 취향껏</t>
  </si>
  <si>
    <t>허리케인2</t>
  </si>
  <si>
    <t>럼 30ml, 레몬즙 10ml, 그레나딘 시럽 15ml, 파인애플 주스 필업</t>
  </si>
  <si>
    <t>헌터</t>
  </si>
  <si>
    <t>위스키 45ml, 체리 히링 15ml, 오렌지 필, 체리 1조각</t>
  </si>
  <si>
    <t>헤이지 제인</t>
  </si>
  <si>
    <t>보드카 45ml, 오르쟈 시럽 30ml, 레몬즙 15ml, 요거트 15ml, 가니쉬 오이 슬라이스</t>
  </si>
  <si>
    <t>혼슈 펀치</t>
  </si>
  <si>
    <t>일본 위스키 60ml, 레몬즙 22.5ml, 파인애플 주스 15ml, 심플시럽 15ml, 앙고스투라 비터 4대쉬, 쉐이킹 후 탄산수 약간</t>
  </si>
  <si>
    <t>홀리워터</t>
  </si>
  <si>
    <t>화이트 럼 30ml, 블루 큐라소 30ml, 레몬즙 15ml, 사이다 풀업, 레몬 슬라이스</t>
  </si>
  <si>
    <t>홀스 페더</t>
  </si>
  <si>
    <t>버번 or 라이 or 블렌디드 위스키 45ml, 진저비어 120ml, 앙고스투라 비터 4대쉬, 레몬웻지 1조각</t>
  </si>
  <si>
    <t>홀스넥</t>
  </si>
  <si>
    <t>브랜디 or 위스키 45ml, 비터 3대쉬, 진저에일 풀업</t>
  </si>
  <si>
    <t>홉 토드</t>
  </si>
  <si>
    <t>다크 럼</t>
  </si>
  <si>
    <t>다크 럼 45ml, 애프리콧 브랜디 30ml, 라임즙 15ml, 앙고스투라 비터 2대쉬</t>
  </si>
  <si>
    <t>화이트 드래곤</t>
  </si>
  <si>
    <t>데낄라 블랑코 53ml, 코앵트로 23ml, 레몬즙 23ml, 달걀 흰자 1개</t>
  </si>
  <si>
    <t>화이트 러시안</t>
  </si>
  <si>
    <t>보드카 15ml, 깔루아 15ml, 우유or크림 30ml</t>
  </si>
  <si>
    <t>화이트 레이디</t>
  </si>
  <si>
    <t>진 60ml, 트리플섹 15ml, 레몬즙 30ml</t>
  </si>
  <si>
    <t>히틀러의 불안</t>
  </si>
  <si>
    <t>화이트 럼 90ml, 라임즙 30ml, 크렘 드 카카오 화이트 15ml, 심플시럽 15ml</t>
  </si>
  <si>
    <t>A Spirits In The Dark</t>
  </si>
  <si>
    <t>라이 or 버번 or 블렌디드 위스키 60ml, 마라스키노 15ml, 크렘 드 카카오 15ml, 레몬즙 7.5ml, 비터 1대쉬, 쉐이킹 후 스파클링 와인 살짝 플로팅</t>
  </si>
  <si>
    <t>ABC</t>
  </si>
  <si>
    <t>디사론노 15ml, 베일리스 15ml, 꼬냑 15ml</t>
  </si>
  <si>
    <t>Ace of spade</t>
  </si>
  <si>
    <t>라임즙 15ml, 레몬즙 15ml, 파인애플 주스 60ml, 화이트 럼 30ml, 멜론 리큐르 60ml, 오렌지 리큐르 30ml</t>
  </si>
  <si>
    <t>Affinity</t>
  </si>
  <si>
    <t>스카치 위스키 30ml, 드라이 베르뭇 30ml, 스윗 베르뭇 30ml, 앙고스투라 비터 2대쉬</t>
  </si>
  <si>
    <t>Alabazam</t>
  </si>
  <si>
    <t>꼬냑 or 브랜디 45ml, 트리플 섹 15ml, 앙고스투라 비터 4대쉬, 레몬즙 7.5ml, 심플시럽 7.5ml</t>
  </si>
  <si>
    <t>Amber Load</t>
  </si>
  <si>
    <t>버번 or 라이 위스키 45ml, 캄파리 30ml, 레몬즙 15ml, 메이플 시럽 7.5ml, 쉐이킹 후 탄산수 60ml, 가니쉬 레몬휠</t>
  </si>
  <si>
    <t>Applicious Quencher</t>
  </si>
  <si>
    <t>애플퍼커 30ml, 트리플섹 30ml, 그레나딘 시럽 1대쉬, 스프라이트 풀업</t>
  </si>
  <si>
    <t>Aquadisiac</t>
  </si>
  <si>
    <t>화이트 럼 60ml, 블루 큐라소 15ml, 레몬즙 30ml, 오르쟈 시럽 15ml</t>
  </si>
  <si>
    <t>Army&amp;Navy</t>
  </si>
  <si>
    <t>진 60ml, 레몬즙 30ml, 오르쟈 시럽 22.5ml, 앙고스투라 비터 2대쉬</t>
  </si>
  <si>
    <t>Autumn Leaves</t>
  </si>
  <si>
    <t>버번 위스키 40ml, 베네딕틴 20ml, 레몬 껍질 1개</t>
  </si>
  <si>
    <t>B-52</t>
  </si>
  <si>
    <t>깔루아 7ml, 베일리스 15ml, 그랑 마르니엘 23ml, 151 소량(불이 붙도록 살짝 쌓아준다)</t>
  </si>
  <si>
    <t>B&amp;B</t>
  </si>
  <si>
    <t>브랜디 30ml, 베네딕틴 30ml</t>
  </si>
  <si>
    <t>BeachComber(큰 파도)</t>
  </si>
  <si>
    <t>화이트 럼 60ml, 트리플 섹 22.5ml, 마라스키노 15ml, 라임즙 15ml</t>
  </si>
  <si>
    <t>Bed of Rose</t>
  </si>
  <si>
    <t>예거마이스터</t>
  </si>
  <si>
    <t>예거마이스터 45ml, 레몬즙 30ml, 라임즙 15ml, 그레나딘 시럽 30ml</t>
  </si>
  <si>
    <t>Bizzy Izzy</t>
  </si>
  <si>
    <t>라이 위스키 30ml, 드라이 셰리 와인 30ml, 파인애플 주스 30ml, 레몬즙 22.5ml, 심플시럽 22.5ml, 비터 1대쉬, 쉐이킹 후 탄산수 필업</t>
  </si>
  <si>
    <t>Blackthorn</t>
  </si>
  <si>
    <t>슬로 진 60ml, 스윗베르뭇 30ml, 앙고스투라 비터 1대쉬, 가니쉬 레몬 필</t>
  </si>
  <si>
    <t>Bosom Caresser</t>
  </si>
  <si>
    <t>브랜디 30ml, 오렌지 큐라소 15ml, 그레나딘 시럽 1티스푼, 계란 노른자 1개</t>
  </si>
  <si>
    <t>Chatham</t>
  </si>
  <si>
    <t>진 60ml, 체리 브랜디 15ml, 레몬즙 15ml</t>
  </si>
  <si>
    <t>chrysanthemum(국화)</t>
  </si>
  <si>
    <t>드라이 베르뭇 45ml, 베네딕틴 22.5ml, 압생트 2대쉬, 가니쉬 오렌지 필</t>
  </si>
  <si>
    <t>Cloudy Sky</t>
  </si>
  <si>
    <t>슬로 진 60ml, 라임즙 30ml, 진저비어 60ml</t>
  </si>
  <si>
    <t>Columba(콜룸바)</t>
  </si>
  <si>
    <t>캄파리 60ml, 자몽소다 120ml</t>
  </si>
  <si>
    <t>Cypriot 브랜디 사워</t>
  </si>
  <si>
    <t>브랜디 60ml, 앙고스투라 비터 1대쉬, 레몬 소다 120ml</t>
  </si>
  <si>
    <t>Deauville</t>
  </si>
  <si>
    <t>브랜디 or 꼬냑 30ml, 애플 브랜디 30ml, 트리플 섹 30ml, 레몬즙 30ml</t>
  </si>
  <si>
    <t>Dr.Melfi's Medicine</t>
  </si>
  <si>
    <t>진 15ml, 캄파리 15ml, 스윗 베르뭇 15ml, 레몬즙 22.5ml, 심플시럽 15ml, 오렌지 웻지</t>
  </si>
  <si>
    <t>El Floridita</t>
  </si>
  <si>
    <t>화이트 럼 45ml, 스윗 베르뭇 15ml, 라임즙 15ml, 크렘 드 카카오 7.5ml</t>
  </si>
  <si>
    <t>Feodora Cobbler</t>
  </si>
  <si>
    <t>럼 30ml, 꼬냑 22.5ml, 트리플섹 22.5ml, 탄산수 필업</t>
  </si>
  <si>
    <t>Fifth Avenue</t>
  </si>
  <si>
    <t>크렘 드 카카오 화이트 10ml, 애프리콧 브랜디 10ml, 크림 10ml</t>
  </si>
  <si>
    <t>Foghorn</t>
  </si>
  <si>
    <t>진 60ml, 라임즙 15ml, 진저비어 120ml, 가니쉬 라임 트위스트 or 휠 or 웻지</t>
  </si>
  <si>
    <t>Kretchma(크렛 치마)</t>
  </si>
  <si>
    <t>보드카 60ml, 크렘 드 카카오 30ml, 레몬즙 22.5ml, 그레나딘 시럽 1바스푼</t>
  </si>
  <si>
    <t>Mr. bodi hai</t>
  </si>
  <si>
    <t>럼 45ml, 커피 리큐르 7.5ml, 바나나 리큐르 7.5ml, 파인애플 주스 45ml, 레몬즙 22.5ml, 오르쟈 시럽 15ml, 앙고스투라 비터 1대쉬</t>
  </si>
  <si>
    <t>Nice(by Antibes)</t>
  </si>
  <si>
    <t>진 60ml, 베네딕틴 30ml, 자몽주스 60ml, 쉐이킹 후 탄산수 필업</t>
  </si>
  <si>
    <t>Old pal</t>
  </si>
  <si>
    <t>라이 위스키 30ml, 드라이 베르뭇 30ml, 캄파리 30ml, 오렌지 필(선택)</t>
  </si>
  <si>
    <t>Otto's Grotto</t>
  </si>
  <si>
    <t>아이스 커피 150ml, 화이트 럼 45ml, 커피 리큐르 22.5ml, 바닐라 리큐르 22.5ml, 쉐이킹 후 휘핑크림 취향껏</t>
  </si>
  <si>
    <t>P.S. I love you</t>
  </si>
  <si>
    <t>다크럼 15ml, 아마레또 30ml, 베일리스 45ml, 깔루아 30ml, 우유 30ml</t>
  </si>
  <si>
    <t>Pain in the ass</t>
  </si>
  <si>
    <t>멜론 리큐르 30ml, 151 15ml, 말리부 30ml, 애플퍼커 15ml, 파인애플 주스 60ml, 사이다 60ml(쉐이킹 후)</t>
  </si>
  <si>
    <t>Pan Am</t>
  </si>
  <si>
    <t>화이트 럼 45ml, 캄파리 15ml, 레몬즙 30ml, 오르쟈 시럽 15ml, 계란 흰자 1개, 드라이 쉐이킹 후 쉐이킹, 비터 4대쉬(비터 아트 만들기)</t>
  </si>
  <si>
    <t>Park avenue</t>
  </si>
  <si>
    <t>드라이 진 50ml, 파인애플 주스 25ml, 스윗 베르뭇 15ml, 블루 큐라소 1바스푼</t>
  </si>
  <si>
    <t>Pompier(소방관)</t>
  </si>
  <si>
    <t>드라이 베르뭇 90ml, 카시스 15ml, 탄산수 120ml</t>
  </si>
  <si>
    <t>Presbyterian</t>
  </si>
  <si>
    <t>위스키 60ml, 진저에일 45ml, 탄산수 45ml</t>
  </si>
  <si>
    <t>Something Tropical</t>
  </si>
  <si>
    <t>다크럼 60ml, 파인애플 주스 60ml, 설탕시럽 or 오르쟈 시럽 15ml, 라임즙 15ml, 피치 리큐르 7.5ml, 앙고스투라 비터 2대쉬, 레몬 슬라이스</t>
  </si>
  <si>
    <t>Suburban</t>
  </si>
  <si>
    <t>라이 or 버번 or 블렌디드 위스키 45ml, 다크 럼 15ml, 포트와인 15ml, 앙고스투라 비터 1대쉬, 오렌지 비터 1대쉬</t>
  </si>
  <si>
    <t>The Rug</t>
  </si>
  <si>
    <t>버번 위스키 30ml, 코코넛 크림 4티스푼, 커피 리큐르 4티스푼</t>
  </si>
  <si>
    <t>Tinto de Verano</t>
  </si>
  <si>
    <t>레드 와인 90ml, 레몬 소다 90ml</t>
  </si>
  <si>
    <t>Toasted Almond</t>
  </si>
  <si>
    <t>아마레또 45ml, 커피 리큐르 45ml, 크림 or 우유 30ml</t>
  </si>
  <si>
    <t>Ward Eight</t>
  </si>
  <si>
    <t>라이 위스키 60ml, 레몬즙 15ml, 오렌지 주스 15ml, 그레나딘 시럽 2티스푼</t>
  </si>
  <si>
    <t>White Witch</t>
  </si>
  <si>
    <t>오버프루프 럼 30ml, 오렌지 큐라소 15ml, 크렘 드 카카오 15ml, 라임즙 15ml, 쉐이킹 후 탄산수 90ml</t>
  </si>
  <si>
    <t>X썬라이즈</t>
  </si>
  <si>
    <t>X레이티드 60ml, 데낄라 블랑코 30ml, 오렌지 주스 60ml</t>
  </si>
  <si>
    <t>X온더비치</t>
  </si>
  <si>
    <t>X레이티드 30ml, 피치트리 30ml, 파인애플 주스 30ml, 탄산수 60ml, 시럽 10ml</t>
  </si>
  <si>
    <t>XYZ</t>
  </si>
  <si>
    <t>화이트 럼 30ml, 코앵트로 15ml, 레몬즙 15ml</t>
  </si>
  <si>
    <t>Yena</t>
  </si>
  <si>
    <t>고지 리큐르 45ml, 캄파리 30ml, 카시스 30ml, 보드카 15ml, 아로마틱 비터 2대쉬, 체리 가니쉬</t>
  </si>
  <si>
    <t>Young Man</t>
  </si>
  <si>
    <t>브랜디 45ml, 드라이 베르뭇 15ml, 오렌지 큐라소 2대쉬, 앙고스투라 비터 1대쉬</t>
  </si>
  <si>
    <t>Zoom</t>
  </si>
  <si>
    <t>꼬냑 or 브랜디 75ml, 크림 15ml, 우유 15ml, 꿀 2큰술, 가니쉬 초콜릿 파우더 or 조각</t>
  </si>
  <si>
    <t>오아시스 선라이즈</t>
  </si>
  <si>
    <t>데낄라 30ml, 럼 15ml, 말리부 15~30ml, 트리플 섹 15ml, 레몬즙 15ml, 그레나딘 시럽 15ml, 오렌지 주스 90~120ml</t>
  </si>
  <si>
    <t>루비</t>
  </si>
  <si>
    <t>보드카 30~45ml, 크렌베리 주스 45ml, 복숭아에이드(GS25) 필업</t>
  </si>
  <si>
    <t>브램블</t>
  </si>
  <si>
    <t>진 40ml, 레몬즙 15ml, 심플시럽 10ml, 쉐이킹 후 카시스 15ml</t>
  </si>
  <si>
    <t>콥스리바이버 No.2</t>
  </si>
  <si>
    <t>진 22.5ml, 트리플 섹 22.5ml, 릴레블랑 22.5ml, 레몬즙 22.5ml, 압생트 2대쉬</t>
  </si>
  <si>
    <t>사제락</t>
  </si>
  <si>
    <t>스터(가니쉬 레몬필)</t>
  </si>
  <si>
    <t>꼬냑 22.5ml, 라이 위스키 22.5ml, 심플시럽 10ml, 페이쇼드 비터 3대쉬, 앙고스투라 비터 1대쉬, 스터 후 압생트 코팅한 올패 글라스(얼음X)</t>
  </si>
  <si>
    <t>뷰카레</t>
  </si>
  <si>
    <t>라이 위스키 22.5ml, 꼬냑 22.5ml, 스윗 베르뭇 22.5ml, 베네딕틴 10ml, 페이쇼드 비터 2대쉬, 앙고스투라 비터 1대쉬, 가니쉬 레몬필</t>
  </si>
  <si>
    <t>오후의 죽음</t>
  </si>
  <si>
    <t>압생트</t>
  </si>
  <si>
    <t>압생트 45ml, 샴페인 풀업</t>
  </si>
  <si>
    <t>비치 워터</t>
  </si>
  <si>
    <t>보드카 37.5ml, 말리부 52.5ml, 블루 큐라소 22.5ml, 스프라이트 풀업</t>
  </si>
  <si>
    <t>버블검 베어</t>
  </si>
  <si>
    <t>플렌테이션 다크럼 15ml, 버번 위스키 22.5ml, 피치트리 22.5ml, 그레나딘 시럽 7.5ml, 라임주스 7.5ml</t>
  </si>
  <si>
    <t>별이 빛나는 밤에</t>
  </si>
  <si>
    <t>헨드릭슨 진 30ml, 베네딕틴 15ml, 파르페아무르 15ml, 홍차 리큐르 7.5ml, 쉐이킹 후 토닉워터 45ml</t>
  </si>
  <si>
    <t>베일리스 스트로베리 밀크</t>
  </si>
  <si>
    <t>딸기 8알, 얼음가득, 베일리스 30ml, 트리플섹 22.5ml, 보드카 30ml, 우유 필업 후 블렌딩</t>
  </si>
  <si>
    <t>스카이 블루</t>
  </si>
  <si>
    <t>보드카 45ml, 블루 큐라소 20ml, 트리플섹 20ml, 피치트리 30ml, 라임즙 15ml, 쉐이킹 후 와인글라스 크러쉬드 아이스 40%, 토닉워터 필업</t>
  </si>
  <si>
    <t>노르망디 플라워</t>
  </si>
  <si>
    <t>깔바도스</t>
  </si>
  <si>
    <t>깔바도스 60ml, 토닉워터 120ml, 생제르맹 15ml, 레몬즙 10ml, 가니쉬 오렌지 or 오렌지필</t>
  </si>
  <si>
    <t>블로우 잡</t>
  </si>
  <si>
    <t>커피 리큐르, 베일리스, 생크림을 샷 or 쉐리 글라스에 순서대로 플로팅</t>
  </si>
  <si>
    <t>훌륭한 슈터</t>
  </si>
  <si>
    <t>버터스카치 화이트 러시안</t>
  </si>
  <si>
    <t>보드카 1, 깔루아 1, 버터스카치 리큐르 1, 크림 2 비율</t>
  </si>
  <si>
    <t>도쿄 아이스티2</t>
  </si>
  <si>
    <t>보드카 15ml, 진 15ml, 럼 15ml, 트리플섹 15ml, 레몬즙 20ml, 멜론 리큐르 15ml, 사이다 필업</t>
  </si>
  <si>
    <t>적당한 아이스티계열</t>
  </si>
  <si>
    <t>비키니 마티니2</t>
  </si>
  <si>
    <t>말리부 30 or 60ml, 보드카 30ml, 파인애플 주스 60ml, 쉐이킹 후 그레나딘 시럽 15ml</t>
  </si>
  <si>
    <t>시칠리안 키스</t>
  </si>
  <si>
    <t>셔던 컴포트 30ml, 디사론노 30ml</t>
  </si>
  <si>
    <t>들꽃</t>
  </si>
  <si>
    <t>잭다니엘 30ml, 피치트리 30ml, 크렘 드 바나나 30ml, 라임즙 30ml 스터 후 크러쉬드 아이스가 가득담긴 잔에 따라주기</t>
  </si>
  <si>
    <t>퀵 퍽</t>
  </si>
  <si>
    <t>깔루아 15ml, 베일리스 15ml, 미도리 15ml 순서대로 플로팅</t>
  </si>
  <si>
    <t>카타르시스 2</t>
  </si>
  <si>
    <t>오버프루프 럼 45ml, 아마레또 15ml, 라임즙 5ml</t>
  </si>
  <si>
    <t>15는 너무 심</t>
  </si>
  <si>
    <t>킬권(KILL KWON)</t>
  </si>
  <si>
    <t>오버 프루프 럼</t>
  </si>
  <si>
    <t>오버프루프 럼 200ml, 잭다니엘 200ml</t>
  </si>
  <si>
    <t>권혁원을 살해할 뻔한 그 칵테일</t>
  </si>
  <si>
    <t>프렌치 키스 샴보드</t>
  </si>
  <si>
    <t>샴보드</t>
  </si>
  <si>
    <t>보드카 30ml, 카카오 리큐르 30ml, 샴보드 30ml, 우유 or 크림 45ml</t>
  </si>
  <si>
    <t>카카오 향이 강함. 맛은 샴보드가 만들어줌</t>
  </si>
  <si>
    <t>티핀 슈가 밀크</t>
  </si>
  <si>
    <t>티핀</t>
  </si>
  <si>
    <t>티핀 30ml, 우유 90ml, 슈가 시럽 15ml</t>
  </si>
  <si>
    <t>달콤한 맛 이후에 찾아오는 부드러운 홍차향</t>
  </si>
  <si>
    <t>섹스온더비치 커스텀</t>
  </si>
  <si>
    <t>보드카 45ml, 피치트리 15ml, 크랜베리주스 60ml, 그레나딘 시럽 15ml 쉐이킹 후 오렌지 주스 60ml 따로 쉐이킹해서 거품 함께 따르기</t>
  </si>
  <si>
    <t>정호형 커스텀 버전</t>
  </si>
  <si>
    <t>자본주의 or 180석</t>
  </si>
  <si>
    <t>보드카 15ml, 진 15ml, 럼 15ml, 데낄라 15ml, 트리플섹 15ml, 블루 큐라소 15ml, 레몬즙 10ml, 스윗앤사워믹스 60ml, 그레나딘 15ml</t>
  </si>
  <si>
    <t>빨강과 파랑이 섞였는데 파랑이 이김</t>
  </si>
  <si>
    <t>크렘 드 카카오 45ml, 라임주스 15ml, 슈가 시럽 15ml 쉐이킹 후 토닉워터 필업</t>
  </si>
  <si>
    <t>존맛탱</t>
  </si>
  <si>
    <t>기능 추가 예정</t>
  </si>
  <si>
    <t>종류</t>
  </si>
  <si>
    <t>상표</t>
  </si>
  <si>
    <t>그레나딘 시럽</t>
  </si>
  <si>
    <t>마리브리자드</t>
  </si>
  <si>
    <t>호세쿠엘보 에스페셜</t>
  </si>
  <si>
    <t>돈훌리오</t>
  </si>
  <si>
    <t>커클랜드</t>
  </si>
  <si>
    <t>바카디 블랑카</t>
  </si>
  <si>
    <t>설탕 시럽</t>
  </si>
  <si>
    <t>크렘 드 카카오</t>
  </si>
  <si>
    <t>_x0008_디 카이퍼</t>
  </si>
  <si>
    <t>드라이 베르뭇</t>
  </si>
  <si>
    <t>스윗 베르뭇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</si>
</sst>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rgb="FF36373C"/>
      <name val="&quot;Apple SD Gothic Neo&quot;"/>
    </font>
    <font>
      <color rgb="FF36373C"/>
      <name val="Arial"/>
    </font>
    <font>
      <color rgb="FF36373C"/>
      <name val="&quot;Apple SD Gothic Neo&quot;"/>
    </font>
  </fonts>
  <fills count="3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2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2" fontId="4" numFmtId="0" xfId="0" applyAlignment="1" applyBorder="1" applyFill="1" applyFont="1">
      <alignment horizontal="center" vertical="bottom"/>
    </xf>
    <xf borderId="1" fillId="2" fontId="5" numFmtId="0" xfId="0" applyAlignment="1" applyBorder="1" applyFont="1">
      <alignment horizontal="center" vertical="bottom"/>
    </xf>
    <xf borderId="1" fillId="2" fontId="6" numFmtId="0" xfId="0" applyAlignment="1" applyBorder="1" applyFont="1">
      <alignment horizontal="center" vertical="bottom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2" max="2" width="11.5"/>
    <col customWidth="1" min="3" max="3" width="13.0"/>
    <col customWidth="1" min="4" max="4" width="11.0"/>
    <col customWidth="1" min="5" max="5" width="101.63"/>
    <col customWidth="1" min="6" max="6" width="38.75"/>
  </cols>
  <sheetData>
    <row r="1">
      <c r="A1" s="1" t="s">
        <v>0</v>
      </c>
      <c r="B1" s="1"/>
      <c r="C1" s="1" t="s">
        <v>1</v>
      </c>
      <c r="D1" s="2"/>
    </row>
    <row r="2">
      <c r="A2" s="3" t="s">
        <v>2</v>
      </c>
      <c r="B2" s="3"/>
      <c r="C2" s="3"/>
      <c r="D2" s="4"/>
    </row>
    <row r="3">
      <c r="A3" s="1" t="s">
        <v>3</v>
      </c>
      <c r="B3" s="5"/>
      <c r="C3" s="1" t="s">
        <v>4</v>
      </c>
      <c r="D3" s="2" t="b">
        <v>0</v>
      </c>
    </row>
    <row r="4">
      <c r="A4" s="6" t="str">
        <f>IFERROR(__xludf.DUMMYFUNCTION("QUERY('raw data'!A1:F1003, ""SELECT A,B,C,E,D,F WHERE B CONTAINS '""&amp;B1&amp;""' AND D CONTAINS '"" &amp;B2&amp;""' AND D CONTAINS '"" &amp;C2&amp;""'AND D CONTAINS '"" &amp;D2&amp;""' AND C CONTAINS '"" &amp; D1 &amp; ""' AND E &gt;= ""&amp; if(ISBLANK(B3), 0, B3), 1 )"),"이름")</f>
        <v>이름</v>
      </c>
      <c r="B4" s="6" t="str">
        <f>IFERROR(__xludf.DUMMYFUNCTION("""COMPUTED_VALUE"""),"메인")</f>
        <v>메인</v>
      </c>
      <c r="C4" s="6" t="str">
        <f>IFERROR(__xludf.DUMMYFUNCTION("""COMPUTED_VALUE"""),"기법")</f>
        <v>기법</v>
      </c>
      <c r="D4" s="7" t="str">
        <f>IFERROR(__xludf.DUMMYFUNCTION("""COMPUTED_VALUE"""),"점수(by 권)")</f>
        <v>점수(by 권)</v>
      </c>
      <c r="E4" s="6" t="str">
        <f>IFERROR(__xludf.DUMMYFUNCTION("""COMPUTED_VALUE"""),"레시피")</f>
        <v>레시피</v>
      </c>
      <c r="F4" s="5" t="str">
        <f>IFERROR(__xludf.DUMMYFUNCTION("""COMPUTED_VALUE"""),"후기")</f>
        <v>후기</v>
      </c>
    </row>
    <row r="5">
      <c r="A5" s="5" t="str">
        <f>IFERROR(__xludf.DUMMYFUNCTION("""COMPUTED_VALUE"""),"21세기")</f>
        <v>21세기</v>
      </c>
      <c r="B5" s="5" t="str">
        <f>IFERROR(__xludf.DUMMYFUNCTION("""COMPUTED_VALUE"""),"데낄라")</f>
        <v>데낄라</v>
      </c>
      <c r="C5" s="5" t="str">
        <f>IFERROR(__xludf.DUMMYFUNCTION("""COMPUTED_VALUE"""),"쉐이킹")</f>
        <v>쉐이킹</v>
      </c>
      <c r="D5" s="8">
        <f>IFERROR(__xludf.DUMMYFUNCTION("""COMPUTED_VALUE"""),0.0)</f>
        <v>0</v>
      </c>
      <c r="E5" s="5" t="str">
        <f>IFERROR(__xludf.DUMMYFUNCTION("""COMPUTED_VALUE"""),"데낄라 블랑코 60ml, 카카오 화이트 23ml, 레몬즙 23ml, 아가베 시럽 1티스푼")</f>
        <v>데낄라 블랑코 60ml, 카카오 화이트 23ml, 레몬즙 23ml, 아가베 시럽 1티스푼</v>
      </c>
      <c r="F5" s="5"/>
    </row>
    <row r="6">
      <c r="A6" s="5" t="str">
        <f>IFERROR(__xludf.DUMMYFUNCTION("""COMPUTED_VALUE"""),"가리발디")</f>
        <v>가리발디</v>
      </c>
      <c r="B6" s="5" t="str">
        <f>IFERROR(__xludf.DUMMYFUNCTION("""COMPUTED_VALUE"""),"캄파리")</f>
        <v>캄파리</v>
      </c>
      <c r="C6" s="5" t="str">
        <f>IFERROR(__xludf.DUMMYFUNCTION("""COMPUTED_VALUE"""),"쉐이킹 or 블렌딩")</f>
        <v>쉐이킹 or 블렌딩</v>
      </c>
      <c r="D6" s="8">
        <f>IFERROR(__xludf.DUMMYFUNCTION("""COMPUTED_VALUE"""),0.0)</f>
        <v>0</v>
      </c>
      <c r="E6" s="5" t="str">
        <f>IFERROR(__xludf.DUMMYFUNCTION("""COMPUTED_VALUE"""),"캄파리 45ml, 오렌지 주스 135ml")</f>
        <v>캄파리 45ml, 오렌지 주스 135ml</v>
      </c>
      <c r="F6" s="5"/>
    </row>
    <row r="7">
      <c r="A7" s="5" t="str">
        <f>IFERROR(__xludf.DUMMYFUNCTION("""COMPUTED_VALUE"""),"갓더터")</f>
        <v>갓더터</v>
      </c>
      <c r="B7" s="5" t="str">
        <f>IFERROR(__xludf.DUMMYFUNCTION("""COMPUTED_VALUE"""),"보드카")</f>
        <v>보드카</v>
      </c>
      <c r="C7" s="5" t="str">
        <f>IFERROR(__xludf.DUMMYFUNCTION("""COMPUTED_VALUE"""),"빌드")</f>
        <v>빌드</v>
      </c>
      <c r="D7" s="8">
        <f>IFERROR(__xludf.DUMMYFUNCTION("""COMPUTED_VALUE"""),0.0)</f>
        <v>0</v>
      </c>
      <c r="E7" s="5" t="str">
        <f>IFERROR(__xludf.DUMMYFUNCTION("""COMPUTED_VALUE"""),"보드카 60ml, 아마레또 30ml, 크림 30ml")</f>
        <v>보드카 60ml, 아마레또 30ml, 크림 30ml</v>
      </c>
      <c r="F7" s="5"/>
    </row>
    <row r="8">
      <c r="A8" s="5" t="str">
        <f>IFERROR(__xludf.DUMMYFUNCTION("""COMPUTED_VALUE"""),"갓선")</f>
        <v>갓선</v>
      </c>
      <c r="B8" s="5" t="str">
        <f>IFERROR(__xludf.DUMMYFUNCTION("""COMPUTED_VALUE"""),"위스키")</f>
        <v>위스키</v>
      </c>
      <c r="C8" s="5" t="str">
        <f>IFERROR(__xludf.DUMMYFUNCTION("""COMPUTED_VALUE"""),"빌드")</f>
        <v>빌드</v>
      </c>
      <c r="D8" s="8">
        <f>IFERROR(__xludf.DUMMYFUNCTION("""COMPUTED_VALUE"""),0.0)</f>
        <v>0</v>
      </c>
      <c r="E8" s="5" t="str">
        <f>IFERROR(__xludf.DUMMYFUNCTION("""COMPUTED_VALUE"""),"스카치 위스키 60ml, 아마레또 30ml, 크림 30ml")</f>
        <v>스카치 위스키 60ml, 아마레또 30ml, 크림 30ml</v>
      </c>
      <c r="F8" s="5"/>
    </row>
    <row r="9">
      <c r="A9" s="5" t="str">
        <f>IFERROR(__xludf.DUMMYFUNCTION("""COMPUTED_VALUE"""),"갓파더")</f>
        <v>갓파더</v>
      </c>
      <c r="B9" s="5" t="str">
        <f>IFERROR(__xludf.DUMMYFUNCTION("""COMPUTED_VALUE"""),"위스키")</f>
        <v>위스키</v>
      </c>
      <c r="C9" s="5" t="str">
        <f>IFERROR(__xludf.DUMMYFUNCTION("""COMPUTED_VALUE"""),"빌드")</f>
        <v>빌드</v>
      </c>
      <c r="D9" s="8">
        <f>IFERROR(__xludf.DUMMYFUNCTION("""COMPUTED_VALUE"""),0.0)</f>
        <v>0</v>
      </c>
      <c r="E9" s="5" t="str">
        <f>IFERROR(__xludf.DUMMYFUNCTION("""COMPUTED_VALUE"""),"위스키 4, 아마레또 1 비율")</f>
        <v>위스키 4, 아마레또 1 비율</v>
      </c>
      <c r="F9" s="5"/>
    </row>
    <row r="10">
      <c r="A10" s="5" t="str">
        <f>IFERROR(__xludf.DUMMYFUNCTION("""COMPUTED_VALUE"""),"곤돌리에레")</f>
        <v>곤돌리에레</v>
      </c>
      <c r="B10" s="5" t="str">
        <f>IFERROR(__xludf.DUMMYFUNCTION("""COMPUTED_VALUE"""),"위스키")</f>
        <v>위스키</v>
      </c>
      <c r="C10" s="5" t="str">
        <f>IFERROR(__xludf.DUMMYFUNCTION("""COMPUTED_VALUE"""),"스터")</f>
        <v>스터</v>
      </c>
      <c r="D10" s="8">
        <f>IFERROR(__xludf.DUMMYFUNCTION("""COMPUTED_VALUE"""),0.0)</f>
        <v>0</v>
      </c>
      <c r="E10" s="5" t="str">
        <f>IFERROR(__xludf.DUMMYFUNCTION("""COMPUTED_VALUE"""),"스카치 위스키 60ml, 마라스키노 30ml")</f>
        <v>스카치 위스키 60ml, 마라스키노 30ml</v>
      </c>
      <c r="F10" s="5"/>
    </row>
    <row r="11">
      <c r="A11" s="5" t="str">
        <f>IFERROR(__xludf.DUMMYFUNCTION("""COMPUTED_VALUE"""),"골드 러쉬")</f>
        <v>골드 러쉬</v>
      </c>
      <c r="B11" s="5" t="str">
        <f>IFERROR(__xludf.DUMMYFUNCTION("""COMPUTED_VALUE"""),"버번")</f>
        <v>버번</v>
      </c>
      <c r="C11" s="5" t="str">
        <f>IFERROR(__xludf.DUMMYFUNCTION("""COMPUTED_VALUE"""),"쉐이킹")</f>
        <v>쉐이킹</v>
      </c>
      <c r="D11" s="8">
        <f>IFERROR(__xludf.DUMMYFUNCTION("""COMPUTED_VALUE"""),0.0)</f>
        <v>0</v>
      </c>
      <c r="E11" s="5" t="str">
        <f>IFERROR(__xludf.DUMMYFUNCTION("""COMPUTED_VALUE"""),"버번 or 라이 or 블렌디드 위스키 60ml, 레몬즙 22.5ml, 꿀 22.5ml, 레몬 트위스트")</f>
        <v>버번 or 라이 or 블렌디드 위스키 60ml, 레몬즙 22.5ml, 꿀 22.5ml, 레몬 트위스트</v>
      </c>
      <c r="F11" s="5"/>
    </row>
    <row r="12">
      <c r="A12" s="5" t="str">
        <f>IFERROR(__xludf.DUMMYFUNCTION("""COMPUTED_VALUE"""),"골든 데이즈")</f>
        <v>골든 데이즈</v>
      </c>
      <c r="B12" s="5" t="str">
        <f>IFERROR(__xludf.DUMMYFUNCTION("""COMPUTED_VALUE"""),"진")</f>
        <v>진</v>
      </c>
      <c r="C12" s="5" t="str">
        <f>IFERROR(__xludf.DUMMYFUNCTION("""COMPUTED_VALUE"""),"쉐이킹")</f>
        <v>쉐이킹</v>
      </c>
      <c r="D12" s="8">
        <f>IFERROR(__xludf.DUMMYFUNCTION("""COMPUTED_VALUE"""),8.0)</f>
        <v>8</v>
      </c>
      <c r="E12" s="5" t="str">
        <f>IFERROR(__xludf.DUMMYFUNCTION("""COMPUTED_VALUE"""),"피치트리 45ml, 진 15ml, 오렌지 주스 30ml ")</f>
        <v>피치트리 45ml, 진 15ml, 오렌지 주스 30ml </v>
      </c>
      <c r="F12" s="5"/>
    </row>
    <row r="13">
      <c r="A13" s="5" t="str">
        <f>IFERROR(__xludf.DUMMYFUNCTION("""COMPUTED_VALUE"""),"골든 드림")</f>
        <v>골든 드림</v>
      </c>
      <c r="B13" s="5" t="str">
        <f>IFERROR(__xludf.DUMMYFUNCTION("""COMPUTED_VALUE"""),"리큐르")</f>
        <v>리큐르</v>
      </c>
      <c r="C13" s="5" t="str">
        <f>IFERROR(__xludf.DUMMYFUNCTION("""COMPUTED_VALUE"""),"쉐이킹")</f>
        <v>쉐이킹</v>
      </c>
      <c r="D13" s="8">
        <f>IFERROR(__xludf.DUMMYFUNCTION("""COMPUTED_VALUE"""),0.0)</f>
        <v>0</v>
      </c>
      <c r="E13" s="5" t="str">
        <f>IFERROR(__xludf.DUMMYFUNCTION("""COMPUTED_VALUE"""),"갈리아노 30ml, 트리플 섹 15ml, 오렌지 주스 15ml, 크림 15ml")</f>
        <v>갈리아노 30ml, 트리플 섹 15ml, 오렌지 주스 15ml, 크림 15ml</v>
      </c>
      <c r="F13" s="5"/>
    </row>
    <row r="14">
      <c r="A14" s="5" t="str">
        <f>IFERROR(__xludf.DUMMYFUNCTION("""COMPUTED_VALUE"""),"골든 드림2")</f>
        <v>골든 드림2</v>
      </c>
      <c r="B14" s="5" t="str">
        <f>IFERROR(__xludf.DUMMYFUNCTION("""COMPUTED_VALUE"""),"리큐르")</f>
        <v>리큐르</v>
      </c>
      <c r="C14" s="5" t="str">
        <f>IFERROR(__xludf.DUMMYFUNCTION("""COMPUTED_VALUE"""),"쉐이킹")</f>
        <v>쉐이킹</v>
      </c>
      <c r="D14" s="8">
        <f>IFERROR(__xludf.DUMMYFUNCTION("""COMPUTED_VALUE"""),0.0)</f>
        <v>0</v>
      </c>
      <c r="E14" s="5" t="str">
        <f>IFERROR(__xludf.DUMMYFUNCTION("""COMPUTED_VALUE"""),"갈리아노 30ml, 트리플 섹 30ml, 오렌지 주스 30ml, 크림 15ml")</f>
        <v>갈리아노 30ml, 트리플 섹 30ml, 오렌지 주스 30ml, 크림 15ml</v>
      </c>
      <c r="F14" s="5"/>
    </row>
    <row r="15">
      <c r="A15" s="5" t="str">
        <f>IFERROR(__xludf.DUMMYFUNCTION("""COMPUTED_VALUE"""),"골든 마르가리따")</f>
        <v>골든 마르가리따</v>
      </c>
      <c r="B15" s="5" t="str">
        <f>IFERROR(__xludf.DUMMYFUNCTION("""COMPUTED_VALUE"""),"데낄라")</f>
        <v>데낄라</v>
      </c>
      <c r="C15" s="5" t="str">
        <f>IFERROR(__xludf.DUMMYFUNCTION("""COMPUTED_VALUE"""),"쉐이킹 or 빌드")</f>
        <v>쉐이킹 or 빌드</v>
      </c>
      <c r="D15" s="8">
        <f>IFERROR(__xludf.DUMMYFUNCTION("""COMPUTED_VALUE"""),0.0)</f>
        <v>0</v>
      </c>
      <c r="E15" s="5" t="str">
        <f>IFERROR(__xludf.DUMMYFUNCTION("""COMPUTED_VALUE"""),"데낄라 40ml, 오렌지 큐라소 20ml, 레몬즙 10ml")</f>
        <v>데낄라 40ml, 오렌지 큐라소 20ml, 레몬즙 10ml</v>
      </c>
      <c r="F15" s="5"/>
    </row>
    <row r="16">
      <c r="A16" s="5" t="str">
        <f>IFERROR(__xludf.DUMMYFUNCTION("""COMPUTED_VALUE"""),"골든 캐딜락")</f>
        <v>골든 캐딜락</v>
      </c>
      <c r="B16" s="5" t="str">
        <f>IFERROR(__xludf.DUMMYFUNCTION("""COMPUTED_VALUE"""),"리큐르")</f>
        <v>리큐르</v>
      </c>
      <c r="C16" s="5" t="str">
        <f>IFERROR(__xludf.DUMMYFUNCTION("""COMPUTED_VALUE"""),"쉐이킹")</f>
        <v>쉐이킹</v>
      </c>
      <c r="D16" s="8">
        <f>IFERROR(__xludf.DUMMYFUNCTION("""COMPUTED_VALUE"""),0.0)</f>
        <v>0</v>
      </c>
      <c r="E16" s="5" t="str">
        <f>IFERROR(__xludf.DUMMYFUNCTION("""COMPUTED_VALUE"""),"크렘 드 카카오 60ml, 갈리아노 22.5ml, 크림 30ml")</f>
        <v>크렘 드 카카오 60ml, 갈리아노 22.5ml, 크림 30ml</v>
      </c>
      <c r="F16" s="5"/>
    </row>
    <row r="17">
      <c r="A17" s="5" t="str">
        <f>IFERROR(__xludf.DUMMYFUNCTION("""COMPUTED_VALUE"""),"골든 피즈")</f>
        <v>골든 피즈</v>
      </c>
      <c r="B17" s="5" t="str">
        <f>IFERROR(__xludf.DUMMYFUNCTION("""COMPUTED_VALUE"""),"진")</f>
        <v>진</v>
      </c>
      <c r="C17" s="5" t="str">
        <f>IFERROR(__xludf.DUMMYFUNCTION("""COMPUTED_VALUE"""),"쉐이킹")</f>
        <v>쉐이킹</v>
      </c>
      <c r="D17" s="8">
        <f>IFERROR(__xludf.DUMMYFUNCTION("""COMPUTED_VALUE"""),0.0)</f>
        <v>0</v>
      </c>
      <c r="E17" s="5" t="str">
        <f>IFERROR(__xludf.DUMMYFUNCTION("""COMPUTED_VALUE"""),"진 45ml, 레몬즙 22.5ml, 심플시럽 22.5ml, 계란 1개, 드라이 쉐이킹 후 쉐이킹, 탄산수 90ml")</f>
        <v>진 45ml, 레몬즙 22.5ml, 심플시럽 22.5ml, 계란 1개, 드라이 쉐이킹 후 쉐이킹, 탄산수 90ml</v>
      </c>
      <c r="F17" s="5"/>
    </row>
    <row r="18">
      <c r="A18" s="5" t="str">
        <f>IFERROR(__xludf.DUMMYFUNCTION("""COMPUTED_VALUE"""),"그랑블루")</f>
        <v>그랑블루</v>
      </c>
      <c r="B18" s="5" t="str">
        <f>IFERROR(__xludf.DUMMYFUNCTION("""COMPUTED_VALUE"""),"피치트리")</f>
        <v>피치트리</v>
      </c>
      <c r="C18" s="5" t="str">
        <f>IFERROR(__xludf.DUMMYFUNCTION("""COMPUTED_VALUE"""),"쉐이킹")</f>
        <v>쉐이킹</v>
      </c>
      <c r="D18" s="8">
        <f>IFERROR(__xludf.DUMMYFUNCTION("""COMPUTED_VALUE"""),9.0)</f>
        <v>9</v>
      </c>
      <c r="E18" s="5" t="str">
        <f>IFERROR(__xludf.DUMMYFUNCTION("""COMPUTED_VALUE"""),"피치트리 30ml, 블루 큐라소 15ml, 말리부 15ml, 사워믹스 60ml")</f>
        <v>피치트리 30ml, 블루 큐라소 15ml, 말리부 15ml, 사워믹스 60ml</v>
      </c>
      <c r="F18" s="5" t="str">
        <f>IFERROR(__xludf.DUMMYFUNCTION("""COMPUTED_VALUE"""),"맛있고 예쁨")</f>
        <v>맛있고 예쁨</v>
      </c>
    </row>
    <row r="19">
      <c r="A19" s="5" t="str">
        <f>IFERROR(__xludf.DUMMYFUNCTION("""COMPUTED_VALUE"""),"그래스호퍼")</f>
        <v>그래스호퍼</v>
      </c>
      <c r="B19" s="5" t="str">
        <f>IFERROR(__xludf.DUMMYFUNCTION("""COMPUTED_VALUE"""),"민트 리큐르")</f>
        <v>민트 리큐르</v>
      </c>
      <c r="C19" s="5" t="str">
        <f>IFERROR(__xludf.DUMMYFUNCTION("""COMPUTED_VALUE"""),"쉐이킹(보스턴)")</f>
        <v>쉐이킹(보스턴)</v>
      </c>
      <c r="D19" s="8">
        <f>IFERROR(__xludf.DUMMYFUNCTION("""COMPUTED_VALUE"""),0.0)</f>
        <v>0</v>
      </c>
      <c r="E19" s="5" t="str">
        <f>IFERROR(__xludf.DUMMYFUNCTION("""COMPUTED_VALUE"""),"민트 리큐르 30ml, 카카오 리큐르(화이트) 30ml, 우유 or 크림 30ml")</f>
        <v>민트 리큐르 30ml, 카카오 리큐르(화이트) 30ml, 우유 or 크림 30ml</v>
      </c>
      <c r="F19" s="5"/>
    </row>
    <row r="20">
      <c r="A20" s="5" t="str">
        <f>IFERROR(__xludf.DUMMYFUNCTION("""COMPUTED_VALUE"""),"그레네이드")</f>
        <v>그레네이드</v>
      </c>
      <c r="B20" s="5" t="str">
        <f>IFERROR(__xludf.DUMMYFUNCTION("""COMPUTED_VALUE"""),"진")</f>
        <v>진</v>
      </c>
      <c r="C20" s="5" t="str">
        <f>IFERROR(__xludf.DUMMYFUNCTION("""COMPUTED_VALUE"""),"쉐이킹")</f>
        <v>쉐이킹</v>
      </c>
      <c r="D20" s="8">
        <f>IFERROR(__xludf.DUMMYFUNCTION("""COMPUTED_VALUE"""),0.0)</f>
        <v>0</v>
      </c>
      <c r="E20" s="5" t="str">
        <f>IFERROR(__xludf.DUMMYFUNCTION("""COMPUTED_VALUE"""),"진 52.5ml, 레몬즙 30ml, 쉐이킹 후 크러쉬드 아이스 가득, 그레나딘 시럽 22.5ml")</f>
        <v>진 52.5ml, 레몬즙 30ml, 쉐이킹 후 크러쉬드 아이스 가득, 그레나딘 시럽 22.5ml</v>
      </c>
      <c r="F20" s="5"/>
    </row>
    <row r="21">
      <c r="A21" s="5" t="str">
        <f>IFERROR(__xludf.DUMMYFUNCTION("""COMPUTED_VALUE"""),"그레이 하운드")</f>
        <v>그레이 하운드</v>
      </c>
      <c r="B21" s="5" t="str">
        <f>IFERROR(__xludf.DUMMYFUNCTION("""COMPUTED_VALUE"""),"진or보드카")</f>
        <v>진or보드카</v>
      </c>
      <c r="C21" s="5" t="str">
        <f>IFERROR(__xludf.DUMMYFUNCTION("""COMPUTED_VALUE"""),"빌드")</f>
        <v>빌드</v>
      </c>
      <c r="D21" s="8">
        <f>IFERROR(__xludf.DUMMYFUNCTION("""COMPUTED_VALUE"""),0.0)</f>
        <v>0</v>
      </c>
      <c r="E21" s="5" t="str">
        <f>IFERROR(__xludf.DUMMYFUNCTION("""COMPUTED_VALUE"""),"진or보드카 45ml, 자몽 주스 적당량, 소금 약간")</f>
        <v>진or보드카 45ml, 자몽 주스 적당량, 소금 약간</v>
      </c>
      <c r="F21" s="5"/>
    </row>
    <row r="22">
      <c r="A22" s="5" t="str">
        <f>IFERROR(__xludf.DUMMYFUNCTION("""COMPUTED_VALUE"""),"그린 위도우")</f>
        <v>그린 위도우</v>
      </c>
      <c r="B22" s="5" t="str">
        <f>IFERROR(__xludf.DUMMYFUNCTION("""COMPUTED_VALUE"""),"리큐르")</f>
        <v>리큐르</v>
      </c>
      <c r="C22" s="5" t="str">
        <f>IFERROR(__xludf.DUMMYFUNCTION("""COMPUTED_VALUE"""),"빌드")</f>
        <v>빌드</v>
      </c>
      <c r="D22" s="8">
        <f>IFERROR(__xludf.DUMMYFUNCTION("""COMPUTED_VALUE"""),0.0)</f>
        <v>0</v>
      </c>
      <c r="E22" s="5" t="str">
        <f>IFERROR(__xludf.DUMMYFUNCTION("""COMPUTED_VALUE"""),"블루 큐라소 30ml, 오렌지 주스 45ml")</f>
        <v>블루 큐라소 30ml, 오렌지 주스 45ml</v>
      </c>
      <c r="F22" s="5"/>
    </row>
    <row r="23">
      <c r="A23" s="5" t="str">
        <f>IFERROR(__xludf.DUMMYFUNCTION("""COMPUTED_VALUE"""),"그린 피치")</f>
        <v>그린 피치</v>
      </c>
      <c r="B23" s="5" t="str">
        <f>IFERROR(__xludf.DUMMYFUNCTION("""COMPUTED_VALUE"""),"피치 리큐르")</f>
        <v>피치 리큐르</v>
      </c>
      <c r="C23" s="5" t="str">
        <f>IFERROR(__xludf.DUMMYFUNCTION("""COMPUTED_VALUE"""),"블렌딩")</f>
        <v>블렌딩</v>
      </c>
      <c r="D23" s="8">
        <f>IFERROR(__xludf.DUMMYFUNCTION("""COMPUTED_VALUE"""),0.0)</f>
        <v>0</v>
      </c>
      <c r="E23" s="5" t="str">
        <f>IFERROR(__xludf.DUMMYFUNCTION("""COMPUTED_VALUE"""),"보드카 15ml, 멜론 리큐르 15ml, 피치 리큐르 22.5ml, 오렌지 주스 30ml, 사워믹스 30ml")</f>
        <v>보드카 15ml, 멜론 리큐르 15ml, 피치 리큐르 22.5ml, 오렌지 주스 30ml, 사워믹스 30ml</v>
      </c>
      <c r="F23" s="5"/>
    </row>
    <row r="24">
      <c r="A24" s="5" t="str">
        <f>IFERROR(__xludf.DUMMYFUNCTION("""COMPUTED_VALUE"""),"글래디에이터")</f>
        <v>글래디에이터</v>
      </c>
      <c r="B24" s="5" t="str">
        <f>IFERROR(__xludf.DUMMYFUNCTION("""COMPUTED_VALUE"""),"리큐르")</f>
        <v>리큐르</v>
      </c>
      <c r="C24" s="5" t="str">
        <f>IFERROR(__xludf.DUMMYFUNCTION("""COMPUTED_VALUE"""),"빌드")</f>
        <v>빌드</v>
      </c>
      <c r="D24" s="8">
        <f>IFERROR(__xludf.DUMMYFUNCTION("""COMPUTED_VALUE"""),0.0)</f>
        <v>0</v>
      </c>
      <c r="E24" s="5" t="str">
        <f>IFERROR(__xludf.DUMMYFUNCTION("""COMPUTED_VALUE"""),"샷 글라스에 아마레또 15ml, 셔던 컴포트 15ml, 유리잔에 오렌지 주스 60ml, 레몬라임 소다 60ml, 샷 글라스를 유리잔에 퐁당!")</f>
        <v>샷 글라스에 아마레또 15ml, 셔던 컴포트 15ml, 유리잔에 오렌지 주스 60ml, 레몬라임 소다 60ml, 샷 글라스를 유리잔에 퐁당!</v>
      </c>
      <c r="F24" s="5"/>
    </row>
    <row r="25">
      <c r="A25" s="5" t="str">
        <f>IFERROR(__xludf.DUMMYFUNCTION("""COMPUTED_VALUE"""),"글루미 바이올렛")</f>
        <v>글루미 바이올렛</v>
      </c>
      <c r="B25" s="5" t="str">
        <f>IFERROR(__xludf.DUMMYFUNCTION("""COMPUTED_VALUE"""),"데낄라")</f>
        <v>데낄라</v>
      </c>
      <c r="C25" s="5" t="str">
        <f>IFERROR(__xludf.DUMMYFUNCTION("""COMPUTED_VALUE"""),"쉐이킹(보스턴)")</f>
        <v>쉐이킹(보스턴)</v>
      </c>
      <c r="D25" s="8">
        <f>IFERROR(__xludf.DUMMYFUNCTION("""COMPUTED_VALUE"""),0.0)</f>
        <v>0</v>
      </c>
      <c r="E25" s="5" t="str">
        <f>IFERROR(__xludf.DUMMYFUNCTION("""COMPUTED_VALUE"""),"데낄라 30ml, 블루 큐라소 15ml, 드라이 베르뭇 15ml, 라임즙 15ml, 크렌베리 주스 30ml")</f>
        <v>데낄라 30ml, 블루 큐라소 15ml, 드라이 베르뭇 15ml, 라임즙 15ml, 크렌베리 주스 30ml</v>
      </c>
      <c r="F25" s="5"/>
    </row>
    <row r="26">
      <c r="A26" s="5" t="str">
        <f>IFERROR(__xludf.DUMMYFUNCTION("""COMPUTED_VALUE"""),"길다")</f>
        <v>길다</v>
      </c>
      <c r="B26" s="5" t="str">
        <f>IFERROR(__xludf.DUMMYFUNCTION("""COMPUTED_VALUE"""),"데낄라")</f>
        <v>데낄라</v>
      </c>
      <c r="C26" s="5" t="str">
        <f>IFERROR(__xludf.DUMMYFUNCTION("""COMPUTED_VALUE"""),"쉐이킹")</f>
        <v>쉐이킹</v>
      </c>
      <c r="D26" s="8">
        <f>IFERROR(__xludf.DUMMYFUNCTION("""COMPUTED_VALUE"""),0.0)</f>
        <v>0</v>
      </c>
      <c r="E26" s="5" t="str">
        <f>IFERROR(__xludf.DUMMYFUNCTION("""COMPUTED_VALUE"""),"블랑코 데낄라 60ml, 파인애플 주스 15ml, 라임즙 15ml, 계피시럽 15ml")</f>
        <v>블랑코 데낄라 60ml, 파인애플 주스 15ml, 라임즙 15ml, 계피시럽 15ml</v>
      </c>
      <c r="F26" s="5"/>
    </row>
    <row r="27">
      <c r="A27" s="5" t="str">
        <f>IFERROR(__xludf.DUMMYFUNCTION("""COMPUTED_VALUE"""),"김렛")</f>
        <v>김렛</v>
      </c>
      <c r="B27" s="5" t="str">
        <f>IFERROR(__xludf.DUMMYFUNCTION("""COMPUTED_VALUE"""),"진")</f>
        <v>진</v>
      </c>
      <c r="C27" s="5" t="str">
        <f>IFERROR(__xludf.DUMMYFUNCTION("""COMPUTED_VALUE"""),"쉐이킹")</f>
        <v>쉐이킹</v>
      </c>
      <c r="D27" s="8">
        <f>IFERROR(__xludf.DUMMYFUNCTION("""COMPUTED_VALUE"""),0.0)</f>
        <v>0</v>
      </c>
      <c r="E27" s="5" t="str">
        <f>IFERROR(__xludf.DUMMYFUNCTION("""COMPUTED_VALUE"""),"드라이 진 45ml, 라임즙 15ml, 설탕시럽 7.5ml")</f>
        <v>드라이 진 45ml, 라임즙 15ml, 설탕시럽 7.5ml</v>
      </c>
      <c r="F27" s="5"/>
    </row>
    <row r="28">
      <c r="A28" s="5" t="str">
        <f>IFERROR(__xludf.DUMMYFUNCTION("""COMPUTED_VALUE"""),"깁슨")</f>
        <v>깁슨</v>
      </c>
      <c r="B28" s="5" t="str">
        <f>IFERROR(__xludf.DUMMYFUNCTION("""COMPUTED_VALUE"""),"진")</f>
        <v>진</v>
      </c>
      <c r="C28" s="5" t="str">
        <f>IFERROR(__xludf.DUMMYFUNCTION("""COMPUTED_VALUE"""),"스터")</f>
        <v>스터</v>
      </c>
      <c r="D28" s="8">
        <f>IFERROR(__xludf.DUMMYFUNCTION("""COMPUTED_VALUE"""),0.0)</f>
        <v>0</v>
      </c>
      <c r="E28" s="5" t="str">
        <f>IFERROR(__xludf.DUMMYFUNCTION("""COMPUTED_VALUE"""),"드라이 진 45ml, 드라이 베르뭇 22ml, 가니쉬로 칵테일 어니언 2~3개 풍덩")</f>
        <v>드라이 진 45ml, 드라이 베르뭇 22ml, 가니쉬로 칵테일 어니언 2~3개 풍덩</v>
      </c>
      <c r="F28" s="5"/>
    </row>
    <row r="29">
      <c r="A29" s="5" t="str">
        <f>IFERROR(__xludf.DUMMYFUNCTION("""COMPUTED_VALUE"""),"깔루아밀크")</f>
        <v>깔루아밀크</v>
      </c>
      <c r="B29" s="5" t="str">
        <f>IFERROR(__xludf.DUMMYFUNCTION("""COMPUTED_VALUE"""),"깔루아")</f>
        <v>깔루아</v>
      </c>
      <c r="C29" s="5" t="str">
        <f>IFERROR(__xludf.DUMMYFUNCTION("""COMPUTED_VALUE"""),"빌드")</f>
        <v>빌드</v>
      </c>
      <c r="D29" s="8">
        <f>IFERROR(__xludf.DUMMYFUNCTION("""COMPUTED_VALUE"""),9.0)</f>
        <v>9</v>
      </c>
      <c r="E29" s="5" t="str">
        <f>IFERROR(__xludf.DUMMYFUNCTION("""COMPUTED_VALUE"""),"깔루아 30ml, 우유 120ml")</f>
        <v>깔루아 30ml, 우유 120ml</v>
      </c>
      <c r="F29" s="5" t="str">
        <f>IFERROR(__xludf.DUMMYFUNCTION("""COMPUTED_VALUE"""),"GOAT")</f>
        <v>GOAT</v>
      </c>
    </row>
    <row r="30">
      <c r="A30" s="5" t="str">
        <f>IFERROR(__xludf.DUMMYFUNCTION("""COMPUTED_VALUE"""),"깔바도스 칵테일")</f>
        <v>깔바도스 칵테일</v>
      </c>
      <c r="B30" s="5" t="str">
        <f>IFERROR(__xludf.DUMMYFUNCTION("""COMPUTED_VALUE"""),"애플 브랜디")</f>
        <v>애플 브랜디</v>
      </c>
      <c r="C30" s="5" t="str">
        <f>IFERROR(__xludf.DUMMYFUNCTION("""COMPUTED_VALUE"""),"쉐이킹")</f>
        <v>쉐이킹</v>
      </c>
      <c r="D30" s="8">
        <f>IFERROR(__xludf.DUMMYFUNCTION("""COMPUTED_VALUE"""),0.0)</f>
        <v>0</v>
      </c>
      <c r="E30" s="5" t="str">
        <f>IFERROR(__xludf.DUMMYFUNCTION("""COMPUTED_VALUE"""),"애플 브랜디 60ml, 트리플 섹 15ml, 오렌지 주스 15ml, 레몬즙 15ml, 오렌지 비터 1대쉬")</f>
        <v>애플 브랜디 60ml, 트리플 섹 15ml, 오렌지 주스 15ml, 레몬즙 15ml, 오렌지 비터 1대쉬</v>
      </c>
      <c r="F30" s="5"/>
    </row>
    <row r="31">
      <c r="A31" s="5" t="str">
        <f>IFERROR(__xludf.DUMMYFUNCTION("""COMPUTED_VALUE"""),"꿀벌의 키스")</f>
        <v>꿀벌의 키스</v>
      </c>
      <c r="B31" s="5" t="str">
        <f>IFERROR(__xludf.DUMMYFUNCTION("""COMPUTED_VALUE"""),"럼")</f>
        <v>럼</v>
      </c>
      <c r="C31" s="5" t="str">
        <f>IFERROR(__xludf.DUMMYFUNCTION("""COMPUTED_VALUE"""),"쉐이킹")</f>
        <v>쉐이킹</v>
      </c>
      <c r="D31" s="8">
        <f>IFERROR(__xludf.DUMMYFUNCTION("""COMPUTED_VALUE"""),0.0)</f>
        <v>0</v>
      </c>
      <c r="E31" s="5" t="str">
        <f>IFERROR(__xludf.DUMMYFUNCTION("""COMPUTED_VALUE"""),"화이트 럼 45ml, 헤비 휘핑 크림 or 라이트 크림 30ml, 꿀 2작은술, 가니쉬 잘게 갈린 육두구")</f>
        <v>화이트 럼 45ml, 헤비 휘핑 크림 or 라이트 크림 30ml, 꿀 2작은술, 가니쉬 잘게 갈린 육두구</v>
      </c>
      <c r="F31" s="5"/>
    </row>
    <row r="32">
      <c r="A32" s="5" t="str">
        <f>IFERROR(__xludf.DUMMYFUNCTION("""COMPUTED_VALUE"""),"낙원")</f>
        <v>낙원</v>
      </c>
      <c r="B32" s="5" t="str">
        <f>IFERROR(__xludf.DUMMYFUNCTION("""COMPUTED_VALUE"""),"진")</f>
        <v>진</v>
      </c>
      <c r="C32" s="5" t="str">
        <f>IFERROR(__xludf.DUMMYFUNCTION("""COMPUTED_VALUE"""),"쉐이킹")</f>
        <v>쉐이킹</v>
      </c>
      <c r="D32" s="8">
        <f>IFERROR(__xludf.DUMMYFUNCTION("""COMPUTED_VALUE"""),0.0)</f>
        <v>0</v>
      </c>
      <c r="E32" s="5" t="str">
        <f>IFERROR(__xludf.DUMMYFUNCTION("""COMPUTED_VALUE"""),"드라이 진 30ml, 오렌지 주스 30ml, 살구 or 애프리콧 브랜디 30ml")</f>
        <v>드라이 진 30ml, 오렌지 주스 30ml, 살구 or 애프리콧 브랜디 30ml</v>
      </c>
      <c r="F32" s="5"/>
    </row>
    <row r="33">
      <c r="A33" s="5" t="str">
        <f>IFERROR(__xludf.DUMMYFUNCTION("""COMPUTED_VALUE"""),"네그로니")</f>
        <v>네그로니</v>
      </c>
      <c r="B33" s="5" t="str">
        <f>IFERROR(__xludf.DUMMYFUNCTION("""COMPUTED_VALUE"""),"진")</f>
        <v>진</v>
      </c>
      <c r="C33" s="5" t="str">
        <f>IFERROR(__xludf.DUMMYFUNCTION("""COMPUTED_VALUE"""),"스터")</f>
        <v>스터</v>
      </c>
      <c r="D33" s="8">
        <f>IFERROR(__xludf.DUMMYFUNCTION("""COMPUTED_VALUE"""),5.0)</f>
        <v>5</v>
      </c>
      <c r="E33" s="5" t="str">
        <f>IFERROR(__xludf.DUMMYFUNCTION("""COMPUTED_VALUE"""),"캄파리 30ml, 베르뭇 로쏘 30ml, 진 30ml, 오렌지 or 레몬 껍질")</f>
        <v>캄파리 30ml, 베르뭇 로쏘 30ml, 진 30ml, 오렌지 or 레몬 껍질</v>
      </c>
      <c r="F33" s="5" t="str">
        <f>IFERROR(__xludf.DUMMYFUNCTION("""COMPUTED_VALUE"""),"오렌지 안들어가면 쓰다")</f>
        <v>오렌지 안들어가면 쓰다</v>
      </c>
    </row>
    <row r="34">
      <c r="A34" s="5" t="str">
        <f>IFERROR(__xludf.DUMMYFUNCTION("""COMPUTED_VALUE"""),"네그로니 사워")</f>
        <v>네그로니 사워</v>
      </c>
      <c r="B34" s="5" t="str">
        <f>IFERROR(__xludf.DUMMYFUNCTION("""COMPUTED_VALUE"""),"진")</f>
        <v>진</v>
      </c>
      <c r="C34" s="5" t="str">
        <f>IFERROR(__xludf.DUMMYFUNCTION("""COMPUTED_VALUE"""),"쉐이킹")</f>
        <v>쉐이킹</v>
      </c>
      <c r="D34" s="8">
        <f>IFERROR(__xludf.DUMMYFUNCTION("""COMPUTED_VALUE"""),0.0)</f>
        <v>0</v>
      </c>
      <c r="E34" s="5" t="str">
        <f>IFERROR(__xludf.DUMMYFUNCTION("""COMPUTED_VALUE"""),"진 23ml, 캄파리 23ml, 스윗 베르뭇 23ml, 레몬즙 30ml, 시럽 15ml, 계란 흰자 1개")</f>
        <v>진 23ml, 캄파리 23ml, 스윗 베르뭇 23ml, 레몬즙 30ml, 시럽 15ml, 계란 흰자 1개</v>
      </c>
      <c r="F34" s="5"/>
    </row>
    <row r="35">
      <c r="A35" s="5" t="str">
        <f>IFERROR(__xludf.DUMMYFUNCTION("""COMPUTED_VALUE"""),"뇌출혈")</f>
        <v>뇌출혈</v>
      </c>
      <c r="B35" s="5"/>
      <c r="C35" s="5" t="str">
        <f>IFERROR(__xludf.DUMMYFUNCTION("""COMPUTED_VALUE"""),"플로팅")</f>
        <v>플로팅</v>
      </c>
      <c r="D35" s="8">
        <f>IFERROR(__xludf.DUMMYFUNCTION("""COMPUTED_VALUE"""),0.0)</f>
        <v>0</v>
      </c>
      <c r="E35" s="5" t="str">
        <f>IFERROR(__xludf.DUMMYFUNCTION("""COMPUTED_VALUE"""),"피치트리 2/3, 베일리스 1/3, 그레나딘 시럽 톡톡")</f>
        <v>피치트리 2/3, 베일리스 1/3, 그레나딘 시럽 톡톡</v>
      </c>
      <c r="F35" s="5"/>
    </row>
    <row r="36">
      <c r="A36" s="5" t="str">
        <f>IFERROR(__xludf.DUMMYFUNCTION("""COMPUTED_VALUE"""),"뉴 스쿨 진 데이지")</f>
        <v>뉴 스쿨 진 데이지</v>
      </c>
      <c r="B36" s="5" t="str">
        <f>IFERROR(__xludf.DUMMYFUNCTION("""COMPUTED_VALUE"""),"진")</f>
        <v>진</v>
      </c>
      <c r="C36" s="5" t="str">
        <f>IFERROR(__xludf.DUMMYFUNCTION("""COMPUTED_VALUE"""),"쉐이킹")</f>
        <v>쉐이킹</v>
      </c>
      <c r="D36" s="8">
        <f>IFERROR(__xludf.DUMMYFUNCTION("""COMPUTED_VALUE"""),0.0)</f>
        <v>0</v>
      </c>
      <c r="E36" s="5" t="str">
        <f>IFERROR(__xludf.DUMMYFUNCTION("""COMPUTED_VALUE"""),"진 45ml, 레몬즙 15ml, 그레나딘 시럽 7.5ml, 심플시럽 7.5ml, 쉐이킹 후 탄산수 필업")</f>
        <v>진 45ml, 레몬즙 15ml, 그레나딘 시럽 7.5ml, 심플시럽 7.5ml, 쉐이킹 후 탄산수 필업</v>
      </c>
      <c r="F36" s="5"/>
    </row>
    <row r="37">
      <c r="A37" s="5" t="str">
        <f>IFERROR(__xludf.DUMMYFUNCTION("""COMPUTED_VALUE"""),"뉴욕")</f>
        <v>뉴욕</v>
      </c>
      <c r="B37" s="5" t="str">
        <f>IFERROR(__xludf.DUMMYFUNCTION("""COMPUTED_VALUE"""),"버번")</f>
        <v>버번</v>
      </c>
      <c r="C37" s="5" t="str">
        <f>IFERROR(__xludf.DUMMYFUNCTION("""COMPUTED_VALUE"""),"쉐이킹")</f>
        <v>쉐이킹</v>
      </c>
      <c r="D37" s="8">
        <f>IFERROR(__xludf.DUMMYFUNCTION("""COMPUTED_VALUE"""),0.0)</f>
        <v>0</v>
      </c>
      <c r="E37" s="5" t="str">
        <f>IFERROR(__xludf.DUMMYFUNCTION("""COMPUTED_VALUE"""),"버번 위스키 60ml, 레몬즙 30ml, 설탕 1티스푼, 그레나딘 시럽 1/2 티스푼")</f>
        <v>버번 위스키 60ml, 레몬즙 30ml, 설탕 1티스푼, 그레나딘 시럽 1/2 티스푼</v>
      </c>
      <c r="F37" s="5"/>
    </row>
    <row r="38">
      <c r="A38" s="5" t="str">
        <f>IFERROR(__xludf.DUMMYFUNCTION("""COMPUTED_VALUE"""),"뉴욕2")</f>
        <v>뉴욕2</v>
      </c>
      <c r="B38" s="5" t="str">
        <f>IFERROR(__xludf.DUMMYFUNCTION("""COMPUTED_VALUE"""),"버번")</f>
        <v>버번</v>
      </c>
      <c r="C38" s="5" t="str">
        <f>IFERROR(__xludf.DUMMYFUNCTION("""COMPUTED_VALUE"""),"쉐이킹")</f>
        <v>쉐이킹</v>
      </c>
      <c r="D38" s="8">
        <f>IFERROR(__xludf.DUMMYFUNCTION("""COMPUTED_VALUE"""),0.0)</f>
        <v>0</v>
      </c>
      <c r="E38" s="5" t="str">
        <f>IFERROR(__xludf.DUMMYFUNCTION("""COMPUTED_VALUE"""),"버번 위스키 45ml, 라임즙 15ml, 설탕 1티스푼, 그레나딘 시럽 1/2 티스푼")</f>
        <v>버번 위스키 45ml, 라임즙 15ml, 설탕 1티스푼, 그레나딘 시럽 1/2 티스푼</v>
      </c>
      <c r="F38" s="5"/>
    </row>
    <row r="39">
      <c r="A39" s="5" t="str">
        <f>IFERROR(__xludf.DUMMYFUNCTION("""COMPUTED_VALUE"""),"니콜라시카")</f>
        <v>니콜라시카</v>
      </c>
      <c r="B39" s="5" t="str">
        <f>IFERROR(__xludf.DUMMYFUNCTION("""COMPUTED_VALUE"""),"브랜디 or 꼬냑")</f>
        <v>브랜디 or 꼬냑</v>
      </c>
      <c r="C39" s="5" t="str">
        <f>IFERROR(__xludf.DUMMYFUNCTION("""COMPUTED_VALUE"""),"빌드")</f>
        <v>빌드</v>
      </c>
      <c r="D39" s="8">
        <f>IFERROR(__xludf.DUMMYFUNCTION("""COMPUTED_VALUE"""),0.0)</f>
        <v>0</v>
      </c>
      <c r="E39" s="5" t="str">
        <f>IFERROR(__xludf.DUMMYFUNCTION("""COMPUTED_VALUE"""),"브랜디 or 꼬냑 25ml, 레몬 슬라이스 1조각 위에 설탕 1덩어리, 레몬과 설탕을 털어먹고 원샷!")</f>
        <v>브랜디 or 꼬냑 25ml, 레몬 슬라이스 1조각 위에 설탕 1덩어리, 레몬과 설탕을 털어먹고 원샷!</v>
      </c>
      <c r="F39" s="5"/>
    </row>
    <row r="40">
      <c r="A40" s="5" t="str">
        <f>IFERROR(__xludf.DUMMYFUNCTION("""COMPUTED_VALUE"""),"다이키리")</f>
        <v>다이키리</v>
      </c>
      <c r="B40" s="5" t="str">
        <f>IFERROR(__xludf.DUMMYFUNCTION("""COMPUTED_VALUE"""),"럼")</f>
        <v>럼</v>
      </c>
      <c r="C40" s="5" t="str">
        <f>IFERROR(__xludf.DUMMYFUNCTION("""COMPUTED_VALUE"""),"쉐이킹")</f>
        <v>쉐이킹</v>
      </c>
      <c r="D40" s="8">
        <f>IFERROR(__xludf.DUMMYFUNCTION("""COMPUTED_VALUE"""),0.0)</f>
        <v>0</v>
      </c>
      <c r="E40" s="5" t="str">
        <f>IFERROR(__xludf.DUMMYFUNCTION("""COMPUTED_VALUE"""),"화이트 럼 45ml, 라임즙 30ml, 설탕시럽 15ml, 라임 슬라이스")</f>
        <v>화이트 럼 45ml, 라임즙 30ml, 설탕시럽 15ml, 라임 슬라이스</v>
      </c>
      <c r="F40" s="5"/>
    </row>
    <row r="41">
      <c r="A41" s="5" t="str">
        <f>IFERROR(__xludf.DUMMYFUNCTION("""COMPUTED_VALUE"""),"다이키리2")</f>
        <v>다이키리2</v>
      </c>
      <c r="B41" s="5" t="str">
        <f>IFERROR(__xludf.DUMMYFUNCTION("""COMPUTED_VALUE"""),"럼")</f>
        <v>럼</v>
      </c>
      <c r="C41" s="5" t="str">
        <f>IFERROR(__xludf.DUMMYFUNCTION("""COMPUTED_VALUE"""),"쉐이킹")</f>
        <v>쉐이킹</v>
      </c>
      <c r="D41" s="8">
        <f>IFERROR(__xludf.DUMMYFUNCTION("""COMPUTED_VALUE"""),0.0)</f>
        <v>0</v>
      </c>
      <c r="E41" s="5" t="str">
        <f>IFERROR(__xludf.DUMMYFUNCTION("""COMPUTED_VALUE"""),"화이트 럼 60ml, 라임즙 20ml, 설탕시럽 10ml")</f>
        <v>화이트 럼 60ml, 라임즙 20ml, 설탕시럽 10ml</v>
      </c>
      <c r="F41" s="5"/>
    </row>
    <row r="42">
      <c r="A42" s="5" t="str">
        <f>IFERROR(__xludf.DUMMYFUNCTION("""COMPUTED_VALUE"""),"다잉 바스타드")</f>
        <v>다잉 바스타드</v>
      </c>
      <c r="B42" s="5" t="str">
        <f>IFERROR(__xludf.DUMMYFUNCTION("""COMPUTED_VALUE"""),"혼합")</f>
        <v>혼합</v>
      </c>
      <c r="C42" s="5" t="str">
        <f>IFERROR(__xludf.DUMMYFUNCTION("""COMPUTED_VALUE"""),"쉐이킹")</f>
        <v>쉐이킹</v>
      </c>
      <c r="D42" s="8">
        <f>IFERROR(__xludf.DUMMYFUNCTION("""COMPUTED_VALUE"""),0.0)</f>
        <v>0</v>
      </c>
      <c r="E42" s="5" t="str">
        <f>IFERROR(__xludf.DUMMYFUNCTION("""COMPUTED_VALUE"""),"브랜디 or꼬냑 15ml, 진 15ml, 버번 15ml, 라임즙 15ml, 비터 2대쉬, 쉐이킹 후 진저비어 필업")</f>
        <v>브랜디 or꼬냑 15ml, 진 15ml, 버번 15ml, 라임즙 15ml, 비터 2대쉬, 쉐이킹 후 진저비어 필업</v>
      </c>
      <c r="F42" s="5"/>
    </row>
    <row r="43">
      <c r="A43" s="5" t="str">
        <f>IFERROR(__xludf.DUMMYFUNCTION("""COMPUTED_VALUE"""),"닥터 킬러")</f>
        <v>닥터 킬러</v>
      </c>
      <c r="B43" s="5" t="str">
        <f>IFERROR(__xludf.DUMMYFUNCTION("""COMPUTED_VALUE"""),"혼합")</f>
        <v>혼합</v>
      </c>
      <c r="C43" s="5" t="str">
        <f>IFERROR(__xludf.DUMMYFUNCTION("""COMPUTED_VALUE"""),"빌드")</f>
        <v>빌드</v>
      </c>
      <c r="D43" s="8">
        <f>IFERROR(__xludf.DUMMYFUNCTION("""COMPUTED_VALUE"""),8.0)</f>
        <v>8</v>
      </c>
      <c r="E43" s="5" t="str">
        <f>IFERROR(__xludf.DUMMYFUNCTION("""COMPUTED_VALUE"""),"론디아즈 15ml, 보드카 15ml, 진 15ml, 럼 15ml, 드람부이 15ml")</f>
        <v>론디아즈 15ml, 보드카 15ml, 진 15ml, 럼 15ml, 드람부이 15ml</v>
      </c>
      <c r="F43" s="5"/>
    </row>
    <row r="44">
      <c r="A44" s="5" t="str">
        <f>IFERROR(__xludf.DUMMYFUNCTION("""COMPUTED_VALUE"""),"더 브로디")</f>
        <v>더 브로디</v>
      </c>
      <c r="B44" s="5" t="str">
        <f>IFERROR(__xludf.DUMMYFUNCTION("""COMPUTED_VALUE"""),"데낄라")</f>
        <v>데낄라</v>
      </c>
      <c r="C44" s="5" t="str">
        <f>IFERROR(__xludf.DUMMYFUNCTION("""COMPUTED_VALUE"""),"쉐이킹")</f>
        <v>쉐이킹</v>
      </c>
      <c r="D44" s="8">
        <f>IFERROR(__xludf.DUMMYFUNCTION("""COMPUTED_VALUE"""),0.0)</f>
        <v>0</v>
      </c>
      <c r="E44" s="5" t="str">
        <f>IFERROR(__xludf.DUMMYFUNCTION("""COMPUTED_VALUE"""),"데낄라 30ml, 체리 히링 23ml, 스윗 베르뭇 23ml")</f>
        <v>데낄라 30ml, 체리 히링 23ml, 스윗 베르뭇 23ml</v>
      </c>
      <c r="F44" s="5"/>
    </row>
    <row r="45">
      <c r="A45" s="5" t="str">
        <f>IFERROR(__xludf.DUMMYFUNCTION("""COMPUTED_VALUE"""),"더비")</f>
        <v>더비</v>
      </c>
      <c r="B45" s="5" t="str">
        <f>IFERROR(__xludf.DUMMYFUNCTION("""COMPUTED_VALUE"""),"위스키")</f>
        <v>위스키</v>
      </c>
      <c r="C45" s="5" t="str">
        <f>IFERROR(__xludf.DUMMYFUNCTION("""COMPUTED_VALUE"""),"쉐이킹")</f>
        <v>쉐이킹</v>
      </c>
      <c r="D45" s="8">
        <f>IFERROR(__xludf.DUMMYFUNCTION("""COMPUTED_VALUE"""),0.0)</f>
        <v>0</v>
      </c>
      <c r="E45" s="5" t="str">
        <f>IFERROR(__xludf.DUMMYFUNCTION("""COMPUTED_VALUE"""),"버번 or 라이 위스키 30ml, 라임즙 22.5ml, 스윗 베르뭇 15ml, 오렌지 큐라소 15ml, 레몬 웻지")</f>
        <v>버번 or 라이 위스키 30ml, 라임즙 22.5ml, 스윗 베르뭇 15ml, 오렌지 큐라소 15ml, 레몬 웻지</v>
      </c>
      <c r="F45" s="5"/>
    </row>
    <row r="46">
      <c r="A46" s="5" t="str">
        <f>IFERROR(__xludf.DUMMYFUNCTION("""COMPUTED_VALUE"""),"더비 피즈")</f>
        <v>더비 피즈</v>
      </c>
      <c r="B46" s="5" t="str">
        <f>IFERROR(__xludf.DUMMYFUNCTION("""COMPUTED_VALUE"""),"위스키")</f>
        <v>위스키</v>
      </c>
      <c r="C46" s="5" t="str">
        <f>IFERROR(__xludf.DUMMYFUNCTION("""COMPUTED_VALUE"""),"쉐이킹")</f>
        <v>쉐이킹</v>
      </c>
      <c r="D46" s="8">
        <f>IFERROR(__xludf.DUMMYFUNCTION("""COMPUTED_VALUE"""),0.0)</f>
        <v>0</v>
      </c>
      <c r="E46" s="5" t="str">
        <f>IFERROR(__xludf.DUMMYFUNCTION("""COMPUTED_VALUE"""),"스카치 위스키 45ml, 오렌지 큐라소 1티스푼, 레몬즙 15ml, 설탕 1티스푼, 계란 1개, 쉐이킹 후 탄산수 필업")</f>
        <v>스카치 위스키 45ml, 오렌지 큐라소 1티스푼, 레몬즙 15ml, 설탕 1티스푼, 계란 1개, 쉐이킹 후 탄산수 필업</v>
      </c>
      <c r="F46" s="5"/>
    </row>
    <row r="47">
      <c r="A47" s="5" t="str">
        <f>IFERROR(__xludf.DUMMYFUNCTION("""COMPUTED_VALUE"""),"더스티 로즈")</f>
        <v>더스티 로즈</v>
      </c>
      <c r="B47" s="5" t="str">
        <f>IFERROR(__xludf.DUMMYFUNCTION("""COMPUTED_VALUE"""),"리큐르")</f>
        <v>리큐르</v>
      </c>
      <c r="C47" s="5" t="str">
        <f>IFERROR(__xludf.DUMMYFUNCTION("""COMPUTED_VALUE"""),"쉐이킹")</f>
        <v>쉐이킹</v>
      </c>
      <c r="D47" s="8">
        <f>IFERROR(__xludf.DUMMYFUNCTION("""COMPUTED_VALUE"""),0.0)</f>
        <v>0</v>
      </c>
      <c r="E47" s="5" t="str">
        <f>IFERROR(__xludf.DUMMYFUNCTION("""COMPUTED_VALUE"""),"체리 브랜디 30ml, 크렘 드 카카오 화이트 15ml, 휘핑 크림 or 크림 60ml, 가니쉬 체리")</f>
        <v>체리 브랜디 30ml, 크렘 드 카카오 화이트 15ml, 휘핑 크림 or 크림 60ml, 가니쉬 체리</v>
      </c>
      <c r="F47" s="5"/>
    </row>
    <row r="48">
      <c r="A48" s="5" t="str">
        <f>IFERROR(__xludf.DUMMYFUNCTION("""COMPUTED_VALUE"""),"더티 마더")</f>
        <v>더티 마더</v>
      </c>
      <c r="B48" s="5" t="str">
        <f>IFERROR(__xludf.DUMMYFUNCTION("""COMPUTED_VALUE"""),"브랜디")</f>
        <v>브랜디</v>
      </c>
      <c r="C48" s="5" t="str">
        <f>IFERROR(__xludf.DUMMYFUNCTION("""COMPUTED_VALUE"""),"빌드")</f>
        <v>빌드</v>
      </c>
      <c r="D48" s="8">
        <f>IFERROR(__xludf.DUMMYFUNCTION("""COMPUTED_VALUE"""),0.0)</f>
        <v>0</v>
      </c>
      <c r="E48" s="5" t="str">
        <f>IFERROR(__xludf.DUMMYFUNCTION("""COMPUTED_VALUE"""),"브랜디 40ml, 깔루아 20ml")</f>
        <v>브랜디 40ml, 깔루아 20ml</v>
      </c>
      <c r="F48" s="5"/>
    </row>
    <row r="49">
      <c r="A49" s="5" t="str">
        <f>IFERROR(__xludf.DUMMYFUNCTION("""COMPUTED_VALUE"""),"데낄라 썬라이즈")</f>
        <v>데낄라 썬라이즈</v>
      </c>
      <c r="B49" s="5" t="str">
        <f>IFERROR(__xludf.DUMMYFUNCTION("""COMPUTED_VALUE"""),"데낄라")</f>
        <v>데낄라</v>
      </c>
      <c r="C49" s="5" t="str">
        <f>IFERROR(__xludf.DUMMYFUNCTION("""COMPUTED_VALUE"""),"빌드")</f>
        <v>빌드</v>
      </c>
      <c r="D49" s="8">
        <f>IFERROR(__xludf.DUMMYFUNCTION("""COMPUTED_VALUE"""),8.0)</f>
        <v>8</v>
      </c>
      <c r="E49" s="5" t="str">
        <f>IFERROR(__xludf.DUMMYFUNCTION("""COMPUTED_VALUE"""),"데낄라 45ml, 오렌지 주스 80%, 그레나딘 시럽 15ml")</f>
        <v>데낄라 45ml, 오렌지 주스 80%, 그레나딘 시럽 15ml</v>
      </c>
      <c r="F49" s="5" t="str">
        <f>IFERROR(__xludf.DUMMYFUNCTION("""COMPUTED_VALUE"""),"스테디셀러")</f>
        <v>스테디셀러</v>
      </c>
    </row>
    <row r="50">
      <c r="A50" s="5" t="str">
        <f>IFERROR(__xludf.DUMMYFUNCTION("""COMPUTED_VALUE"""),"데드 바스타드")</f>
        <v>데드 바스타드</v>
      </c>
      <c r="B50" s="5" t="str">
        <f>IFERROR(__xludf.DUMMYFUNCTION("""COMPUTED_VALUE"""),"혼합")</f>
        <v>혼합</v>
      </c>
      <c r="C50" s="5" t="str">
        <f>IFERROR(__xludf.DUMMYFUNCTION("""COMPUTED_VALUE"""),"쉐이킹")</f>
        <v>쉐이킹</v>
      </c>
      <c r="D50" s="8">
        <f>IFERROR(__xludf.DUMMYFUNCTION("""COMPUTED_VALUE"""),0.0)</f>
        <v>0</v>
      </c>
      <c r="E50" s="5" t="str">
        <f>IFERROR(__xludf.DUMMYFUNCTION("""COMPUTED_VALUE"""),"브랜디 or 꼬냑 15ml, 진 15ml, 버번 15ml, 화이트 럼 15ml, 라임즙 15ml, 비터 2대쉬, 쉐이킹 후 진저비어 필업")</f>
        <v>브랜디 or 꼬냑 15ml, 진 15ml, 버번 15ml, 화이트 럼 15ml, 라임즙 15ml, 비터 2대쉬, 쉐이킹 후 진저비어 필업</v>
      </c>
      <c r="F50" s="5"/>
    </row>
    <row r="51">
      <c r="A51" s="5" t="str">
        <f>IFERROR(__xludf.DUMMYFUNCTION("""COMPUTED_VALUE"""),"데저트 힐러")</f>
        <v>데저트 힐러</v>
      </c>
      <c r="B51" s="5" t="str">
        <f>IFERROR(__xludf.DUMMYFUNCTION("""COMPUTED_VALUE"""),"진")</f>
        <v>진</v>
      </c>
      <c r="C51" s="5" t="str">
        <f>IFERROR(__xludf.DUMMYFUNCTION("""COMPUTED_VALUE"""),"쉐이킹")</f>
        <v>쉐이킹</v>
      </c>
      <c r="D51" s="8">
        <f>IFERROR(__xludf.DUMMYFUNCTION("""COMPUTED_VALUE"""),0.0)</f>
        <v>0</v>
      </c>
      <c r="E51" s="5" t="str">
        <f>IFERROR(__xludf.DUMMYFUNCTION("""COMPUTED_VALUE"""),"진 45ml, 체리 브랜디 15ml, 오렌지 주스 60ml, 쉐이킹 후 진저비어 60ml")</f>
        <v>진 45ml, 체리 브랜디 15ml, 오렌지 주스 60ml, 쉐이킹 후 진저비어 60ml</v>
      </c>
      <c r="F51" s="5"/>
    </row>
    <row r="52">
      <c r="A52" s="5" t="str">
        <f>IFERROR(__xludf.DUMMYFUNCTION("""COMPUTED_VALUE"""),"데티니")</f>
        <v>데티니</v>
      </c>
      <c r="B52" s="5" t="str">
        <f>IFERROR(__xludf.DUMMYFUNCTION("""COMPUTED_VALUE"""),"데낄라")</f>
        <v>데낄라</v>
      </c>
      <c r="C52" s="5" t="str">
        <f>IFERROR(__xludf.DUMMYFUNCTION("""COMPUTED_VALUE"""),"스터")</f>
        <v>스터</v>
      </c>
      <c r="D52" s="8">
        <f>IFERROR(__xludf.DUMMYFUNCTION("""COMPUTED_VALUE"""),0.0)</f>
        <v>0</v>
      </c>
      <c r="E52" s="5" t="str">
        <f>IFERROR(__xludf.DUMMYFUNCTION("""COMPUTED_VALUE"""),"데낄라 75ml, 드라이 베르뭇 15ml, 비터 1대쉬")</f>
        <v>데낄라 75ml, 드라이 베르뭇 15ml, 비터 1대쉬</v>
      </c>
      <c r="F52" s="5"/>
    </row>
    <row r="53">
      <c r="A53" s="5" t="str">
        <f>IFERROR(__xludf.DUMMYFUNCTION("""COMPUTED_VALUE"""),"도랄토")</f>
        <v>도랄토</v>
      </c>
      <c r="B53" s="5" t="str">
        <f>IFERROR(__xludf.DUMMYFUNCTION("""COMPUTED_VALUE"""),"데낄라")</f>
        <v>데낄라</v>
      </c>
      <c r="C53" s="5" t="str">
        <f>IFERROR(__xludf.DUMMYFUNCTION("""COMPUTED_VALUE"""),"쉐이킹")</f>
        <v>쉐이킹</v>
      </c>
      <c r="D53" s="8">
        <f>IFERROR(__xludf.DUMMYFUNCTION("""COMPUTED_VALUE"""),0.0)</f>
        <v>0</v>
      </c>
      <c r="E53" s="5" t="str">
        <f>IFERROR(__xludf.DUMMYFUNCTION("""COMPUTED_VALUE"""),"데낄라 45ml, 레몬즙 15ml, 설탕 1/2티스푼, 비터 1대쉬, 토닉워터 120ml(쉐이킹 후)")</f>
        <v>데낄라 45ml, 레몬즙 15ml, 설탕 1/2티스푼, 비터 1대쉬, 토닉워터 120ml(쉐이킹 후)</v>
      </c>
      <c r="F53" s="5"/>
    </row>
    <row r="54">
      <c r="A54" s="5" t="str">
        <f>IFERROR(__xludf.DUMMYFUNCTION("""COMPUTED_VALUE"""),"도쿄 아이스티")</f>
        <v>도쿄 아이스티</v>
      </c>
      <c r="B54" s="5" t="str">
        <f>IFERROR(__xludf.DUMMYFUNCTION("""COMPUTED_VALUE"""),"혼합")</f>
        <v>혼합</v>
      </c>
      <c r="C54" s="5" t="str">
        <f>IFERROR(__xludf.DUMMYFUNCTION("""COMPUTED_VALUE"""),"빌드")</f>
        <v>빌드</v>
      </c>
      <c r="D54" s="8">
        <f>IFERROR(__xludf.DUMMYFUNCTION("""COMPUTED_VALUE"""),7.0)</f>
        <v>7</v>
      </c>
      <c r="E54" s="5" t="str">
        <f>IFERROR(__xludf.DUMMYFUNCTION("""COMPUTED_VALUE"""),"보드카 15ml, 럼 15ml, 진 15ml, 데낄라 15ml, 트리플섹 15ml, 사워믹스 60ml, 멜론 리큐르 30ml, 사이다 필업")</f>
        <v>보드카 15ml, 럼 15ml, 진 15ml, 데낄라 15ml, 트리플섹 15ml, 사워믹스 60ml, 멜론 리큐르 30ml, 사이다 필업</v>
      </c>
      <c r="F54" s="5" t="str">
        <f>IFERROR(__xludf.DUMMYFUNCTION("""COMPUTED_VALUE"""),"달콤함")</f>
        <v>달콤함</v>
      </c>
    </row>
    <row r="55">
      <c r="A55" s="5" t="str">
        <f>IFERROR(__xludf.DUMMYFUNCTION("""COMPUTED_VALUE"""),"도화")</f>
        <v>도화</v>
      </c>
      <c r="B55" s="5" t="str">
        <f>IFERROR(__xludf.DUMMYFUNCTION("""COMPUTED_VALUE"""),"피치트리")</f>
        <v>피치트리</v>
      </c>
      <c r="C55" s="5" t="str">
        <f>IFERROR(__xludf.DUMMYFUNCTION("""COMPUTED_VALUE"""),"쉐이킹")</f>
        <v>쉐이킹</v>
      </c>
      <c r="D55" s="8">
        <f>IFERROR(__xludf.DUMMYFUNCTION("""COMPUTED_VALUE"""),0.0)</f>
        <v>0</v>
      </c>
      <c r="E55" s="5" t="str">
        <f>IFERROR(__xludf.DUMMYFUNCTION("""COMPUTED_VALUE"""),"피치트리 30ml, 트리플섹 20ml, 사워믹스 20ml 라임즙 10ml, 사과주스 45ml, 그레나딘 시럽 2티스푼, 사이다 풀업(쉐이킹 후)")</f>
        <v>피치트리 30ml, 트리플섹 20ml, 사워믹스 20ml 라임즙 10ml, 사과주스 45ml, 그레나딘 시럽 2티스푼, 사이다 풀업(쉐이킹 후)</v>
      </c>
      <c r="F55" s="5"/>
    </row>
    <row r="56">
      <c r="A56" s="5" t="str">
        <f>IFERROR(__xludf.DUMMYFUNCTION("""COMPUTED_VALUE"""),"동해")</f>
        <v>동해</v>
      </c>
      <c r="B56" s="5" t="str">
        <f>IFERROR(__xludf.DUMMYFUNCTION("""COMPUTED_VALUE"""),"리큐르")</f>
        <v>리큐르</v>
      </c>
      <c r="C56" s="5" t="str">
        <f>IFERROR(__xludf.DUMMYFUNCTION("""COMPUTED_VALUE"""),"스터")</f>
        <v>스터</v>
      </c>
      <c r="D56" s="8">
        <f>IFERROR(__xludf.DUMMYFUNCTION("""COMPUTED_VALUE"""),7.0)</f>
        <v>7</v>
      </c>
      <c r="E56" s="5" t="str">
        <f>IFERROR(__xludf.DUMMYFUNCTION("""COMPUTED_VALUE"""),"피치트리 30ml, 블루 큐라소 15ml, 사워믹스 45ml, 사과 주스 45ml")</f>
        <v>피치트리 30ml, 블루 큐라소 15ml, 사워믹스 45ml, 사과 주스 45ml</v>
      </c>
      <c r="F56" s="5" t="str">
        <f>IFERROR(__xludf.DUMMYFUNCTION("""COMPUTED_VALUE"""),"가볍고 예쁘고 달콤")</f>
        <v>가볍고 예쁘고 달콤</v>
      </c>
    </row>
    <row r="57">
      <c r="A57" s="5" t="str">
        <f>IFERROR(__xludf.DUMMYFUNCTION("""COMPUTED_VALUE"""),"동해2")</f>
        <v>동해2</v>
      </c>
      <c r="B57" s="5" t="str">
        <f>IFERROR(__xludf.DUMMYFUNCTION("""COMPUTED_VALUE"""),"리큐르")</f>
        <v>리큐르</v>
      </c>
      <c r="C57" s="5" t="str">
        <f>IFERROR(__xludf.DUMMYFUNCTION("""COMPUTED_VALUE"""),"쉐이킹")</f>
        <v>쉐이킹</v>
      </c>
      <c r="D57" s="8">
        <f>IFERROR(__xludf.DUMMYFUNCTION("""COMPUTED_VALUE"""),0.0)</f>
        <v>0</v>
      </c>
      <c r="E57" s="5" t="str">
        <f>IFERROR(__xludf.DUMMYFUNCTION("""COMPUTED_VALUE"""),"피치트리 30ml, 블루 큐라소 15ml, 사과 주스 60ml, 라임즙 15ml, 심플시럼 15ml, 사워믹스 60ml")</f>
        <v>피치트리 30ml, 블루 큐라소 15ml, 사과 주스 60ml, 라임즙 15ml, 심플시럼 15ml, 사워믹스 60ml</v>
      </c>
      <c r="F57" s="5"/>
    </row>
    <row r="58">
      <c r="A58" s="5" t="str">
        <f>IFERROR(__xludf.DUMMYFUNCTION("""COMPUTED_VALUE"""),"라 아구아")</f>
        <v>라 아구아</v>
      </c>
      <c r="B58" s="5" t="str">
        <f>IFERROR(__xludf.DUMMYFUNCTION("""COMPUTED_VALUE"""),"혼합")</f>
        <v>혼합</v>
      </c>
      <c r="C58" s="5" t="str">
        <f>IFERROR(__xludf.DUMMYFUNCTION("""COMPUTED_VALUE"""),"빌드")</f>
        <v>빌드</v>
      </c>
      <c r="D58" s="8">
        <f>IFERROR(__xludf.DUMMYFUNCTION("""COMPUTED_VALUE"""),0.0)</f>
        <v>0</v>
      </c>
      <c r="E58" s="5" t="str">
        <f>IFERROR(__xludf.DUMMYFUNCTION("""COMPUTED_VALUE"""),"말리부 15ml, 블루 큐라소 15ml, 베일리스 15ml")</f>
        <v>말리부 15ml, 블루 큐라소 15ml, 베일리스 15ml</v>
      </c>
      <c r="F58" s="5"/>
    </row>
    <row r="59">
      <c r="A59" s="5" t="str">
        <f>IFERROR(__xludf.DUMMYFUNCTION("""COMPUTED_VALUE"""),"라이 클럽")</f>
        <v>라이 클럽</v>
      </c>
      <c r="B59" s="5" t="str">
        <f>IFERROR(__xludf.DUMMYFUNCTION("""COMPUTED_VALUE"""),"위스키")</f>
        <v>위스키</v>
      </c>
      <c r="C59" s="5" t="str">
        <f>IFERROR(__xludf.DUMMYFUNCTION("""COMPUTED_VALUE"""),"쉐이킹")</f>
        <v>쉐이킹</v>
      </c>
      <c r="D59" s="8">
        <f>IFERROR(__xludf.DUMMYFUNCTION("""COMPUTED_VALUE"""),0.0)</f>
        <v>0</v>
      </c>
      <c r="E59" s="5" t="str">
        <f>IFERROR(__xludf.DUMMYFUNCTION("""COMPUTED_VALUE"""),"라이 위스키 45ml, 오렌지 큐라소 30ml, 오렌지 비터 1대쉬")</f>
        <v>라이 위스키 45ml, 오렌지 큐라소 30ml, 오렌지 비터 1대쉬</v>
      </c>
      <c r="F59" s="5"/>
    </row>
    <row r="60">
      <c r="A60" s="5" t="str">
        <f>IFERROR(__xludf.DUMMYFUNCTION("""COMPUTED_VALUE"""),"러브 엘릭서")</f>
        <v>러브 엘릭서</v>
      </c>
      <c r="B60" s="5" t="str">
        <f>IFERROR(__xludf.DUMMYFUNCTION("""COMPUTED_VALUE"""),"X레이티드")</f>
        <v>X레이티드</v>
      </c>
      <c r="C60" s="5" t="str">
        <f>IFERROR(__xludf.DUMMYFUNCTION("""COMPUTED_VALUE"""),"빌드 or 쉐이킹")</f>
        <v>빌드 or 쉐이킹</v>
      </c>
      <c r="D60" s="8">
        <f>IFERROR(__xludf.DUMMYFUNCTION("""COMPUTED_VALUE"""),10.0)</f>
        <v>10</v>
      </c>
      <c r="E60" s="5" t="str">
        <f>IFERROR(__xludf.DUMMYFUNCTION("""COMPUTED_VALUE"""),"X레이티드 30ml, 보드카 15ml, 오렌지 주스 30ml, 파인애플 주스 30ml, 그레나딘 시럽 15ml")</f>
        <v>X레이티드 30ml, 보드카 15ml, 오렌지 주스 30ml, 파인애플 주스 30ml, 그레나딘 시럽 15ml</v>
      </c>
      <c r="F60" s="5" t="str">
        <f>IFERROR(__xludf.DUMMYFUNCTION("""COMPUTED_VALUE"""),"궁극기")</f>
        <v>궁극기</v>
      </c>
    </row>
    <row r="61">
      <c r="A61" s="5" t="str">
        <f>IFERROR(__xludf.DUMMYFUNCTION("""COMPUTED_VALUE"""),"러스티 네일")</f>
        <v>러스티 네일</v>
      </c>
      <c r="B61" s="5" t="str">
        <f>IFERROR(__xludf.DUMMYFUNCTION("""COMPUTED_VALUE"""),"위스키")</f>
        <v>위스키</v>
      </c>
      <c r="C61" s="5" t="str">
        <f>IFERROR(__xludf.DUMMYFUNCTION("""COMPUTED_VALUE"""),"빌드")</f>
        <v>빌드</v>
      </c>
      <c r="D61" s="8">
        <f>IFERROR(__xludf.DUMMYFUNCTION("""COMPUTED_VALUE"""),6.0)</f>
        <v>6</v>
      </c>
      <c r="E61" s="5" t="str">
        <f>IFERROR(__xludf.DUMMYFUNCTION("""COMPUTED_VALUE"""),"스카치 위스키 30ml, 드람부이 15ml")</f>
        <v>스카치 위스키 30ml, 드람부이 15ml</v>
      </c>
      <c r="F61" s="5" t="str">
        <f>IFERROR(__xludf.DUMMYFUNCTION("""COMPUTED_VALUE"""),"위스키 베이스")</f>
        <v>위스키 베이스</v>
      </c>
    </row>
    <row r="62">
      <c r="A62" s="5" t="str">
        <f>IFERROR(__xludf.DUMMYFUNCTION("""COMPUTED_VALUE"""),"런던 아이스티")</f>
        <v>런던 아이스티</v>
      </c>
      <c r="B62" s="5" t="str">
        <f>IFERROR(__xludf.DUMMYFUNCTION("""COMPUTED_VALUE"""),"혼합")</f>
        <v>혼합</v>
      </c>
      <c r="C62" s="5" t="str">
        <f>IFERROR(__xludf.DUMMYFUNCTION("""COMPUTED_VALUE"""),"쉐이킹")</f>
        <v>쉐이킹</v>
      </c>
      <c r="D62" s="8">
        <f>IFERROR(__xludf.DUMMYFUNCTION("""COMPUTED_VALUE"""),0.0)</f>
        <v>0</v>
      </c>
      <c r="E62" s="5" t="str">
        <f>IFERROR(__xludf.DUMMYFUNCTION("""COMPUTED_VALUE"""),"화이트 럼 22.5ml, 드라이 진 22.5ml, 디사론노 15ml, 설탕 시럽 60ml, 레몬즙 22.5ml, 쉐이킹 후 콜라 90ml")</f>
        <v>화이트 럼 22.5ml, 드라이 진 22.5ml, 디사론노 15ml, 설탕 시럽 60ml, 레몬즙 22.5ml, 쉐이킹 후 콜라 90ml</v>
      </c>
      <c r="F62" s="5"/>
    </row>
    <row r="63">
      <c r="A63" s="5" t="str">
        <f>IFERROR(__xludf.DUMMYFUNCTION("""COMPUTED_VALUE"""),"럼 콕")</f>
        <v>럼 콕</v>
      </c>
      <c r="B63" s="5" t="str">
        <f>IFERROR(__xludf.DUMMYFUNCTION("""COMPUTED_VALUE"""),"럼")</f>
        <v>럼</v>
      </c>
      <c r="C63" s="5" t="str">
        <f>IFERROR(__xludf.DUMMYFUNCTION("""COMPUTED_VALUE"""),"빌드")</f>
        <v>빌드</v>
      </c>
      <c r="D63" s="8">
        <f>IFERROR(__xludf.DUMMYFUNCTION("""COMPUTED_VALUE"""),6.0)</f>
        <v>6</v>
      </c>
      <c r="E63" s="5" t="str">
        <f>IFERROR(__xludf.DUMMYFUNCTION("""COMPUTED_VALUE"""),"화이트 럼 45ml, 코카콜라 풀업")</f>
        <v>화이트 럼 45ml, 코카콜라 풀업</v>
      </c>
      <c r="F63" s="5" t="str">
        <f>IFERROR(__xludf.DUMMYFUNCTION("""COMPUTED_VALUE"""),"심플")</f>
        <v>심플</v>
      </c>
    </row>
    <row r="64">
      <c r="A64" s="5" t="str">
        <f>IFERROR(__xludf.DUMMYFUNCTION("""COMPUTED_VALUE"""),"럼 플립")</f>
        <v>럼 플립</v>
      </c>
      <c r="B64" s="5" t="str">
        <f>IFERROR(__xludf.DUMMYFUNCTION("""COMPUTED_VALUE"""),"럼")</f>
        <v>럼</v>
      </c>
      <c r="C64" s="5" t="str">
        <f>IFERROR(__xludf.DUMMYFUNCTION("""COMPUTED_VALUE"""),"쉐이킹")</f>
        <v>쉐이킹</v>
      </c>
      <c r="D64" s="8">
        <f>IFERROR(__xludf.DUMMYFUNCTION("""COMPUTED_VALUE"""),0.0)</f>
        <v>0</v>
      </c>
      <c r="E64" s="5" t="str">
        <f>IFERROR(__xludf.DUMMYFUNCTION("""COMPUTED_VALUE"""),"숙성 or 다크 럼 60ml, 계란 1개, 심플 시럽 7.5ml, 드라이 쉐이킹 후 쉐이킹, 가니쉬 육두구")</f>
        <v>숙성 or 다크 럼 60ml, 계란 1개, 심플 시럽 7.5ml, 드라이 쉐이킹 후 쉐이킹, 가니쉬 육두구</v>
      </c>
      <c r="F64" s="5"/>
    </row>
    <row r="65">
      <c r="A65" s="5" t="str">
        <f>IFERROR(__xludf.DUMMYFUNCTION("""COMPUTED_VALUE"""),"레드 아이")</f>
        <v>레드 아이</v>
      </c>
      <c r="B65" s="5" t="str">
        <f>IFERROR(__xludf.DUMMYFUNCTION("""COMPUTED_VALUE"""),"맥주")</f>
        <v>맥주</v>
      </c>
      <c r="C65" s="5" t="str">
        <f>IFERROR(__xludf.DUMMYFUNCTION("""COMPUTED_VALUE"""),"빌드")</f>
        <v>빌드</v>
      </c>
      <c r="D65" s="8">
        <f>IFERROR(__xludf.DUMMYFUNCTION("""COMPUTED_VALUE"""),0.0)</f>
        <v>0</v>
      </c>
      <c r="E65" s="5" t="str">
        <f>IFERROR(__xludf.DUMMYFUNCTION("""COMPUTED_VALUE"""),"맥주 90ml, 토마토 주스 90ml")</f>
        <v>맥주 90ml, 토마토 주스 90ml</v>
      </c>
      <c r="F65" s="5"/>
    </row>
    <row r="66">
      <c r="A66" s="5" t="str">
        <f>IFERROR(__xludf.DUMMYFUNCTION("""COMPUTED_VALUE"""),"레드 애플")</f>
        <v>레드 애플</v>
      </c>
      <c r="B66" s="5" t="str">
        <f>IFERROR(__xludf.DUMMYFUNCTION("""COMPUTED_VALUE"""),"보드카")</f>
        <v>보드카</v>
      </c>
      <c r="C66" s="5" t="str">
        <f>IFERROR(__xludf.DUMMYFUNCTION("""COMPUTED_VALUE"""),"쉐이킹")</f>
        <v>쉐이킹</v>
      </c>
      <c r="D66" s="8">
        <f>IFERROR(__xludf.DUMMYFUNCTION("""COMPUTED_VALUE"""),0.0)</f>
        <v>0</v>
      </c>
      <c r="E66" s="5" t="str">
        <f>IFERROR(__xludf.DUMMYFUNCTION("""COMPUTED_VALUE"""),"보드카 30ml, 사과 주스 30ml, 그레나딘 시럽 1티스푼")</f>
        <v>보드카 30ml, 사과 주스 30ml, 그레나딘 시럽 1티스푼</v>
      </c>
      <c r="F66" s="5"/>
    </row>
    <row r="67">
      <c r="A67" s="5" t="str">
        <f>IFERROR(__xludf.DUMMYFUNCTION("""COMPUTED_VALUE"""),"레몬 드랍")</f>
        <v>레몬 드랍</v>
      </c>
      <c r="B67" s="5" t="str">
        <f>IFERROR(__xludf.DUMMYFUNCTION("""COMPUTED_VALUE"""),"보드카")</f>
        <v>보드카</v>
      </c>
      <c r="C67" s="5" t="str">
        <f>IFERROR(__xludf.DUMMYFUNCTION("""COMPUTED_VALUE"""),"쉐이킹")</f>
        <v>쉐이킹</v>
      </c>
      <c r="D67" s="8">
        <f>IFERROR(__xludf.DUMMYFUNCTION("""COMPUTED_VALUE"""),0.0)</f>
        <v>0</v>
      </c>
      <c r="E67" s="5" t="str">
        <f>IFERROR(__xludf.DUMMYFUNCTION("""COMPUTED_VALUE"""),"보드카 30ml, 레몬즙 30ml, 트리플 섹 or 심플시럽 15ml, 레몬 슬라이스 1조각")</f>
        <v>보드카 30ml, 레몬즙 30ml, 트리플 섹 or 심플시럽 15ml, 레몬 슬라이스 1조각</v>
      </c>
      <c r="F67" s="5"/>
    </row>
    <row r="68">
      <c r="A68" s="5" t="str">
        <f>IFERROR(__xludf.DUMMYFUNCTION("""COMPUTED_VALUE"""),"레이디 백")</f>
        <v>레이디 백</v>
      </c>
      <c r="B68" s="5" t="str">
        <f>IFERROR(__xludf.DUMMYFUNCTION("""COMPUTED_VALUE"""),"혼합")</f>
        <v>혼합</v>
      </c>
      <c r="C68" s="5" t="str">
        <f>IFERROR(__xludf.DUMMYFUNCTION("""COMPUTED_VALUE"""),"쉐이킹")</f>
        <v>쉐이킹</v>
      </c>
      <c r="D68" s="8">
        <f>IFERROR(__xludf.DUMMYFUNCTION("""COMPUTED_VALUE"""),0.0)</f>
        <v>0</v>
      </c>
      <c r="E68" s="5" t="str">
        <f>IFERROR(__xludf.DUMMYFUNCTION("""COMPUTED_VALUE"""),"진 30ml, 애플 보드카 30ml, 파인애플 주스 60ml, 쉐이킹 후 탄산수 30ml")</f>
        <v>진 30ml, 애플 보드카 30ml, 파인애플 주스 60ml, 쉐이킹 후 탄산수 30ml</v>
      </c>
      <c r="F68" s="5"/>
    </row>
    <row r="69">
      <c r="A69" s="5" t="str">
        <f>IFERROR(__xludf.DUMMYFUNCTION("""COMPUTED_VALUE"""),"레이먼드 매쉬")</f>
        <v>레이먼드 매쉬</v>
      </c>
      <c r="B69" s="5" t="str">
        <f>IFERROR(__xludf.DUMMYFUNCTION("""COMPUTED_VALUE"""),"위스키")</f>
        <v>위스키</v>
      </c>
      <c r="C69" s="5" t="str">
        <f>IFERROR(__xludf.DUMMYFUNCTION("""COMPUTED_VALUE"""),"쉐이킹")</f>
        <v>쉐이킹</v>
      </c>
      <c r="D69" s="8">
        <f>IFERROR(__xludf.DUMMYFUNCTION("""COMPUTED_VALUE"""),0.0)</f>
        <v>0</v>
      </c>
      <c r="E69" s="5" t="str">
        <f>IFERROR(__xludf.DUMMYFUNCTION("""COMPUTED_VALUE"""),"라이 or 버번 or 블렌디드 위스키 60ml, 생강 시럽 15ml, 쉐이킹 후 스파클링 와인 150ml")</f>
        <v>라이 or 버번 or 블렌디드 위스키 60ml, 생강 시럽 15ml, 쉐이킹 후 스파클링 와인 150ml</v>
      </c>
      <c r="F69" s="5"/>
    </row>
    <row r="70">
      <c r="A70" s="5" t="str">
        <f>IFERROR(__xludf.DUMMYFUNCTION("""COMPUTED_VALUE"""),"로시타")</f>
        <v>로시타</v>
      </c>
      <c r="B70" s="5" t="str">
        <f>IFERROR(__xludf.DUMMYFUNCTION("""COMPUTED_VALUE"""),"데낄라")</f>
        <v>데낄라</v>
      </c>
      <c r="C70" s="5" t="str">
        <f>IFERROR(__xludf.DUMMYFUNCTION("""COMPUTED_VALUE"""),"빌드")</f>
        <v>빌드</v>
      </c>
      <c r="D70" s="8">
        <f>IFERROR(__xludf.DUMMYFUNCTION("""COMPUTED_VALUE"""),0.0)</f>
        <v>0</v>
      </c>
      <c r="E70" s="5" t="str">
        <f>IFERROR(__xludf.DUMMYFUNCTION("""COMPUTED_VALUE"""),"데낄라 45ml, 캄파리 15ml, 드라이 베르뭇 15ml, 스윗 베르뭇 15ml, 비터 1대쉬")</f>
        <v>데낄라 45ml, 캄파리 15ml, 드라이 베르뭇 15ml, 스윗 베르뭇 15ml, 비터 1대쉬</v>
      </c>
      <c r="F70" s="5"/>
    </row>
    <row r="71">
      <c r="A71" s="5" t="str">
        <f>IFERROR(__xludf.DUMMYFUNCTION("""COMPUTED_VALUE"""),"로얄 하와이안")</f>
        <v>로얄 하와이안</v>
      </c>
      <c r="B71" s="5" t="str">
        <f>IFERROR(__xludf.DUMMYFUNCTION("""COMPUTED_VALUE"""),"진")</f>
        <v>진</v>
      </c>
      <c r="C71" s="5" t="str">
        <f>IFERROR(__xludf.DUMMYFUNCTION("""COMPUTED_VALUE"""),"쉐이킹")</f>
        <v>쉐이킹</v>
      </c>
      <c r="D71" s="8">
        <f>IFERROR(__xludf.DUMMYFUNCTION("""COMPUTED_VALUE"""),0.0)</f>
        <v>0</v>
      </c>
      <c r="E71" s="5" t="str">
        <f>IFERROR(__xludf.DUMMYFUNCTION("""COMPUTED_VALUE"""),"진 45ml, 파인애플 주스 30ml, 레몬즙 15ml, 오르쟈 시럽 15ml")</f>
        <v>진 45ml, 파인애플 주스 30ml, 레몬즙 15ml, 오르쟈 시럽 15ml</v>
      </c>
      <c r="F71" s="5"/>
    </row>
    <row r="72">
      <c r="A72" s="5" t="str">
        <f>IFERROR(__xludf.DUMMYFUNCTION("""COMPUTED_VALUE"""),"로켓 퓨얼")</f>
        <v>로켓 퓨얼</v>
      </c>
      <c r="B72" s="5" t="str">
        <f>IFERROR(__xludf.DUMMYFUNCTION("""COMPUTED_VALUE"""),"혼합")</f>
        <v>혼합</v>
      </c>
      <c r="C72" s="5" t="str">
        <f>IFERROR(__xludf.DUMMYFUNCTION("""COMPUTED_VALUE"""),"빌드")</f>
        <v>빌드</v>
      </c>
      <c r="D72" s="8">
        <f>IFERROR(__xludf.DUMMYFUNCTION("""COMPUTED_VALUE"""),0.0)</f>
        <v>0</v>
      </c>
      <c r="E72" s="5" t="str">
        <f>IFERROR(__xludf.DUMMYFUNCTION("""COMPUTED_VALUE"""),"보드카 20ml, 151 20ml, 진 20ml, 트리플섹 20ml, 오렌지 주스 20ml, 스터 후 다크럼 20ml(쌓아준다는 느낌)")</f>
        <v>보드카 20ml, 151 20ml, 진 20ml, 트리플섹 20ml, 오렌지 주스 20ml, 스터 후 다크럼 20ml(쌓아준다는 느낌)</v>
      </c>
      <c r="F72" s="5"/>
    </row>
    <row r="73">
      <c r="A73" s="5" t="str">
        <f>IFERROR(__xludf.DUMMYFUNCTION("""COMPUTED_VALUE"""),"롭 로이")</f>
        <v>롭 로이</v>
      </c>
      <c r="B73" s="5" t="str">
        <f>IFERROR(__xludf.DUMMYFUNCTION("""COMPUTED_VALUE"""),"위스키")</f>
        <v>위스키</v>
      </c>
      <c r="C73" s="5" t="str">
        <f>IFERROR(__xludf.DUMMYFUNCTION("""COMPUTED_VALUE"""),"스터")</f>
        <v>스터</v>
      </c>
      <c r="D73" s="8">
        <f>IFERROR(__xludf.DUMMYFUNCTION("""COMPUTED_VALUE"""),0.0)</f>
        <v>0</v>
      </c>
      <c r="E73" s="5" t="str">
        <f>IFERROR(__xludf.DUMMYFUNCTION("""COMPUTED_VALUE"""),"스카치 위스키 45ml, 스윗 베르뭇 23ml, 비터 1대쉬, 체리 1조각")</f>
        <v>스카치 위스키 45ml, 스윗 베르뭇 23ml, 비터 1대쉬, 체리 1조각</v>
      </c>
      <c r="F73" s="5"/>
    </row>
    <row r="74">
      <c r="A74" s="5" t="str">
        <f>IFERROR(__xludf.DUMMYFUNCTION("""COMPUTED_VALUE"""),"롱 비치 아이스티")</f>
        <v>롱 비치 아이스티</v>
      </c>
      <c r="B74" s="5" t="str">
        <f>IFERROR(__xludf.DUMMYFUNCTION("""COMPUTED_VALUE"""),"혼합")</f>
        <v>혼합</v>
      </c>
      <c r="C74" s="5" t="str">
        <f>IFERROR(__xludf.DUMMYFUNCTION("""COMPUTED_VALUE"""),"쉐이킹")</f>
        <v>쉐이킹</v>
      </c>
      <c r="D74" s="8">
        <f>IFERROR(__xludf.DUMMYFUNCTION("""COMPUTED_VALUE"""),7.0)</f>
        <v>7</v>
      </c>
      <c r="E74" s="5" t="str">
        <f>IFERROR(__xludf.DUMMYFUNCTION("""COMPUTED_VALUE"""),"럼 15ml, 진 15ml, 보드카 15ml, 데낄라 15ml, 트리플섹 15ml, 라임즙 15ml, 사워믹스 60ml 크렌베리 주스 필업(쉐이킹 후)")</f>
        <v>럼 15ml, 진 15ml, 보드카 15ml, 데낄라 15ml, 트리플섹 15ml, 라임즙 15ml, 사워믹스 60ml 크렌베리 주스 필업(쉐이킹 후)</v>
      </c>
      <c r="F74" s="5" t="str">
        <f>IFERROR(__xludf.DUMMYFUNCTION("""COMPUTED_VALUE"""),"붉은 롱티")</f>
        <v>붉은 롱티</v>
      </c>
    </row>
    <row r="75">
      <c r="A75" s="5" t="str">
        <f>IFERROR(__xludf.DUMMYFUNCTION("""COMPUTED_VALUE"""),"롱 아일랜드 아이스티")</f>
        <v>롱 아일랜드 아이스티</v>
      </c>
      <c r="B75" s="5" t="str">
        <f>IFERROR(__xludf.DUMMYFUNCTION("""COMPUTED_VALUE"""),"혼합")</f>
        <v>혼합</v>
      </c>
      <c r="C75" s="5" t="str">
        <f>IFERROR(__xludf.DUMMYFUNCTION("""COMPUTED_VALUE"""),"빌드")</f>
        <v>빌드</v>
      </c>
      <c r="D75" s="8">
        <f>IFERROR(__xludf.DUMMYFUNCTION("""COMPUTED_VALUE"""),7.0)</f>
        <v>7</v>
      </c>
      <c r="E75" s="5" t="str">
        <f>IFERROR(__xludf.DUMMYFUNCTION("""COMPUTED_VALUE"""),"보드카 30ml, 진 30ml, 럼 30ml, 데낄라 30ml, 트리플섹 30ml, 사워믹스 60ml, 코카콜라 풀업, 오렌지 웨지")</f>
        <v>보드카 30ml, 진 30ml, 럼 30ml, 데낄라 30ml, 트리플섹 30ml, 사워믹스 60ml, 코카콜라 풀업, 오렌지 웨지</v>
      </c>
      <c r="F75" s="5"/>
    </row>
    <row r="76">
      <c r="A76" s="5" t="str">
        <f>IFERROR(__xludf.DUMMYFUNCTION("""COMPUTED_VALUE"""),"롱 아일랜드 아이스티2")</f>
        <v>롱 아일랜드 아이스티2</v>
      </c>
      <c r="B76" s="5" t="str">
        <f>IFERROR(__xludf.DUMMYFUNCTION("""COMPUTED_VALUE"""),"혼합")</f>
        <v>혼합</v>
      </c>
      <c r="C76" s="5" t="str">
        <f>IFERROR(__xludf.DUMMYFUNCTION("""COMPUTED_VALUE"""),"쉐이킹 or 빌드")</f>
        <v>쉐이킹 or 빌드</v>
      </c>
      <c r="D76" s="8">
        <f>IFERROR(__xludf.DUMMYFUNCTION("""COMPUTED_VALUE"""),0.0)</f>
        <v>0</v>
      </c>
      <c r="E76" s="5" t="str">
        <f>IFERROR(__xludf.DUMMYFUNCTION("""COMPUTED_VALUE"""),"럼 15ml, 진 15ml, 보드카 15ml, 데낄라 15ml, 트리플섹 15ml, 라임즙 15ml, 사워믹스 60ml, 콜라 적당히")</f>
        <v>럼 15ml, 진 15ml, 보드카 15ml, 데낄라 15ml, 트리플섹 15ml, 라임즙 15ml, 사워믹스 60ml, 콜라 적당히</v>
      </c>
      <c r="F76" s="5"/>
    </row>
    <row r="77">
      <c r="A77" s="5" t="str">
        <f>IFERROR(__xludf.DUMMYFUNCTION("""COMPUTED_VALUE"""),"루돌프 콜린스")</f>
        <v>루돌프 콜린스</v>
      </c>
      <c r="B77" s="5" t="str">
        <f>IFERROR(__xludf.DUMMYFUNCTION("""COMPUTED_VALUE"""),"진")</f>
        <v>진</v>
      </c>
      <c r="C77" s="5" t="str">
        <f>IFERROR(__xludf.DUMMYFUNCTION("""COMPUTED_VALUE"""),"쉐이킹")</f>
        <v>쉐이킹</v>
      </c>
      <c r="D77" s="8">
        <f>IFERROR(__xludf.DUMMYFUNCTION("""COMPUTED_VALUE"""),0.0)</f>
        <v>0</v>
      </c>
      <c r="E77" s="5" t="str">
        <f>IFERROR(__xludf.DUMMYFUNCTION("""COMPUTED_VALUE"""),"진 45ml, 슬로 진 22.5ml, 레몬즙 22.5ml, 계피시럽 15ml, 쉐이킹 후 탄산수 필업")</f>
        <v>진 45ml, 슬로 진 22.5ml, 레몬즙 22.5ml, 계피시럽 15ml, 쉐이킹 후 탄산수 필업</v>
      </c>
      <c r="F77" s="5"/>
    </row>
    <row r="78">
      <c r="A78" s="5" t="str">
        <f>IFERROR(__xludf.DUMMYFUNCTION("""COMPUTED_VALUE"""),"루시안-가우딘")</f>
        <v>루시안-가우딘</v>
      </c>
      <c r="B78" s="5" t="str">
        <f>IFERROR(__xludf.DUMMYFUNCTION("""COMPUTED_VALUE"""),"진")</f>
        <v>진</v>
      </c>
      <c r="C78" s="5" t="str">
        <f>IFERROR(__xludf.DUMMYFUNCTION("""COMPUTED_VALUE"""),"스터")</f>
        <v>스터</v>
      </c>
      <c r="D78" s="8">
        <f>IFERROR(__xludf.DUMMYFUNCTION("""COMPUTED_VALUE"""),0.0)</f>
        <v>0</v>
      </c>
      <c r="E78" s="5" t="str">
        <f>IFERROR(__xludf.DUMMYFUNCTION("""COMPUTED_VALUE"""),"진 30ml, 캄파리 15ml, 트리플 섹 15ml, 드라이 베르뭇 15ml, 레몬 트위스트")</f>
        <v>진 30ml, 캄파리 15ml, 트리플 섹 15ml, 드라이 베르뭇 15ml, 레몬 트위스트</v>
      </c>
      <c r="F78" s="5"/>
    </row>
    <row r="79">
      <c r="A79" s="5" t="str">
        <f>IFERROR(__xludf.DUMMYFUNCTION("""COMPUTED_VALUE"""),"리버스 맨해튼")</f>
        <v>리버스 맨해튼</v>
      </c>
      <c r="B79" s="5" t="str">
        <f>IFERROR(__xludf.DUMMYFUNCTION("""COMPUTED_VALUE"""),"위스키")</f>
        <v>위스키</v>
      </c>
      <c r="C79" s="5" t="str">
        <f>IFERROR(__xludf.DUMMYFUNCTION("""COMPUTED_VALUE"""),"스터")</f>
        <v>스터</v>
      </c>
      <c r="D79" s="8">
        <f>IFERROR(__xludf.DUMMYFUNCTION("""COMPUTED_VALUE"""),0.0)</f>
        <v>0</v>
      </c>
      <c r="E79" s="5" t="str">
        <f>IFERROR(__xludf.DUMMYFUNCTION("""COMPUTED_VALUE"""),"스윗 베르뭇 60ml, 라이 or 버번 or 블렌디드 위스키 30ml, 앙고스투라 비터 2대쉬, 가니쉬 레몬 트위스트, 체리")</f>
        <v>스윗 베르뭇 60ml, 라이 or 버번 or 블렌디드 위스키 30ml, 앙고스투라 비터 2대쉬, 가니쉬 레몬 트위스트, 체리</v>
      </c>
      <c r="F79" s="5"/>
    </row>
    <row r="80">
      <c r="A80" s="5" t="str">
        <f>IFERROR(__xludf.DUMMYFUNCTION("""COMPUTED_VALUE"""),"리볼버")</f>
        <v>리볼버</v>
      </c>
      <c r="B80" s="5" t="str">
        <f>IFERROR(__xludf.DUMMYFUNCTION("""COMPUTED_VALUE"""),"위스키")</f>
        <v>위스키</v>
      </c>
      <c r="C80" s="5" t="str">
        <f>IFERROR(__xludf.DUMMYFUNCTION("""COMPUTED_VALUE"""),"스터")</f>
        <v>스터</v>
      </c>
      <c r="D80" s="8">
        <f>IFERROR(__xludf.DUMMYFUNCTION("""COMPUTED_VALUE"""),0.0)</f>
        <v>0</v>
      </c>
      <c r="E80" s="5" t="str">
        <f>IFERROR(__xludf.DUMMYFUNCTION("""COMPUTED_VALUE"""),"버번 위스키 60ml, 커피 리큐르 15ml, 오렌지 비터 2대쉬, 오렌지 껍질 가니쉬")</f>
        <v>버번 위스키 60ml, 커피 리큐르 15ml, 오렌지 비터 2대쉬, 오렌지 껍질 가니쉬</v>
      </c>
      <c r="F80" s="5"/>
    </row>
    <row r="81">
      <c r="A81" s="5" t="str">
        <f>IFERROR(__xludf.DUMMYFUNCTION("""COMPUTED_VALUE"""),"리치 콜린스")</f>
        <v>리치 콜린스</v>
      </c>
      <c r="B81" s="5" t="str">
        <f>IFERROR(__xludf.DUMMYFUNCTION("""COMPUTED_VALUE"""),"진")</f>
        <v>진</v>
      </c>
      <c r="C81" s="5" t="str">
        <f>IFERROR(__xludf.DUMMYFUNCTION("""COMPUTED_VALUE"""),"쉐이킹")</f>
        <v>쉐이킹</v>
      </c>
      <c r="D81" s="8">
        <f>IFERROR(__xludf.DUMMYFUNCTION("""COMPUTED_VALUE"""),0.0)</f>
        <v>0</v>
      </c>
      <c r="E81" s="5" t="str">
        <f>IFERROR(__xludf.DUMMYFUNCTION("""COMPUTED_VALUE"""),"진 30ml, 콰이페 30ml, 레몬즙 반개, 시럽 15ml, 탄산수 필업(쉐이킹 후)")</f>
        <v>진 30ml, 콰이페 30ml, 레몬즙 반개, 시럽 15ml, 탄산수 필업(쉐이킹 후)</v>
      </c>
      <c r="F81" s="5"/>
    </row>
    <row r="82">
      <c r="A82" s="5" t="str">
        <f>IFERROR(__xludf.DUMMYFUNCTION("""COMPUTED_VALUE"""),"립 이어")</f>
        <v>립 이어</v>
      </c>
      <c r="B82" s="5" t="str">
        <f>IFERROR(__xludf.DUMMYFUNCTION("""COMPUTED_VALUE"""),"진")</f>
        <v>진</v>
      </c>
      <c r="C82" s="5" t="str">
        <f>IFERROR(__xludf.DUMMYFUNCTION("""COMPUTED_VALUE"""),"쉐이킹")</f>
        <v>쉐이킹</v>
      </c>
      <c r="D82" s="8">
        <f>IFERROR(__xludf.DUMMYFUNCTION("""COMPUTED_VALUE"""),0.0)</f>
        <v>0</v>
      </c>
      <c r="E82" s="5" t="str">
        <f>IFERROR(__xludf.DUMMYFUNCTION("""COMPUTED_VALUE"""),"진 60ml, 스윗 베르뭇 15ml, 그랑 마르니에 15ml, 레몬즙 8ml")</f>
        <v>진 60ml, 스윗 베르뭇 15ml, 그랑 마르니에 15ml, 레몬즙 8ml</v>
      </c>
      <c r="F82" s="5"/>
    </row>
    <row r="83">
      <c r="A83" s="5" t="str">
        <f>IFERROR(__xludf.DUMMYFUNCTION("""COMPUTED_VALUE"""),"마드라스")</f>
        <v>마드라스</v>
      </c>
      <c r="B83" s="5" t="str">
        <f>IFERROR(__xludf.DUMMYFUNCTION("""COMPUTED_VALUE"""),"보드카")</f>
        <v>보드카</v>
      </c>
      <c r="C83" s="5" t="str">
        <f>IFERROR(__xludf.DUMMYFUNCTION("""COMPUTED_VALUE"""),"빌드")</f>
        <v>빌드</v>
      </c>
      <c r="D83" s="8">
        <f>IFERROR(__xludf.DUMMYFUNCTION("""COMPUTED_VALUE"""),0.0)</f>
        <v>0</v>
      </c>
      <c r="E83" s="5" t="str">
        <f>IFERROR(__xludf.DUMMYFUNCTION("""COMPUTED_VALUE"""),"보드카 45ml, 오렌지 주스 60ml, 크렌베리 주스 60ml, 오렌지 웨지")</f>
        <v>보드카 45ml, 오렌지 주스 60ml, 크렌베리 주스 60ml, 오렌지 웨지</v>
      </c>
      <c r="F83" s="5"/>
    </row>
    <row r="84">
      <c r="A84" s="5" t="str">
        <f>IFERROR(__xludf.DUMMYFUNCTION("""COMPUTED_VALUE"""),"마르가리따")</f>
        <v>마르가리따</v>
      </c>
      <c r="B84" s="5" t="str">
        <f>IFERROR(__xludf.DUMMYFUNCTION("""COMPUTED_VALUE"""),"데낄라")</f>
        <v>데낄라</v>
      </c>
      <c r="C84" s="5" t="str">
        <f>IFERROR(__xludf.DUMMYFUNCTION("""COMPUTED_VALUE"""),"쉐이킹")</f>
        <v>쉐이킹</v>
      </c>
      <c r="D84" s="8">
        <f>IFERROR(__xludf.DUMMYFUNCTION("""COMPUTED_VALUE"""),0.0)</f>
        <v>0</v>
      </c>
      <c r="E84" s="5" t="str">
        <f>IFERROR(__xludf.DUMMYFUNCTION("""COMPUTED_VALUE"""),"데낄라 45ml, 트리플섹 15ml, 라임즙 15ml, 잔에 소금 리밍, 라임 슬라이스 1조각")</f>
        <v>데낄라 45ml, 트리플섹 15ml, 라임즙 15ml, 잔에 소금 리밍, 라임 슬라이스 1조각</v>
      </c>
      <c r="F84" s="5"/>
    </row>
    <row r="85">
      <c r="A85" s="5" t="str">
        <f>IFERROR(__xludf.DUMMYFUNCTION("""COMPUTED_VALUE"""),"마미 테일러")</f>
        <v>마미 테일러</v>
      </c>
      <c r="B85" s="5" t="str">
        <f>IFERROR(__xludf.DUMMYFUNCTION("""COMPUTED_VALUE"""),"위스키")</f>
        <v>위스키</v>
      </c>
      <c r="C85" s="5" t="str">
        <f>IFERROR(__xludf.DUMMYFUNCTION("""COMPUTED_VALUE"""),"빌드")</f>
        <v>빌드</v>
      </c>
      <c r="D85" s="8">
        <f>IFERROR(__xludf.DUMMYFUNCTION("""COMPUTED_VALUE"""),0.0)</f>
        <v>0</v>
      </c>
      <c r="E85" s="5" t="str">
        <f>IFERROR(__xludf.DUMMYFUNCTION("""COMPUTED_VALUE"""),"레몬 or 라임즙 22.5ml, 스카치 위스키 60ml, 진저에일 or 진저비어 90ml, 오렌지 비터 2대쉬, 가니쉬 레몬 웻지")</f>
        <v>레몬 or 라임즙 22.5ml, 스카치 위스키 60ml, 진저에일 or 진저비어 90ml, 오렌지 비터 2대쉬, 가니쉬 레몬 웻지</v>
      </c>
      <c r="F85" s="5"/>
    </row>
    <row r="86">
      <c r="A86" s="5" t="str">
        <f>IFERROR(__xludf.DUMMYFUNCTION("""COMPUTED_VALUE"""),"마블 퀸")</f>
        <v>마블 퀸</v>
      </c>
      <c r="B86" s="5" t="str">
        <f>IFERROR(__xludf.DUMMYFUNCTION("""COMPUTED_VALUE"""),"데낄라")</f>
        <v>데낄라</v>
      </c>
      <c r="C86" s="5" t="str">
        <f>IFERROR(__xludf.DUMMYFUNCTION("""COMPUTED_VALUE"""),"쉐이킹")</f>
        <v>쉐이킹</v>
      </c>
      <c r="D86" s="8">
        <f>IFERROR(__xludf.DUMMYFUNCTION("""COMPUTED_VALUE"""),0.0)</f>
        <v>0</v>
      </c>
      <c r="E86" s="5" t="str">
        <f>IFERROR(__xludf.DUMMYFUNCTION("""COMPUTED_VALUE"""),"데낄라 45ml, 코코넛 믹스 30ml, 라임즙 15ml")</f>
        <v>데낄라 45ml, 코코넛 믹스 30ml, 라임즙 15ml</v>
      </c>
      <c r="F86" s="5"/>
    </row>
    <row r="87">
      <c r="A87" s="5" t="str">
        <f>IFERROR(__xludf.DUMMYFUNCTION("""COMPUTED_VALUE"""),"마이타이")</f>
        <v>마이타이</v>
      </c>
      <c r="B87" s="5" t="str">
        <f>IFERROR(__xludf.DUMMYFUNCTION("""COMPUTED_VALUE"""),"말리부")</f>
        <v>말리부</v>
      </c>
      <c r="C87" s="5" t="str">
        <f>IFERROR(__xludf.DUMMYFUNCTION("""COMPUTED_VALUE"""),"쉐이킹")</f>
        <v>쉐이킹</v>
      </c>
      <c r="D87" s="8">
        <f>IFERROR(__xludf.DUMMYFUNCTION("""COMPUTED_VALUE"""),0.0)</f>
        <v>0</v>
      </c>
      <c r="E87" s="5" t="str">
        <f>IFERROR(__xludf.DUMMYFUNCTION("""COMPUTED_VALUE"""),"말리부 30ml, 트리플섹 15ml, 파인애플 주스 60ml, 오렌지 주스 30ml, 레몬즙 15ml, 라임즙 15ml, 그레나딘 시럽 15ml")</f>
        <v>말리부 30ml, 트리플섹 15ml, 파인애플 주스 60ml, 오렌지 주스 30ml, 레몬즙 15ml, 라임즙 15ml, 그레나딘 시럽 15ml</v>
      </c>
      <c r="F87" s="5"/>
    </row>
    <row r="88">
      <c r="A88" s="5" t="str">
        <f>IFERROR(__xludf.DUMMYFUNCTION("""COMPUTED_VALUE"""),"마크 트웨인")</f>
        <v>마크 트웨인</v>
      </c>
      <c r="B88" s="5" t="str">
        <f>IFERROR(__xludf.DUMMYFUNCTION("""COMPUTED_VALUE"""),"위스키")</f>
        <v>위스키</v>
      </c>
      <c r="C88" s="5" t="str">
        <f>IFERROR(__xludf.DUMMYFUNCTION("""COMPUTED_VALUE"""),"쉐이킹")</f>
        <v>쉐이킹</v>
      </c>
      <c r="D88" s="8">
        <f>IFERROR(__xludf.DUMMYFUNCTION("""COMPUTED_VALUE"""),0.0)</f>
        <v>0</v>
      </c>
      <c r="E88" s="5" t="str">
        <f>IFERROR(__xludf.DUMMYFUNCTION("""COMPUTED_VALUE"""),"스카치 위스키 45ml, 레몬즙 23ml, 시럽 15ml, 비터 2대쉬")</f>
        <v>스카치 위스키 45ml, 레몬즙 23ml, 시럽 15ml, 비터 2대쉬</v>
      </c>
      <c r="F88" s="5"/>
    </row>
    <row r="89">
      <c r="A89" s="5" t="str">
        <f>IFERROR(__xludf.DUMMYFUNCTION("""COMPUTED_VALUE"""),"마타도르(투우사)")</f>
        <v>마타도르(투우사)</v>
      </c>
      <c r="B89" s="5" t="str">
        <f>IFERROR(__xludf.DUMMYFUNCTION("""COMPUTED_VALUE"""),"데낄라")</f>
        <v>데낄라</v>
      </c>
      <c r="C89" s="5" t="str">
        <f>IFERROR(__xludf.DUMMYFUNCTION("""COMPUTED_VALUE"""),"쉐이킹")</f>
        <v>쉐이킹</v>
      </c>
      <c r="D89" s="8">
        <f>IFERROR(__xludf.DUMMYFUNCTION("""COMPUTED_VALUE"""),0.0)</f>
        <v>0</v>
      </c>
      <c r="E89" s="5" t="str">
        <f>IFERROR(__xludf.DUMMYFUNCTION("""COMPUTED_VALUE"""),"데낄라 30ml, 파인애플 주스 60ml, 라임즙 15ml, 파인애플 조각, 체리 조각")</f>
        <v>데낄라 30ml, 파인애플 주스 60ml, 라임즙 15ml, 파인애플 조각, 체리 조각</v>
      </c>
      <c r="F89" s="5"/>
    </row>
    <row r="90">
      <c r="A90" s="5" t="str">
        <f>IFERROR(__xludf.DUMMYFUNCTION("""COMPUTED_VALUE"""),"마티니")</f>
        <v>마티니</v>
      </c>
      <c r="B90" s="5" t="str">
        <f>IFERROR(__xludf.DUMMYFUNCTION("""COMPUTED_VALUE"""),"진")</f>
        <v>진</v>
      </c>
      <c r="C90" s="5" t="str">
        <f>IFERROR(__xludf.DUMMYFUNCTION("""COMPUTED_VALUE"""),"스터")</f>
        <v>스터</v>
      </c>
      <c r="D90" s="8">
        <f>IFERROR(__xludf.DUMMYFUNCTION("""COMPUTED_VALUE"""),0.0)</f>
        <v>0</v>
      </c>
      <c r="E90" s="5" t="str">
        <f>IFERROR(__xludf.DUMMYFUNCTION("""COMPUTED_VALUE"""),"진 60ml, 드라이 베르뭇 15ml, 취향에 따라 잘섞이게 스터, 칵테일 올리브 1개")</f>
        <v>진 60ml, 드라이 베르뭇 15ml, 취향에 따라 잘섞이게 스터, 칵테일 올리브 1개</v>
      </c>
      <c r="F90" s="5"/>
    </row>
    <row r="91">
      <c r="A91" s="5" t="str">
        <f>IFERROR(__xludf.DUMMYFUNCTION("""COMPUTED_VALUE"""),"맨해튼")</f>
        <v>맨해튼</v>
      </c>
      <c r="B91" s="5" t="str">
        <f>IFERROR(__xludf.DUMMYFUNCTION("""COMPUTED_VALUE"""),"버번")</f>
        <v>버번</v>
      </c>
      <c r="C91" s="5" t="str">
        <f>IFERROR(__xludf.DUMMYFUNCTION("""COMPUTED_VALUE"""),"스터")</f>
        <v>스터</v>
      </c>
      <c r="D91" s="8">
        <f>IFERROR(__xludf.DUMMYFUNCTION("""COMPUTED_VALUE"""),0.0)</f>
        <v>0</v>
      </c>
      <c r="E91" s="5" t="str">
        <f>IFERROR(__xludf.DUMMYFUNCTION("""COMPUTED_VALUE"""),"버번 위스키 60ml, 베르뭇 로쏘 20ml, 비터 3대쉬, 체리 1조각, 레몬 오일")</f>
        <v>버번 위스키 60ml, 베르뭇 로쏘 20ml, 비터 3대쉬, 체리 1조각, 레몬 오일</v>
      </c>
      <c r="F91" s="5"/>
    </row>
    <row r="92">
      <c r="A92" s="5" t="str">
        <f>IFERROR(__xludf.DUMMYFUNCTION("""COMPUTED_VALUE"""),"맨해튼2")</f>
        <v>맨해튼2</v>
      </c>
      <c r="B92" s="5" t="str">
        <f>IFERROR(__xludf.DUMMYFUNCTION("""COMPUTED_VALUE"""),"버번")</f>
        <v>버번</v>
      </c>
      <c r="C92" s="5" t="str">
        <f>IFERROR(__xludf.DUMMYFUNCTION("""COMPUTED_VALUE"""),"스터")</f>
        <v>스터</v>
      </c>
      <c r="D92" s="8">
        <f>IFERROR(__xludf.DUMMYFUNCTION("""COMPUTED_VALUE"""),0.0)</f>
        <v>0</v>
      </c>
      <c r="E92" s="5" t="str">
        <f>IFERROR(__xludf.DUMMYFUNCTION("""COMPUTED_VALUE"""),"버번 위스키 45ml, 스윗 베르뭇 23ml, 비터 1대쉬")</f>
        <v>버번 위스키 45ml, 스윗 베르뭇 23ml, 비터 1대쉬</v>
      </c>
      <c r="F92" s="5"/>
    </row>
    <row r="93">
      <c r="A93" s="5" t="str">
        <f>IFERROR(__xludf.DUMMYFUNCTION("""COMPUTED_VALUE"""),"머드 슬라이스")</f>
        <v>머드 슬라이스</v>
      </c>
      <c r="B93" s="5" t="str">
        <f>IFERROR(__xludf.DUMMYFUNCTION("""COMPUTED_VALUE"""),"혼합")</f>
        <v>혼합</v>
      </c>
      <c r="C93" s="5" t="str">
        <f>IFERROR(__xludf.DUMMYFUNCTION("""COMPUTED_VALUE"""),"블렌딩 or 쉐이킹")</f>
        <v>블렌딩 or 쉐이킹</v>
      </c>
      <c r="D93" s="8">
        <f>IFERROR(__xludf.DUMMYFUNCTION("""COMPUTED_VALUE"""),0.0)</f>
        <v>0</v>
      </c>
      <c r="E93" s="5" t="str">
        <f>IFERROR(__xludf.DUMMYFUNCTION("""COMPUTED_VALUE"""),"깔루아 30ml, 베일리스 20ml, 보드카 20ml, 크림 30ml, 블렌딩 후 초콜릿 시럽 뿌려주기")</f>
        <v>깔루아 30ml, 베일리스 20ml, 보드카 20ml, 크림 30ml, 블렌딩 후 초콜릿 시럽 뿌려주기</v>
      </c>
      <c r="F93" s="5"/>
    </row>
    <row r="94">
      <c r="A94" s="5" t="str">
        <f>IFERROR(__xludf.DUMMYFUNCTION("""COMPUTED_VALUE"""),"메트로폴리탄")</f>
        <v>메트로폴리탄</v>
      </c>
      <c r="B94" s="5" t="str">
        <f>IFERROR(__xludf.DUMMYFUNCTION("""COMPUTED_VALUE"""),"꼬냑 or 브랜디")</f>
        <v>꼬냑 or 브랜디</v>
      </c>
      <c r="C94" s="5" t="str">
        <f>IFERROR(__xludf.DUMMYFUNCTION("""COMPUTED_VALUE"""),"쉐이킹")</f>
        <v>쉐이킹</v>
      </c>
      <c r="D94" s="8">
        <f>IFERROR(__xludf.DUMMYFUNCTION("""COMPUTED_VALUE"""),0.0)</f>
        <v>0</v>
      </c>
      <c r="E94" s="5" t="str">
        <f>IFERROR(__xludf.DUMMYFUNCTION("""COMPUTED_VALUE"""),"브랜디 or 꼬냑 60ml, 스윗베르뭇 30ml, 심플시럽 0.5티스푼, 앙고스투라 비터 2대쉬")</f>
        <v>브랜디 or 꼬냑 60ml, 스윗베르뭇 30ml, 심플시럽 0.5티스푼, 앙고스투라 비터 2대쉬</v>
      </c>
      <c r="F94" s="5"/>
    </row>
    <row r="95">
      <c r="A95" s="5" t="str">
        <f>IFERROR(__xludf.DUMMYFUNCTION("""COMPUTED_VALUE"""),"멕시칸 선셋")</f>
        <v>멕시칸 선셋</v>
      </c>
      <c r="B95" s="5" t="str">
        <f>IFERROR(__xludf.DUMMYFUNCTION("""COMPUTED_VALUE"""),"데낄라")</f>
        <v>데낄라</v>
      </c>
      <c r="C95" s="5" t="str">
        <f>IFERROR(__xludf.DUMMYFUNCTION("""COMPUTED_VALUE"""),"쉐이킹")</f>
        <v>쉐이킹</v>
      </c>
      <c r="D95" s="8">
        <f>IFERROR(__xludf.DUMMYFUNCTION("""COMPUTED_VALUE"""),0.0)</f>
        <v>0</v>
      </c>
      <c r="E95" s="5" t="str">
        <f>IFERROR(__xludf.DUMMYFUNCTION("""COMPUTED_VALUE"""),"아마레또 30ml, 피치 슈냅스 30ml, 실버데낄라 90ml, 파인애플 주스 180ml, 쉐이킹 후 그레나딘 시럽 15ml, 가니쉬로 라임, 체리")</f>
        <v>아마레또 30ml, 피치 슈냅스 30ml, 실버데낄라 90ml, 파인애플 주스 180ml, 쉐이킹 후 그레나딘 시럽 15ml, 가니쉬로 라임, 체리</v>
      </c>
      <c r="F95" s="5"/>
    </row>
    <row r="96">
      <c r="A96" s="5" t="str">
        <f>IFERROR(__xludf.DUMMYFUNCTION("""COMPUTED_VALUE"""),"멕시콜라")</f>
        <v>멕시콜라</v>
      </c>
      <c r="B96" s="5" t="str">
        <f>IFERROR(__xludf.DUMMYFUNCTION("""COMPUTED_VALUE"""),"데낄라")</f>
        <v>데낄라</v>
      </c>
      <c r="C96" s="5" t="str">
        <f>IFERROR(__xludf.DUMMYFUNCTION("""COMPUTED_VALUE"""),"빌드")</f>
        <v>빌드</v>
      </c>
      <c r="D96" s="8">
        <f>IFERROR(__xludf.DUMMYFUNCTION("""COMPUTED_VALUE"""),0.0)</f>
        <v>0</v>
      </c>
      <c r="E96" s="5" t="str">
        <f>IFERROR(__xludf.DUMMYFUNCTION("""COMPUTED_VALUE"""),"데낄라 45ml, 코카콜라 풀업, 라임즙 15ml")</f>
        <v>데낄라 45ml, 코카콜라 풀업, 라임즙 15ml</v>
      </c>
      <c r="F96" s="5"/>
    </row>
    <row r="97">
      <c r="A97" s="5" t="str">
        <f>IFERROR(__xludf.DUMMYFUNCTION("""COMPUTED_VALUE"""),"멜론 쿨러")</f>
        <v>멜론 쿨러</v>
      </c>
      <c r="B97" s="5" t="str">
        <f>IFERROR(__xludf.DUMMYFUNCTION("""COMPUTED_VALUE"""),"멜론 리큐르")</f>
        <v>멜론 리큐르</v>
      </c>
      <c r="C97" s="5" t="str">
        <f>IFERROR(__xludf.DUMMYFUNCTION("""COMPUTED_VALUE"""),"빌드")</f>
        <v>빌드</v>
      </c>
      <c r="D97" s="8">
        <f>IFERROR(__xludf.DUMMYFUNCTION("""COMPUTED_VALUE"""),0.0)</f>
        <v>0</v>
      </c>
      <c r="E97" s="5" t="str">
        <f>IFERROR(__xludf.DUMMYFUNCTION("""COMPUTED_VALUE"""),"멜론 리큐르 30ml, 피치 리큐르 15ml, 파인애플 주스 60ml, 탄산수 필업")</f>
        <v>멜론 리큐르 30ml, 피치 리큐르 15ml, 파인애플 주스 60ml, 탄산수 필업</v>
      </c>
      <c r="F97" s="5"/>
    </row>
    <row r="98">
      <c r="A98" s="5" t="str">
        <f>IFERROR(__xludf.DUMMYFUNCTION("""COMPUTED_VALUE"""),"멜론 패치")</f>
        <v>멜론 패치</v>
      </c>
      <c r="B98" s="5" t="str">
        <f>IFERROR(__xludf.DUMMYFUNCTION("""COMPUTED_VALUE"""),"보드카")</f>
        <v>보드카</v>
      </c>
      <c r="C98" s="5" t="str">
        <f>IFERROR(__xludf.DUMMYFUNCTION("""COMPUTED_VALUE"""),"쉐이킹")</f>
        <v>쉐이킹</v>
      </c>
      <c r="D98" s="8">
        <f>IFERROR(__xludf.DUMMYFUNCTION("""COMPUTED_VALUE"""),0.0)</f>
        <v>0</v>
      </c>
      <c r="E98" s="5" t="str">
        <f>IFERROR(__xludf.DUMMYFUNCTION("""COMPUTED_VALUE"""),"보드카 60ml, 멜론 리큐르 30ml, 트리플섹 15ml, 쉐이킹 후 탄산수 120ml, 가니쉬 레몬껍질")</f>
        <v>보드카 60ml, 멜론 리큐르 30ml, 트리플섹 15ml, 쉐이킹 후 탄산수 120ml, 가니쉬 레몬껍질</v>
      </c>
      <c r="F98" s="5"/>
    </row>
    <row r="99">
      <c r="A99" s="5" t="str">
        <f>IFERROR(__xludf.DUMMYFUNCTION("""COMPUTED_VALUE"""),"멜론볼")</f>
        <v>멜론볼</v>
      </c>
      <c r="B99" s="5" t="str">
        <f>IFERROR(__xludf.DUMMYFUNCTION("""COMPUTED_VALUE"""),"혼합")</f>
        <v>혼합</v>
      </c>
      <c r="C99" s="5" t="str">
        <f>IFERROR(__xludf.DUMMYFUNCTION("""COMPUTED_VALUE"""),"쉐이킹")</f>
        <v>쉐이킹</v>
      </c>
      <c r="D99" s="8">
        <f>IFERROR(__xludf.DUMMYFUNCTION("""COMPUTED_VALUE"""),0.0)</f>
        <v>0</v>
      </c>
      <c r="E99" s="5" t="str">
        <f>IFERROR(__xludf.DUMMYFUNCTION("""COMPUTED_VALUE"""),"보드카 30ml, 멜론 리큐르 60ml, 오렌지 주스 적당량")</f>
        <v>보드카 30ml, 멜론 리큐르 60ml, 오렌지 주스 적당량</v>
      </c>
      <c r="F99" s="5"/>
    </row>
    <row r="100">
      <c r="A100" s="5" t="str">
        <f>IFERROR(__xludf.DUMMYFUNCTION("""COMPUTED_VALUE"""),"모스코 뮬")</f>
        <v>모스코 뮬</v>
      </c>
      <c r="B100" s="5" t="str">
        <f>IFERROR(__xludf.DUMMYFUNCTION("""COMPUTED_VALUE"""),"보드카")</f>
        <v>보드카</v>
      </c>
      <c r="C100" s="5" t="str">
        <f>IFERROR(__xludf.DUMMYFUNCTION("""COMPUTED_VALUE"""),"빌드")</f>
        <v>빌드</v>
      </c>
      <c r="D100" s="8">
        <f>IFERROR(__xludf.DUMMYFUNCTION("""COMPUTED_VALUE"""),0.0)</f>
        <v>0</v>
      </c>
      <c r="E100" s="5" t="str">
        <f>IFERROR(__xludf.DUMMYFUNCTION("""COMPUTED_VALUE"""),"보드카 45ml, 라임즙 15ml, 진저비어 110ml")</f>
        <v>보드카 45ml, 라임즙 15ml, 진저비어 110ml</v>
      </c>
      <c r="F100" s="5"/>
    </row>
    <row r="101">
      <c r="A101" s="5" t="str">
        <f>IFERROR(__xludf.DUMMYFUNCTION("""COMPUTED_VALUE"""),"모킹 버드")</f>
        <v>모킹 버드</v>
      </c>
      <c r="B101" s="5" t="str">
        <f>IFERROR(__xludf.DUMMYFUNCTION("""COMPUTED_VALUE"""),"데낄라")</f>
        <v>데낄라</v>
      </c>
      <c r="C101" s="5" t="str">
        <f>IFERROR(__xludf.DUMMYFUNCTION("""COMPUTED_VALUE"""),"쉐이킹")</f>
        <v>쉐이킹</v>
      </c>
      <c r="D101" s="8">
        <f>IFERROR(__xludf.DUMMYFUNCTION("""COMPUTED_VALUE"""),0.0)</f>
        <v>0</v>
      </c>
      <c r="E101" s="5" t="str">
        <f>IFERROR(__xludf.DUMMYFUNCTION("""COMPUTED_VALUE"""),"페페로페즈(데낄라) 30ml, 민트 리큐르 15ml, 라임즙 15ml")</f>
        <v>페페로페즈(데낄라) 30ml, 민트 리큐르 15ml, 라임즙 15ml</v>
      </c>
      <c r="F101" s="5"/>
    </row>
    <row r="102">
      <c r="A102" s="5" t="str">
        <f>IFERROR(__xludf.DUMMYFUNCTION("""COMPUTED_VALUE"""),"몽키 사인")</f>
        <v>몽키 사인</v>
      </c>
      <c r="B102" s="5" t="str">
        <f>IFERROR(__xludf.DUMMYFUNCTION("""COMPUTED_VALUE"""),"럼")</f>
        <v>럼</v>
      </c>
      <c r="C102" s="5" t="str">
        <f>IFERROR(__xludf.DUMMYFUNCTION("""COMPUTED_VALUE"""),"쉐이킹")</f>
        <v>쉐이킹</v>
      </c>
      <c r="D102" s="8">
        <f>IFERROR(__xludf.DUMMYFUNCTION("""COMPUTED_VALUE"""),0.0)</f>
        <v>0</v>
      </c>
      <c r="E102" s="5" t="str">
        <f>IFERROR(__xludf.DUMMYFUNCTION("""COMPUTED_VALUE"""),"화이트 럼 45ml, 말리부 15ml, 파인애플 60ml, 라임즙 10ml")</f>
        <v>화이트 럼 45ml, 말리부 15ml, 파인애플 60ml, 라임즙 10ml</v>
      </c>
      <c r="F102" s="5"/>
    </row>
    <row r="103">
      <c r="A103" s="5" t="str">
        <f>IFERROR(__xludf.DUMMYFUNCTION("""COMPUTED_VALUE"""),"미도리 볼")</f>
        <v>미도리 볼</v>
      </c>
      <c r="B103" s="5" t="str">
        <f>IFERROR(__xludf.DUMMYFUNCTION("""COMPUTED_VALUE"""),"멜론 리큐르")</f>
        <v>멜론 리큐르</v>
      </c>
      <c r="C103" s="5" t="str">
        <f>IFERROR(__xludf.DUMMYFUNCTION("""COMPUTED_VALUE"""),"빌드")</f>
        <v>빌드</v>
      </c>
      <c r="D103" s="8">
        <f>IFERROR(__xludf.DUMMYFUNCTION("""COMPUTED_VALUE"""),0.0)</f>
        <v>0</v>
      </c>
      <c r="E103" s="5" t="str">
        <f>IFERROR(__xludf.DUMMYFUNCTION("""COMPUTED_VALUE"""),"멜론 리큐르 30ml, 사워믹스 15ml, 오렌지 주스 80%, 레몬 슬라이스, 체리 1조각")</f>
        <v>멜론 리큐르 30ml, 사워믹스 15ml, 오렌지 주스 80%, 레몬 슬라이스, 체리 1조각</v>
      </c>
      <c r="F103" s="5"/>
    </row>
    <row r="104">
      <c r="A104" s="5" t="str">
        <f>IFERROR(__xludf.DUMMYFUNCTION("""COMPUTED_VALUE"""),"미도리 사워")</f>
        <v>미도리 사워</v>
      </c>
      <c r="B104" s="5" t="str">
        <f>IFERROR(__xludf.DUMMYFUNCTION("""COMPUTED_VALUE"""),"멜론 리큐르")</f>
        <v>멜론 리큐르</v>
      </c>
      <c r="C104" s="5" t="str">
        <f>IFERROR(__xludf.DUMMYFUNCTION("""COMPUTED_VALUE"""),"쉐이킹")</f>
        <v>쉐이킹</v>
      </c>
      <c r="D104" s="8">
        <f>IFERROR(__xludf.DUMMYFUNCTION("""COMPUTED_VALUE"""),0.0)</f>
        <v>0</v>
      </c>
      <c r="E104" s="5" t="str">
        <f>IFERROR(__xludf.DUMMYFUNCTION("""COMPUTED_VALUE"""),"멜론 리큐르 45ml, 레몬즙 30ml, 설탕 2티스푼")</f>
        <v>멜론 리큐르 45ml, 레몬즙 30ml, 설탕 2티스푼</v>
      </c>
      <c r="F104" s="5"/>
    </row>
    <row r="105">
      <c r="A105" s="5" t="str">
        <f>IFERROR(__xludf.DUMMYFUNCTION("""COMPUTED_VALUE"""),"미도리 사워2")</f>
        <v>미도리 사워2</v>
      </c>
      <c r="B105" s="5" t="str">
        <f>IFERROR(__xludf.DUMMYFUNCTION("""COMPUTED_VALUE"""),"멜론 리큐르")</f>
        <v>멜론 리큐르</v>
      </c>
      <c r="C105" s="5" t="str">
        <f>IFERROR(__xludf.DUMMYFUNCTION("""COMPUTED_VALUE"""),"빌드")</f>
        <v>빌드</v>
      </c>
      <c r="D105" s="8">
        <f>IFERROR(__xludf.DUMMYFUNCTION("""COMPUTED_VALUE"""),0.0)</f>
        <v>0</v>
      </c>
      <c r="E105" s="5" t="str">
        <f>IFERROR(__xludf.DUMMYFUNCTION("""COMPUTED_VALUE"""),"멜론 리큐르 45ml, 레몬즙 30ml, 사이다 80%, 레몬 슬라이스")</f>
        <v>멜론 리큐르 45ml, 레몬즙 30ml, 사이다 80%, 레몬 슬라이스</v>
      </c>
      <c r="F105" s="5"/>
    </row>
    <row r="106">
      <c r="A106" s="5" t="str">
        <f>IFERROR(__xludf.DUMMYFUNCTION("""COMPUTED_VALUE"""),"미도리 일루젼")</f>
        <v>미도리 일루젼</v>
      </c>
      <c r="B106" s="5" t="str">
        <f>IFERROR(__xludf.DUMMYFUNCTION("""COMPUTED_VALUE"""),"멜론 리큐르")</f>
        <v>멜론 리큐르</v>
      </c>
      <c r="C106" s="5" t="str">
        <f>IFERROR(__xludf.DUMMYFUNCTION("""COMPUTED_VALUE"""),"쉐이킹")</f>
        <v>쉐이킹</v>
      </c>
      <c r="D106" s="8">
        <f>IFERROR(__xludf.DUMMYFUNCTION("""COMPUTED_VALUE"""),0.0)</f>
        <v>0</v>
      </c>
      <c r="E106" s="5" t="str">
        <f>IFERROR(__xludf.DUMMYFUNCTION("""COMPUTED_VALUE"""),"보드카 15ml, 트리플섹 15ml, 멜론 리큐르 60ml, 레몬즙 30ml, 파인애플 주스 30ml")</f>
        <v>보드카 15ml, 트리플섹 15ml, 멜론 리큐르 60ml, 레몬즙 30ml, 파인애플 주스 30ml</v>
      </c>
      <c r="F106" s="5"/>
    </row>
    <row r="107">
      <c r="A107" s="5" t="str">
        <f>IFERROR(__xludf.DUMMYFUNCTION("""COMPUTED_VALUE"""),"미친듯한 미도리사워")</f>
        <v>미친듯한 미도리사워</v>
      </c>
      <c r="B107" s="5" t="str">
        <f>IFERROR(__xludf.DUMMYFUNCTION("""COMPUTED_VALUE"""),"혼합")</f>
        <v>혼합</v>
      </c>
      <c r="C107" s="5" t="str">
        <f>IFERROR(__xludf.DUMMYFUNCTION("""COMPUTED_VALUE"""),"쉐이킹")</f>
        <v>쉐이킹</v>
      </c>
      <c r="D107" s="8">
        <f>IFERROR(__xludf.DUMMYFUNCTION("""COMPUTED_VALUE"""),0.0)</f>
        <v>0</v>
      </c>
      <c r="E107" s="5" t="str">
        <f>IFERROR(__xludf.DUMMYFUNCTION("""COMPUTED_VALUE"""),"멜론 리큐르 30ml, 진 30ml, 레몬즙 22.5ml, 라임농축액 15ml, 계란흰자 1개, 드라이 쉐이킹 후 쉐이킹, 오렌지 필")</f>
        <v>멜론 리큐르 30ml, 진 30ml, 레몬즙 22.5ml, 라임농축액 15ml, 계란흰자 1개, 드라이 쉐이킹 후 쉐이킹, 오렌지 필</v>
      </c>
      <c r="F107" s="5"/>
    </row>
    <row r="108">
      <c r="A108" s="5" t="str">
        <f>IFERROR(__xludf.DUMMYFUNCTION("""COMPUTED_VALUE"""),"민들레")</f>
        <v>민들레</v>
      </c>
      <c r="B108" s="5" t="str">
        <f>IFERROR(__xludf.DUMMYFUNCTION("""COMPUTED_VALUE"""),"리큐르")</f>
        <v>리큐르</v>
      </c>
      <c r="C108" s="5" t="str">
        <f>IFERROR(__xludf.DUMMYFUNCTION("""COMPUTED_VALUE"""),"스터")</f>
        <v>스터</v>
      </c>
      <c r="D108" s="8">
        <f>IFERROR(__xludf.DUMMYFUNCTION("""COMPUTED_VALUE"""),0.0)</f>
        <v>0</v>
      </c>
      <c r="E108" s="5" t="str">
        <f>IFERROR(__xludf.DUMMYFUNCTION("""COMPUTED_VALUE"""),"릴레블랑 45ml, 베네딕틴 15ml, 압생트 5ml, 가니쉬 레몬필")</f>
        <v>릴레블랑 45ml, 베네딕틴 15ml, 압생트 5ml, 가니쉬 레몬필</v>
      </c>
      <c r="F108" s="5"/>
    </row>
    <row r="109">
      <c r="A109" s="5" t="str">
        <f>IFERROR(__xludf.DUMMYFUNCTION("""COMPUTED_VALUE"""),"민주당 원")</f>
        <v>민주당 원</v>
      </c>
      <c r="B109" s="5" t="str">
        <f>IFERROR(__xludf.DUMMYFUNCTION("""COMPUTED_VALUE"""),"위스키")</f>
        <v>위스키</v>
      </c>
      <c r="C109" s="5" t="str">
        <f>IFERROR(__xludf.DUMMYFUNCTION("""COMPUTED_VALUE"""),"빌드")</f>
        <v>빌드</v>
      </c>
      <c r="D109" s="8">
        <f>IFERROR(__xludf.DUMMYFUNCTION("""COMPUTED_VALUE"""),0.0)</f>
        <v>0</v>
      </c>
      <c r="E109" s="5" t="str">
        <f>IFERROR(__xludf.DUMMYFUNCTION("""COMPUTED_VALUE"""),"버번 or 라이 or 블렌디드 위스키 60ml, 피치트리 15ml, 레몬즙 22.5ml, 꿀 15ml 빌드")</f>
        <v>버번 or 라이 or 블렌디드 위스키 60ml, 피치트리 15ml, 레몬즙 22.5ml, 꿀 15ml 빌드</v>
      </c>
      <c r="F109" s="5"/>
    </row>
    <row r="110">
      <c r="A110" s="5" t="str">
        <f>IFERROR(__xludf.DUMMYFUNCTION("""COMPUTED_VALUE"""),"민트 라떼")</f>
        <v>민트 라떼</v>
      </c>
      <c r="B110" s="5" t="str">
        <f>IFERROR(__xludf.DUMMYFUNCTION("""COMPUTED_VALUE"""),"리큐르")</f>
        <v>리큐르</v>
      </c>
      <c r="C110" s="5" t="str">
        <f>IFERROR(__xludf.DUMMYFUNCTION("""COMPUTED_VALUE"""),"쉐이킹")</f>
        <v>쉐이킹</v>
      </c>
      <c r="D110" s="8">
        <f>IFERROR(__xludf.DUMMYFUNCTION("""COMPUTED_VALUE"""),0.0)</f>
        <v>0</v>
      </c>
      <c r="E110" s="5" t="str">
        <f>IFERROR(__xludf.DUMMYFUNCTION("""COMPUTED_VALUE"""),"커피 리큐르 30ml, 크렘 드 민트 화이트 30ml, 우유 60%(하아볼 글라스 기준)")</f>
        <v>커피 리큐르 30ml, 크렘 드 민트 화이트 30ml, 우유 60%(하아볼 글라스 기준)</v>
      </c>
      <c r="F110" s="5"/>
    </row>
    <row r="111">
      <c r="A111" s="5" t="str">
        <f>IFERROR(__xludf.DUMMYFUNCTION("""COMPUTED_VALUE"""),"민트 크림 마티니")</f>
        <v>민트 크림 마티니</v>
      </c>
      <c r="B111" s="5" t="str">
        <f>IFERROR(__xludf.DUMMYFUNCTION("""COMPUTED_VALUE"""),"민트 리큐르")</f>
        <v>민트 리큐르</v>
      </c>
      <c r="C111" s="5" t="str">
        <f>IFERROR(__xludf.DUMMYFUNCTION("""COMPUTED_VALUE"""),"쉐이킹")</f>
        <v>쉐이킹</v>
      </c>
      <c r="D111" s="8">
        <f>IFERROR(__xludf.DUMMYFUNCTION("""COMPUTED_VALUE"""),0.0)</f>
        <v>0</v>
      </c>
      <c r="E111" s="5" t="str">
        <f>IFERROR(__xludf.DUMMYFUNCTION("""COMPUTED_VALUE"""),"민트 리큐르 30ml, 베일리스 30ml, 보드카 30ml, 우유 30~60ml")</f>
        <v>민트 리큐르 30ml, 베일리스 30ml, 보드카 30ml, 우유 30~60ml</v>
      </c>
      <c r="F111" s="5"/>
    </row>
    <row r="112">
      <c r="A112" s="5" t="str">
        <f>IFERROR(__xludf.DUMMYFUNCTION("""COMPUTED_VALUE"""),"밀크 펀치")</f>
        <v>밀크 펀치</v>
      </c>
      <c r="B112" s="5" t="str">
        <f>IFERROR(__xludf.DUMMYFUNCTION("""COMPUTED_VALUE"""),"혼합")</f>
        <v>혼합</v>
      </c>
      <c r="C112" s="5" t="str">
        <f>IFERROR(__xludf.DUMMYFUNCTION("""COMPUTED_VALUE"""),"쉐이킹")</f>
        <v>쉐이킹</v>
      </c>
      <c r="D112" s="8">
        <f>IFERROR(__xludf.DUMMYFUNCTION("""COMPUTED_VALUE"""),0.0)</f>
        <v>0</v>
      </c>
      <c r="E112" s="5" t="str">
        <f>IFERROR(__xludf.DUMMYFUNCTION("""COMPUTED_VALUE"""),"우유 45ml, 꼬냑 or 브랜디 30ml, 다크럼 30ml, 심플시럽 22.5ml, 가니쉬 육두구")</f>
        <v>우유 45ml, 꼬냑 or 브랜디 30ml, 다크럼 30ml, 심플시럽 22.5ml, 가니쉬 육두구</v>
      </c>
      <c r="F112" s="5"/>
    </row>
    <row r="113">
      <c r="A113" s="5" t="str">
        <f>IFERROR(__xludf.DUMMYFUNCTION("""COMPUTED_VALUE"""),"바나나 보트")</f>
        <v>바나나 보트</v>
      </c>
      <c r="B113" s="5" t="str">
        <f>IFERROR(__xludf.DUMMYFUNCTION("""COMPUTED_VALUE"""),"바나나 리큐르")</f>
        <v>바나나 리큐르</v>
      </c>
      <c r="C113" s="5" t="str">
        <f>IFERROR(__xludf.DUMMYFUNCTION("""COMPUTED_VALUE"""),"쉐이킹")</f>
        <v>쉐이킹</v>
      </c>
      <c r="D113" s="8">
        <f>IFERROR(__xludf.DUMMYFUNCTION("""COMPUTED_VALUE"""),0.0)</f>
        <v>0</v>
      </c>
      <c r="E113" s="5" t="str">
        <f>IFERROR(__xludf.DUMMYFUNCTION("""COMPUTED_VALUE"""),"진 45ml, 바나나 리큐르 30ml, 오렌지 주스 90ml, 쉐이킹 후 그레나딘 시럽 3~4방울, 바나나 조각 2~3개, 오렌지 조각 1개")</f>
        <v>진 45ml, 바나나 리큐르 30ml, 오렌지 주스 90ml, 쉐이킹 후 그레나딘 시럽 3~4방울, 바나나 조각 2~3개, 오렌지 조각 1개</v>
      </c>
      <c r="F113" s="5"/>
    </row>
    <row r="114">
      <c r="A114" s="5" t="str">
        <f>IFERROR(__xludf.DUMMYFUNCTION("""COMPUTED_VALUE"""),"바나나 블리스")</f>
        <v>바나나 블리스</v>
      </c>
      <c r="B114" s="5" t="str">
        <f>IFERROR(__xludf.DUMMYFUNCTION("""COMPUTED_VALUE"""),"꼬냑 or 브랜디")</f>
        <v>꼬냑 or 브랜디</v>
      </c>
      <c r="C114" s="5" t="str">
        <f>IFERROR(__xludf.DUMMYFUNCTION("""COMPUTED_VALUE"""),"스터")</f>
        <v>스터</v>
      </c>
      <c r="D114" s="8">
        <f>IFERROR(__xludf.DUMMYFUNCTION("""COMPUTED_VALUE"""),0.0)</f>
        <v>0</v>
      </c>
      <c r="E114" s="5" t="str">
        <f>IFERROR(__xludf.DUMMYFUNCTION("""COMPUTED_VALUE"""),"꼬냑 or 브랜디 30ml, 스윗 or 드라이 셰리 22.5ml, 바나나 리큐르 7.5ml")</f>
        <v>꼬냑 or 브랜디 30ml, 스윗 or 드라이 셰리 22.5ml, 바나나 리큐르 7.5ml</v>
      </c>
      <c r="F114" s="5"/>
    </row>
    <row r="115">
      <c r="A115" s="5" t="str">
        <f>IFERROR(__xludf.DUMMYFUNCTION("""COMPUTED_VALUE"""),"바나나 크림")</f>
        <v>바나나 크림</v>
      </c>
      <c r="B115" s="5" t="str">
        <f>IFERROR(__xludf.DUMMYFUNCTION("""COMPUTED_VALUE"""),"바나나 리큐르")</f>
        <v>바나나 리큐르</v>
      </c>
      <c r="C115" s="5" t="str">
        <f>IFERROR(__xludf.DUMMYFUNCTION("""COMPUTED_VALUE"""),"쉐이킹")</f>
        <v>쉐이킹</v>
      </c>
      <c r="D115" s="8">
        <f>IFERROR(__xludf.DUMMYFUNCTION("""COMPUTED_VALUE"""),0.0)</f>
        <v>0</v>
      </c>
      <c r="E115" s="5" t="str">
        <f>IFERROR(__xludf.DUMMYFUNCTION("""COMPUTED_VALUE"""),"바나나 리큐르 15ml, 카카오 리큐르 15ml, 베일리스 15ml, 크림 15ml")</f>
        <v>바나나 리큐르 15ml, 카카오 리큐르 15ml, 베일리스 15ml, 크림 15ml</v>
      </c>
      <c r="F115" s="5"/>
    </row>
    <row r="116">
      <c r="A116" s="5" t="str">
        <f>IFERROR(__xludf.DUMMYFUNCTION("""COMPUTED_VALUE"""),"바니 마더")</f>
        <v>바니 마더</v>
      </c>
      <c r="B116" s="5" t="str">
        <f>IFERROR(__xludf.DUMMYFUNCTION("""COMPUTED_VALUE"""),"보드카")</f>
        <v>보드카</v>
      </c>
      <c r="C116" s="5" t="str">
        <f>IFERROR(__xludf.DUMMYFUNCTION("""COMPUTED_VALUE"""),"쉐이킹")</f>
        <v>쉐이킹</v>
      </c>
      <c r="D116" s="8">
        <f>IFERROR(__xludf.DUMMYFUNCTION("""COMPUTED_VALUE"""),0.0)</f>
        <v>0</v>
      </c>
      <c r="E116" s="5" t="str">
        <f>IFERROR(__xludf.DUMMYFUNCTION("""COMPUTED_VALUE"""),"보드카 45ml, 오렌지 주스 30ml, 레몬즙 30ml, 심플시럽 2티스푼, 그레나딘 시럽 7.5ml 쉐이킹 후 트리플 섹 7.5ml 플로팅, 가니쉬 빨대")</f>
        <v>보드카 45ml, 오렌지 주스 30ml, 레몬즙 30ml, 심플시럽 2티스푼, 그레나딘 시럽 7.5ml 쉐이킹 후 트리플 섹 7.5ml 플로팅, 가니쉬 빨대</v>
      </c>
      <c r="F116" s="5"/>
    </row>
    <row r="117">
      <c r="A117" s="5" t="str">
        <f>IFERROR(__xludf.DUMMYFUNCTION("""COMPUTED_VALUE"""),"바니 마더2")</f>
        <v>바니 마더2</v>
      </c>
      <c r="B117" s="5" t="str">
        <f>IFERROR(__xludf.DUMMYFUNCTION("""COMPUTED_VALUE"""),"보드카")</f>
        <v>보드카</v>
      </c>
      <c r="C117" s="5" t="str">
        <f>IFERROR(__xludf.DUMMYFUNCTION("""COMPUTED_VALUE"""),"쉐이킹")</f>
        <v>쉐이킹</v>
      </c>
      <c r="D117" s="8">
        <f>IFERROR(__xludf.DUMMYFUNCTION("""COMPUTED_VALUE"""),0.0)</f>
        <v>0</v>
      </c>
      <c r="E117" s="5" t="str">
        <f>IFERROR(__xludf.DUMMYFUNCTION("""COMPUTED_VALUE"""),"보드카 45ml, 오렌지 주스 30ml, 레몬즙 30ml, 심플시럽 2티스푼, 그레나딘 시럽 7.5ml, 트리플 섹 7.5ml")</f>
        <v>보드카 45ml, 오렌지 주스 30ml, 레몬즙 30ml, 심플시럽 2티스푼, 그레나딘 시럽 7.5ml, 트리플 섹 7.5ml</v>
      </c>
      <c r="F117" s="5"/>
    </row>
    <row r="118">
      <c r="A118" s="5" t="str">
        <f>IFERROR(__xludf.DUMMYFUNCTION("""COMPUTED_VALUE"""),"바비 번즈")</f>
        <v>바비 번즈</v>
      </c>
      <c r="B118" s="5" t="str">
        <f>IFERROR(__xludf.DUMMYFUNCTION("""COMPUTED_VALUE"""),"위스키")</f>
        <v>위스키</v>
      </c>
      <c r="C118" s="5" t="str">
        <f>IFERROR(__xludf.DUMMYFUNCTION("""COMPUTED_VALUE"""),"스터")</f>
        <v>스터</v>
      </c>
      <c r="D118" s="8">
        <f>IFERROR(__xludf.DUMMYFUNCTION("""COMPUTED_VALUE"""),0.0)</f>
        <v>0</v>
      </c>
      <c r="E118" s="5" t="str">
        <f>IFERROR(__xludf.DUMMYFUNCTION("""COMPUTED_VALUE"""),"스카치 위스키 60ml, 스윗 베르뭇 23ml, 베네딕틴 15ml")</f>
        <v>스카치 위스키 60ml, 스윗 베르뭇 23ml, 베네딕틴 15ml</v>
      </c>
      <c r="F118" s="5"/>
    </row>
    <row r="119">
      <c r="A119" s="5" t="str">
        <f>IFERROR(__xludf.DUMMYFUNCTION("""COMPUTED_VALUE"""),"바카디")</f>
        <v>바카디</v>
      </c>
      <c r="B119" s="5" t="str">
        <f>IFERROR(__xludf.DUMMYFUNCTION("""COMPUTED_VALUE"""),"럼")</f>
        <v>럼</v>
      </c>
      <c r="C119" s="5" t="str">
        <f>IFERROR(__xludf.DUMMYFUNCTION("""COMPUTED_VALUE"""),"쉐이킹")</f>
        <v>쉐이킹</v>
      </c>
      <c r="D119" s="8">
        <f>IFERROR(__xludf.DUMMYFUNCTION("""COMPUTED_VALUE"""),0.0)</f>
        <v>0</v>
      </c>
      <c r="E119" s="5" t="str">
        <f>IFERROR(__xludf.DUMMYFUNCTION("""COMPUTED_VALUE"""),"화이트 럼 45ml, 라임즙 20ml, 그레나딘 시럽 10ml")</f>
        <v>화이트 럼 45ml, 라임즙 20ml, 그레나딘 시럽 10ml</v>
      </c>
      <c r="F119" s="5"/>
    </row>
    <row r="120">
      <c r="A120" s="5" t="str">
        <f>IFERROR(__xludf.DUMMYFUNCTION("""COMPUTED_VALUE"""),"밴시")</f>
        <v>밴시</v>
      </c>
      <c r="B120" s="5" t="str">
        <f>IFERROR(__xludf.DUMMYFUNCTION("""COMPUTED_VALUE"""),"리큐르")</f>
        <v>리큐르</v>
      </c>
      <c r="C120" s="5" t="str">
        <f>IFERROR(__xludf.DUMMYFUNCTION("""COMPUTED_VALUE"""),"쉐이킹")</f>
        <v>쉐이킹</v>
      </c>
      <c r="D120" s="8">
        <f>IFERROR(__xludf.DUMMYFUNCTION("""COMPUTED_VALUE"""),0.0)</f>
        <v>0</v>
      </c>
      <c r="E120" s="5" t="str">
        <f>IFERROR(__xludf.DUMMYFUNCTION("""COMPUTED_VALUE"""),"바나나 리큐르 45ml, 크림 or 우유 30ml, 크렘 드 카카오 15ml")</f>
        <v>바나나 리큐르 45ml, 크림 or 우유 30ml, 크렘 드 카카오 15ml</v>
      </c>
      <c r="F120" s="5"/>
    </row>
    <row r="121">
      <c r="A121" s="5" t="str">
        <f>IFERROR(__xludf.DUMMYFUNCTION("""COMPUTED_VALUE"""),"발레 러스")</f>
        <v>발레 러스</v>
      </c>
      <c r="B121" s="5" t="str">
        <f>IFERROR(__xludf.DUMMYFUNCTION("""COMPUTED_VALUE"""),"보드카")</f>
        <v>보드카</v>
      </c>
      <c r="C121" s="5" t="str">
        <f>IFERROR(__xludf.DUMMYFUNCTION("""COMPUTED_VALUE"""),"빌드")</f>
        <v>빌드</v>
      </c>
      <c r="D121" s="8">
        <f>IFERROR(__xludf.DUMMYFUNCTION("""COMPUTED_VALUE"""),0.0)</f>
        <v>0</v>
      </c>
      <c r="E121" s="5" t="str">
        <f>IFERROR(__xludf.DUMMYFUNCTION("""COMPUTED_VALUE"""),"보드카 40ml, 카시스 15ml, 칼린스 90ml(향이 첨가된 탄산수)")</f>
        <v>보드카 40ml, 카시스 15ml, 칼린스 90ml(향이 첨가된 탄산수)</v>
      </c>
      <c r="F121" s="5"/>
    </row>
    <row r="122">
      <c r="A122" s="5" t="str">
        <f>IFERROR(__xludf.DUMMYFUNCTION("""COMPUTED_VALUE"""),"발렌시아")</f>
        <v>발렌시아</v>
      </c>
      <c r="B122" s="5" t="str">
        <f>IFERROR(__xludf.DUMMYFUNCTION("""COMPUTED_VALUE"""),"디사론노")</f>
        <v>디사론노</v>
      </c>
      <c r="C122" s="5" t="str">
        <f>IFERROR(__xludf.DUMMYFUNCTION("""COMPUTED_VALUE"""),"쉐이킹")</f>
        <v>쉐이킹</v>
      </c>
      <c r="D122" s="8">
        <f>IFERROR(__xludf.DUMMYFUNCTION("""COMPUTED_VALUE"""),0.0)</f>
        <v>0</v>
      </c>
      <c r="E122" s="5" t="str">
        <f>IFERROR(__xludf.DUMMYFUNCTION("""COMPUTED_VALUE"""),"애프리콧 or 디사론노 45ml, 오렌지 주스 60ml, 비터 2대쉬")</f>
        <v>애프리콧 or 디사론노 45ml, 오렌지 주스 60ml, 비터 2대쉬</v>
      </c>
      <c r="F122" s="5"/>
    </row>
    <row r="123">
      <c r="A123" s="5" t="str">
        <f>IFERROR(__xludf.DUMMYFUNCTION("""COMPUTED_VALUE"""),"백만달러")</f>
        <v>백만달러</v>
      </c>
      <c r="B123" s="5" t="str">
        <f>IFERROR(__xludf.DUMMYFUNCTION("""COMPUTED_VALUE"""),"진")</f>
        <v>진</v>
      </c>
      <c r="C123" s="5" t="str">
        <f>IFERROR(__xludf.DUMMYFUNCTION("""COMPUTED_VALUE"""),"쉐이킹")</f>
        <v>쉐이킹</v>
      </c>
      <c r="D123" s="8">
        <f>IFERROR(__xludf.DUMMYFUNCTION("""COMPUTED_VALUE"""),0.0)</f>
        <v>0</v>
      </c>
      <c r="E123" s="5" t="str">
        <f>IFERROR(__xludf.DUMMYFUNCTION("""COMPUTED_VALUE"""),"진 45ml, 스윗 베르뭇 22.5ml, 파인애플 주스 60ml, 그레나딘 시럽 1티스푼, 계란흰자 1개")</f>
        <v>진 45ml, 스윗 베르뭇 22.5ml, 파인애플 주스 60ml, 그레나딘 시럽 1티스푼, 계란흰자 1개</v>
      </c>
      <c r="F123" s="5"/>
    </row>
    <row r="124">
      <c r="A124" s="5" t="str">
        <f>IFERROR(__xludf.DUMMYFUNCTION("""COMPUTED_VALUE"""),"뱀부")</f>
        <v>뱀부</v>
      </c>
      <c r="B124" s="5" t="str">
        <f>IFERROR(__xludf.DUMMYFUNCTION("""COMPUTED_VALUE"""),"와인")</f>
        <v>와인</v>
      </c>
      <c r="C124" s="5" t="str">
        <f>IFERROR(__xludf.DUMMYFUNCTION("""COMPUTED_VALUE"""),"스터")</f>
        <v>스터</v>
      </c>
      <c r="D124" s="8">
        <f>IFERROR(__xludf.DUMMYFUNCTION("""COMPUTED_VALUE"""),0.0)</f>
        <v>0</v>
      </c>
      <c r="E124" s="5" t="str">
        <f>IFERROR(__xludf.DUMMYFUNCTION("""COMPUTED_VALUE"""),"드라이 셰리 60ml, 드라이 베르뭇 30ml, 오렌지 비터 2대쉬")</f>
        <v>드라이 셰리 60ml, 드라이 베르뭇 30ml, 오렌지 비터 2대쉬</v>
      </c>
      <c r="F124" s="5"/>
    </row>
    <row r="125">
      <c r="A125" s="5" t="str">
        <f>IFERROR(__xludf.DUMMYFUNCTION("""COMPUTED_VALUE"""),"뱀파이어 키스")</f>
        <v>뱀파이어 키스</v>
      </c>
      <c r="B125" s="5" t="str">
        <f>IFERROR(__xludf.DUMMYFUNCTION("""COMPUTED_VALUE"""),"혼합")</f>
        <v>혼합</v>
      </c>
      <c r="C125" s="5" t="str">
        <f>IFERROR(__xludf.DUMMYFUNCTION("""COMPUTED_VALUE"""),"쉐이킹")</f>
        <v>쉐이킹</v>
      </c>
      <c r="D125" s="8">
        <f>IFERROR(__xludf.DUMMYFUNCTION("""COMPUTED_VALUE"""),0.0)</f>
        <v>0</v>
      </c>
      <c r="E125" s="5" t="str">
        <f>IFERROR(__xludf.DUMMYFUNCTION("""COMPUTED_VALUE"""),"멜론 리큐르 15ml, 크림 37.5ml, 보드카 22.5ml, 파인애플 주스 75ml, 쉐이킹 후 그레나딘 시럽을 뿌려주고, 그 위에 드리즐해준다.")</f>
        <v>멜론 리큐르 15ml, 크림 37.5ml, 보드카 22.5ml, 파인애플 주스 75ml, 쉐이킹 후 그레나딘 시럽을 뿌려주고, 그 위에 드리즐해준다.</v>
      </c>
      <c r="F125" s="5"/>
    </row>
    <row r="126">
      <c r="A126" s="5" t="str">
        <f>IFERROR(__xludf.DUMMYFUNCTION("""COMPUTED_VALUE"""),"버뮤다 헌드레드")</f>
        <v>버뮤다 헌드레드</v>
      </c>
      <c r="B126" s="5" t="str">
        <f>IFERROR(__xludf.DUMMYFUNCTION("""COMPUTED_VALUE"""),"진")</f>
        <v>진</v>
      </c>
      <c r="C126" s="5" t="str">
        <f>IFERROR(__xludf.DUMMYFUNCTION("""COMPUTED_VALUE"""),"쉐이킹")</f>
        <v>쉐이킹</v>
      </c>
      <c r="D126" s="8">
        <f>IFERROR(__xludf.DUMMYFUNCTION("""COMPUTED_VALUE"""),0.0)</f>
        <v>0</v>
      </c>
      <c r="E126" s="5" t="str">
        <f>IFERROR(__xludf.DUMMYFUNCTION("""COMPUTED_VALUE"""),"진 30ml, 캄파리 23ml, 라임즙 15ml, 파인애플 주스 45ml, 오르쟈 15ml")</f>
        <v>진 30ml, 캄파리 23ml, 라임즙 15ml, 파인애플 주스 45ml, 오르쟈 15ml</v>
      </c>
      <c r="F126" s="5"/>
    </row>
    <row r="127">
      <c r="A127" s="5" t="str">
        <f>IFERROR(__xludf.DUMMYFUNCTION("""COMPUTED_VALUE"""),"버번 리뉴얼")</f>
        <v>버번 리뉴얼</v>
      </c>
      <c r="B127" s="5" t="str">
        <f>IFERROR(__xludf.DUMMYFUNCTION("""COMPUTED_VALUE"""),"버번")</f>
        <v>버번</v>
      </c>
      <c r="C127" s="5" t="str">
        <f>IFERROR(__xludf.DUMMYFUNCTION("""COMPUTED_VALUE"""),"쉐이킹")</f>
        <v>쉐이킹</v>
      </c>
      <c r="D127" s="8">
        <f>IFERROR(__xludf.DUMMYFUNCTION("""COMPUTED_VALUE"""),0.0)</f>
        <v>0</v>
      </c>
      <c r="E127" s="5" t="str">
        <f>IFERROR(__xludf.DUMMYFUNCTION("""COMPUTED_VALUE"""),"버번 위스키 60ml, 레몬즙 30ml, 카시스 15ml, 심플시럽 15ml, 앙고스투라 비터 1대쉬, 가니쉬 레몬 웻지")</f>
        <v>버번 위스키 60ml, 레몬즙 30ml, 카시스 15ml, 심플시럽 15ml, 앙고스투라 비터 1대쉬, 가니쉬 레몬 웻지</v>
      </c>
      <c r="F127" s="5"/>
    </row>
    <row r="128">
      <c r="A128" s="5" t="str">
        <f>IFERROR(__xludf.DUMMYFUNCTION("""COMPUTED_VALUE"""),"버번 리프트")</f>
        <v>버번 리프트</v>
      </c>
      <c r="B128" s="5" t="str">
        <f>IFERROR(__xludf.DUMMYFUNCTION("""COMPUTED_VALUE"""),"버번")</f>
        <v>버번</v>
      </c>
      <c r="C128" s="5" t="str">
        <f>IFERROR(__xludf.DUMMYFUNCTION("""COMPUTED_VALUE"""),"쉐이킹")</f>
        <v>쉐이킹</v>
      </c>
      <c r="D128" s="8">
        <f>IFERROR(__xludf.DUMMYFUNCTION("""COMPUTED_VALUE"""),0.0)</f>
        <v>0</v>
      </c>
      <c r="E128" s="5" t="str">
        <f>IFERROR(__xludf.DUMMYFUNCTION("""COMPUTED_VALUE"""),"버번 위스키 45ml, 오르쟈 시럽 15ml, 헤비 휘핑 크림 15ml, 커피 리큐르 15ml, 쉐이킹 후 탄산수 90ml")</f>
        <v>버번 위스키 45ml, 오르쟈 시럽 15ml, 헤비 휘핑 크림 15ml, 커피 리큐르 15ml, 쉐이킹 후 탄산수 90ml</v>
      </c>
      <c r="F128" s="5"/>
    </row>
    <row r="129">
      <c r="A129" s="5" t="str">
        <f>IFERROR(__xludf.DUMMYFUNCTION("""COMPUTED_VALUE"""),"버번 토닉")</f>
        <v>버번 토닉</v>
      </c>
      <c r="B129" s="5" t="str">
        <f>IFERROR(__xludf.DUMMYFUNCTION("""COMPUTED_VALUE"""),"버번")</f>
        <v>버번</v>
      </c>
      <c r="C129" s="5" t="str">
        <f>IFERROR(__xludf.DUMMYFUNCTION("""COMPUTED_VALUE"""),"빌드")</f>
        <v>빌드</v>
      </c>
      <c r="D129" s="8">
        <f>IFERROR(__xludf.DUMMYFUNCTION("""COMPUTED_VALUE"""),0.0)</f>
        <v>0</v>
      </c>
      <c r="E129" s="5" t="str">
        <f>IFERROR(__xludf.DUMMYFUNCTION("""COMPUTED_VALUE"""),"버번 위스키 60ml, 탄산수 60ml, 앙고스투라 비터 2~3대쉬")</f>
        <v>버번 위스키 60ml, 탄산수 60ml, 앙고스투라 비터 2~3대쉬</v>
      </c>
      <c r="F129" s="5"/>
    </row>
    <row r="130">
      <c r="A130" s="5" t="str">
        <f>IFERROR(__xludf.DUMMYFUNCTION("""COMPUTED_VALUE"""),"버블 껌 보이 샷")</f>
        <v>버블 껌 보이 샷</v>
      </c>
      <c r="B130" s="5"/>
      <c r="C130" s="5" t="str">
        <f>IFERROR(__xludf.DUMMYFUNCTION("""COMPUTED_VALUE"""),"플로팅")</f>
        <v>플로팅</v>
      </c>
      <c r="D130" s="8">
        <f>IFERROR(__xludf.DUMMYFUNCTION("""COMPUTED_VALUE"""),0.0)</f>
        <v>0</v>
      </c>
      <c r="E130" s="5" t="str">
        <f>IFERROR(__xludf.DUMMYFUNCTION("""COMPUTED_VALUE"""),"바나나 리큐르 15ml, 블루 큐라소 15ml, 베일리스 15ml")</f>
        <v>바나나 리큐르 15ml, 블루 큐라소 15ml, 베일리스 15ml</v>
      </c>
      <c r="F130" s="5"/>
    </row>
    <row r="131">
      <c r="A131" s="5" t="str">
        <f>IFERROR(__xludf.DUMMYFUNCTION("""COMPUTED_VALUE"""),"버진 키스")</f>
        <v>버진 키스</v>
      </c>
      <c r="B131" s="5" t="str">
        <f>IFERROR(__xludf.DUMMYFUNCTION("""COMPUTED_VALUE"""),"럼")</f>
        <v>럼</v>
      </c>
      <c r="C131" s="5" t="str">
        <f>IFERROR(__xludf.DUMMYFUNCTION("""COMPUTED_VALUE"""),"쉐이킹")</f>
        <v>쉐이킹</v>
      </c>
      <c r="D131" s="8">
        <f>IFERROR(__xludf.DUMMYFUNCTION("""COMPUTED_VALUE"""),0.0)</f>
        <v>0</v>
      </c>
      <c r="E131" s="5" t="str">
        <f>IFERROR(__xludf.DUMMYFUNCTION("""COMPUTED_VALUE"""),"다크럼 40ml, 갈리아노 10ml, 애프리콧 브랜디 10ml, 레몬즙 15ml, 파인애플 주스 30ml")</f>
        <v>다크럼 40ml, 갈리아노 10ml, 애프리콧 브랜디 10ml, 레몬즙 15ml, 파인애플 주스 30ml</v>
      </c>
      <c r="F131" s="5"/>
    </row>
    <row r="132">
      <c r="A132" s="5" t="str">
        <f>IFERROR(__xludf.DUMMYFUNCTION("""COMPUTED_VALUE"""),"베넷")</f>
        <v>베넷</v>
      </c>
      <c r="B132" s="5" t="str">
        <f>IFERROR(__xludf.DUMMYFUNCTION("""COMPUTED_VALUE"""),"진")</f>
        <v>진</v>
      </c>
      <c r="C132" s="5" t="str">
        <f>IFERROR(__xludf.DUMMYFUNCTION("""COMPUTED_VALUE"""),"쉐이킹")</f>
        <v>쉐이킹</v>
      </c>
      <c r="D132" s="8">
        <f>IFERROR(__xludf.DUMMYFUNCTION("""COMPUTED_VALUE"""),0.0)</f>
        <v>0</v>
      </c>
      <c r="E132" s="5" t="str">
        <f>IFERROR(__xludf.DUMMYFUNCTION("""COMPUTED_VALUE"""),"진 60ml, 라임즙 30ml, 심플시럽 15ml, 앙고스투라 비터 1대쉬")</f>
        <v>진 60ml, 라임즙 30ml, 심플시럽 15ml, 앙고스투라 비터 1대쉬</v>
      </c>
      <c r="F132" s="5"/>
    </row>
    <row r="133">
      <c r="A133" s="5" t="str">
        <f>IFERROR(__xludf.DUMMYFUNCTION("""COMPUTED_VALUE"""),"베이 브리즈")</f>
        <v>베이 브리즈</v>
      </c>
      <c r="B133" s="5" t="str">
        <f>IFERROR(__xludf.DUMMYFUNCTION("""COMPUTED_VALUE"""),"럼")</f>
        <v>럼</v>
      </c>
      <c r="C133" s="5" t="str">
        <f>IFERROR(__xludf.DUMMYFUNCTION("""COMPUTED_VALUE"""),"빌드")</f>
        <v>빌드</v>
      </c>
      <c r="D133" s="8">
        <f>IFERROR(__xludf.DUMMYFUNCTION("""COMPUTED_VALUE"""),0.0)</f>
        <v>0</v>
      </c>
      <c r="E133" s="5" t="str">
        <f>IFERROR(__xludf.DUMMYFUNCTION("""COMPUTED_VALUE"""),"화이트 럼 60ml, 크렌베리 주스 45ml, 파인애플 주스 45ml")</f>
        <v>화이트 럼 60ml, 크렌베리 주스 45ml, 파인애플 주스 45ml</v>
      </c>
      <c r="F133" s="5"/>
    </row>
    <row r="134">
      <c r="A134" s="5" t="str">
        <f>IFERROR(__xludf.DUMMYFUNCTION("""COMPUTED_VALUE"""),"베일리스 캔디케인")</f>
        <v>베일리스 캔디케인</v>
      </c>
      <c r="B134" s="5" t="str">
        <f>IFERROR(__xludf.DUMMYFUNCTION("""COMPUTED_VALUE"""),"혼합")</f>
        <v>혼합</v>
      </c>
      <c r="C134" s="5" t="str">
        <f>IFERROR(__xludf.DUMMYFUNCTION("""COMPUTED_VALUE"""),"쉐이킹")</f>
        <v>쉐이킹</v>
      </c>
      <c r="D134" s="8">
        <f>IFERROR(__xludf.DUMMYFUNCTION("""COMPUTED_VALUE"""),0.0)</f>
        <v>0</v>
      </c>
      <c r="E134" s="5" t="str">
        <f>IFERROR(__xludf.DUMMYFUNCTION("""COMPUTED_VALUE"""),"베일리스 30ml, 카카오 리큐르 30ml, 민트 리큐르 15ml")</f>
        <v>베일리스 30ml, 카카오 리큐르 30ml, 민트 리큐르 15ml</v>
      </c>
      <c r="F134" s="5"/>
    </row>
    <row r="135">
      <c r="A135" s="5" t="str">
        <f>IFERROR(__xludf.DUMMYFUNCTION("""COMPUTED_VALUE"""),"벨리니 사워")</f>
        <v>벨리니 사워</v>
      </c>
      <c r="B135" s="5" t="str">
        <f>IFERROR(__xludf.DUMMYFUNCTION("""COMPUTED_VALUE"""),"와인")</f>
        <v>와인</v>
      </c>
      <c r="C135" s="5" t="str">
        <f>IFERROR(__xludf.DUMMYFUNCTION("""COMPUTED_VALUE"""),"쉐이킹")</f>
        <v>쉐이킹</v>
      </c>
      <c r="D135" s="8">
        <f>IFERROR(__xludf.DUMMYFUNCTION("""COMPUTED_VALUE"""),0.0)</f>
        <v>0</v>
      </c>
      <c r="E135" s="5" t="str">
        <f>IFERROR(__xludf.DUMMYFUNCTION("""COMPUTED_VALUE"""),"벨리니 100ml, 보드카 30ml, 레몬 or 라임 슬라이스")</f>
        <v>벨리니 100ml, 보드카 30ml, 레몬 or 라임 슬라이스</v>
      </c>
      <c r="F135" s="5"/>
    </row>
    <row r="136">
      <c r="A136" s="5" t="str">
        <f>IFERROR(__xludf.DUMMYFUNCTION("""COMPUTED_VALUE"""),"벨벳 해머")</f>
        <v>벨벳 해머</v>
      </c>
      <c r="B136" s="5" t="str">
        <f>IFERROR(__xludf.DUMMYFUNCTION("""COMPUTED_VALUE"""),"리큐르")</f>
        <v>리큐르</v>
      </c>
      <c r="C136" s="5" t="str">
        <f>IFERROR(__xludf.DUMMYFUNCTION("""COMPUTED_VALUE"""),"쉐이킹")</f>
        <v>쉐이킹</v>
      </c>
      <c r="D136" s="8">
        <f>IFERROR(__xludf.DUMMYFUNCTION("""COMPUTED_VALUE"""),0.0)</f>
        <v>0</v>
      </c>
      <c r="E136" s="5" t="str">
        <f>IFERROR(__xludf.DUMMYFUNCTION("""COMPUTED_VALUE"""),"트리플 섹 30ml, 크렘 드 카카오 화이트 30ml, 그레나딘 시럽 1티스푼, 크림 30ml")</f>
        <v>트리플 섹 30ml, 크렘 드 카카오 화이트 30ml, 그레나딘 시럽 1티스푼, 크림 30ml</v>
      </c>
      <c r="F136" s="5"/>
    </row>
    <row r="137">
      <c r="A137" s="5" t="str">
        <f>IFERROR(__xludf.DUMMYFUNCTION("""COMPUTED_VALUE"""),"보드카 썬라이즈")</f>
        <v>보드카 썬라이즈</v>
      </c>
      <c r="B137" s="5" t="str">
        <f>IFERROR(__xludf.DUMMYFUNCTION("""COMPUTED_VALUE"""),"보드카")</f>
        <v>보드카</v>
      </c>
      <c r="C137" s="5" t="str">
        <f>IFERROR(__xludf.DUMMYFUNCTION("""COMPUTED_VALUE"""),"빌드")</f>
        <v>빌드</v>
      </c>
      <c r="D137" s="8">
        <f>IFERROR(__xludf.DUMMYFUNCTION("""COMPUTED_VALUE"""),0.0)</f>
        <v>0</v>
      </c>
      <c r="E137" s="5" t="str">
        <f>IFERROR(__xludf.DUMMYFUNCTION("""COMPUTED_VALUE"""),"보드카 45ml, 오렌지 주스 140ml, 그레나딘 시럽 1티스푼")</f>
        <v>보드카 45ml, 오렌지 주스 140ml, 그레나딘 시럽 1티스푼</v>
      </c>
      <c r="F137" s="5"/>
    </row>
    <row r="138">
      <c r="A138" s="5" t="str">
        <f>IFERROR(__xludf.DUMMYFUNCTION("""COMPUTED_VALUE"""),"보드카피즈")</f>
        <v>보드카피즈</v>
      </c>
      <c r="B138" s="5" t="str">
        <f>IFERROR(__xludf.DUMMYFUNCTION("""COMPUTED_VALUE"""),"보드카")</f>
        <v>보드카</v>
      </c>
      <c r="C138" s="5" t="str">
        <f>IFERROR(__xludf.DUMMYFUNCTION("""COMPUTED_VALUE"""),"쉐이킹")</f>
        <v>쉐이킹</v>
      </c>
      <c r="D138" s="8">
        <f>IFERROR(__xludf.DUMMYFUNCTION("""COMPUTED_VALUE"""),0.0)</f>
        <v>0</v>
      </c>
      <c r="E138" s="5" t="str">
        <f>IFERROR(__xludf.DUMMYFUNCTION("""COMPUTED_VALUE"""),"보드카 45ml, 설탕 2티스푼, 레몬즙 20ml, 탄산수 풀업, 레몬 슬라이스")</f>
        <v>보드카 45ml, 설탕 2티스푼, 레몬즙 20ml, 탄산수 풀업, 레몬 슬라이스</v>
      </c>
      <c r="F138" s="5"/>
    </row>
    <row r="139">
      <c r="A139" s="5" t="str">
        <f>IFERROR(__xludf.DUMMYFUNCTION("""COMPUTED_VALUE"""),"보스턴 티파티")</f>
        <v>보스턴 티파티</v>
      </c>
      <c r="B139" s="5" t="str">
        <f>IFERROR(__xludf.DUMMYFUNCTION("""COMPUTED_VALUE"""),"혼합")</f>
        <v>혼합</v>
      </c>
      <c r="C139" s="5" t="str">
        <f>IFERROR(__xludf.DUMMYFUNCTION("""COMPUTED_VALUE"""),"쉐이킹")</f>
        <v>쉐이킹</v>
      </c>
      <c r="D139" s="8">
        <f>IFERROR(__xludf.DUMMYFUNCTION("""COMPUTED_VALUE"""),0.0)</f>
        <v>0</v>
      </c>
      <c r="E139" s="5" t="str">
        <f>IFERROR(__xludf.DUMMYFUNCTION("""COMPUTED_VALUE"""),"럼 15ml, 진 15ml, 보드카 15ml, 데낄라 15ml, 트리플섹 15ml, 라임즙 15ml, 사워믹스 60ml, 깔루아 15ml(쉐이킹 후)")</f>
        <v>럼 15ml, 진 15ml, 보드카 15ml, 데낄라 15ml, 트리플섹 15ml, 라임즙 15ml, 사워믹스 60ml, 깔루아 15ml(쉐이킹 후)</v>
      </c>
      <c r="F139" s="5"/>
    </row>
    <row r="140">
      <c r="A140" s="5" t="str">
        <f>IFERROR(__xludf.DUMMYFUNCTION("""COMPUTED_VALUE"""),"보체 볼")</f>
        <v>보체 볼</v>
      </c>
      <c r="B140" s="5" t="str">
        <f>IFERROR(__xludf.DUMMYFUNCTION("""COMPUTED_VALUE"""),"보드카")</f>
        <v>보드카</v>
      </c>
      <c r="C140" s="5" t="str">
        <f>IFERROR(__xludf.DUMMYFUNCTION("""COMPUTED_VALUE"""),"빌드")</f>
        <v>빌드</v>
      </c>
      <c r="D140" s="8">
        <f>IFERROR(__xludf.DUMMYFUNCTION("""COMPUTED_VALUE"""),0.0)</f>
        <v>0</v>
      </c>
      <c r="E140" s="5" t="str">
        <f>IFERROR(__xludf.DUMMYFUNCTION("""COMPUTED_VALUE"""),"보드카 60ml, 아마레또 30ml, 오렌지 주스 120ml")</f>
        <v>보드카 60ml, 아마레또 30ml, 오렌지 주스 120ml</v>
      </c>
      <c r="F140" s="5"/>
    </row>
    <row r="141">
      <c r="A141" s="5" t="str">
        <f>IFERROR(__xludf.DUMMYFUNCTION("""COMPUTED_VALUE"""),"보치 볼")</f>
        <v>보치 볼</v>
      </c>
      <c r="B141" s="5" t="str">
        <f>IFERROR(__xludf.DUMMYFUNCTION("""COMPUTED_VALUE"""),"아마레또")</f>
        <v>아마레또</v>
      </c>
      <c r="C141" s="5" t="str">
        <f>IFERROR(__xludf.DUMMYFUNCTION("""COMPUTED_VALUE"""),"빌드")</f>
        <v>빌드</v>
      </c>
      <c r="D141" s="8">
        <f>IFERROR(__xludf.DUMMYFUNCTION("""COMPUTED_VALUE"""),0.0)</f>
        <v>0</v>
      </c>
      <c r="E141" s="5" t="str">
        <f>IFERROR(__xludf.DUMMYFUNCTION("""COMPUTED_VALUE"""),"아마레또 30ml, 오렌지 주스 30ml, 탄산수 45ml")</f>
        <v>아마레또 30ml, 오렌지 주스 30ml, 탄산수 45ml</v>
      </c>
      <c r="F141" s="5"/>
    </row>
    <row r="142">
      <c r="A142" s="5" t="str">
        <f>IFERROR(__xludf.DUMMYFUNCTION("""COMPUTED_VALUE"""),"볼레로")</f>
        <v>볼레로</v>
      </c>
      <c r="B142" s="5" t="str">
        <f>IFERROR(__xludf.DUMMYFUNCTION("""COMPUTED_VALUE"""),"혼합")</f>
        <v>혼합</v>
      </c>
      <c r="C142" s="5" t="str">
        <f>IFERROR(__xludf.DUMMYFUNCTION("""COMPUTED_VALUE"""),"쉐이킹")</f>
        <v>쉐이킹</v>
      </c>
      <c r="D142" s="8">
        <f>IFERROR(__xludf.DUMMYFUNCTION("""COMPUTED_VALUE"""),0.0)</f>
        <v>0</v>
      </c>
      <c r="E142" s="5" t="str">
        <f>IFERROR(__xludf.DUMMYFUNCTION("""COMPUTED_VALUE"""),"다크럼 30ml, 브랜디 or 꼬냑 30ml, 오렌지 주스 15ml, 라임즙 30ml, 심플 시럽 15ml")</f>
        <v>다크럼 30ml, 브랜디 or 꼬냑 30ml, 오렌지 주스 15ml, 라임즙 30ml, 심플 시럽 15ml</v>
      </c>
      <c r="F142" s="5"/>
    </row>
    <row r="143">
      <c r="A143" s="5" t="str">
        <f>IFERROR(__xludf.DUMMYFUNCTION("""COMPUTED_VALUE"""),"봄보")</f>
        <v>봄보</v>
      </c>
      <c r="B143" s="5" t="str">
        <f>IFERROR(__xludf.DUMMYFUNCTION("""COMPUTED_VALUE"""),"럼")</f>
        <v>럼</v>
      </c>
      <c r="C143" s="5" t="str">
        <f>IFERROR(__xludf.DUMMYFUNCTION("""COMPUTED_VALUE"""),"빌드")</f>
        <v>빌드</v>
      </c>
      <c r="D143" s="8">
        <f>IFERROR(__xludf.DUMMYFUNCTION("""COMPUTED_VALUE"""),0.0)</f>
        <v>0</v>
      </c>
      <c r="E143" s="5" t="str">
        <f>IFERROR(__xludf.DUMMYFUNCTION("""COMPUTED_VALUE"""),"럼 60ml, 계피 or 흑설탕 or 생강 시럽 1작은술, 물 30ml, 가니쉬 갈린 육두구")</f>
        <v>럼 60ml, 계피 or 흑설탕 or 생강 시럽 1작은술, 물 30ml, 가니쉬 갈린 육두구</v>
      </c>
      <c r="F143" s="5"/>
    </row>
    <row r="144">
      <c r="A144" s="5" t="str">
        <f>IFERROR(__xludf.DUMMYFUNCTION("""COMPUTED_VALUE"""),"불독 하이볼")</f>
        <v>불독 하이볼</v>
      </c>
      <c r="B144" s="5" t="str">
        <f>IFERROR(__xludf.DUMMYFUNCTION("""COMPUTED_VALUE"""),"진")</f>
        <v>진</v>
      </c>
      <c r="C144" s="5" t="str">
        <f>IFERROR(__xludf.DUMMYFUNCTION("""COMPUTED_VALUE"""),"빌드")</f>
        <v>빌드</v>
      </c>
      <c r="D144" s="8">
        <f>IFERROR(__xludf.DUMMYFUNCTION("""COMPUTED_VALUE"""),0.0)</f>
        <v>0</v>
      </c>
      <c r="E144" s="5" t="str">
        <f>IFERROR(__xludf.DUMMYFUNCTION("""COMPUTED_VALUE"""),"드라이 진 45ml, 오렌지 주스 15ml, 진저에일 풀업")</f>
        <v>드라이 진 45ml, 오렌지 주스 15ml, 진저에일 풀업</v>
      </c>
      <c r="F144" s="5"/>
    </row>
    <row r="145">
      <c r="A145" s="5" t="str">
        <f>IFERROR(__xludf.DUMMYFUNCTION("""COMPUTED_VALUE"""),"블루 사파이어2")</f>
        <v>블루 사파이어2</v>
      </c>
      <c r="B145" s="5" t="str">
        <f>IFERROR(__xludf.DUMMYFUNCTION("""COMPUTED_VALUE"""),"피치트리")</f>
        <v>피치트리</v>
      </c>
      <c r="C145" s="5" t="str">
        <f>IFERROR(__xludf.DUMMYFUNCTION("""COMPUTED_VALUE"""),"쉐이킹 or 빌드")</f>
        <v>쉐이킹 or 빌드</v>
      </c>
      <c r="D145" s="8">
        <f>IFERROR(__xludf.DUMMYFUNCTION("""COMPUTED_VALUE"""),0.0)</f>
        <v>0</v>
      </c>
      <c r="E145" s="5" t="str">
        <f>IFERROR(__xludf.DUMMYFUNCTION("""COMPUTED_VALUE"""),"피치트리 30ml, 말리부 15ml, 블루 큐라소 15ml, 라임즙 15ml, 사이다 풀업(쉐이킹 후)")</f>
        <v>피치트리 30ml, 말리부 15ml, 블루 큐라소 15ml, 라임즙 15ml, 사이다 풀업(쉐이킹 후)</v>
      </c>
      <c r="F145" s="5"/>
    </row>
    <row r="146">
      <c r="A146" s="5" t="str">
        <f>IFERROR(__xludf.DUMMYFUNCTION("""COMPUTED_VALUE"""),"불바디에")</f>
        <v>불바디에</v>
      </c>
      <c r="B146" s="5" t="str">
        <f>IFERROR(__xludf.DUMMYFUNCTION("""COMPUTED_VALUE"""),"버번")</f>
        <v>버번</v>
      </c>
      <c r="C146" s="5" t="str">
        <f>IFERROR(__xludf.DUMMYFUNCTION("""COMPUTED_VALUE"""),"빌드")</f>
        <v>빌드</v>
      </c>
      <c r="D146" s="8">
        <f>IFERROR(__xludf.DUMMYFUNCTION("""COMPUTED_VALUE"""),0.0)</f>
        <v>0</v>
      </c>
      <c r="E146" s="5" t="str">
        <f>IFERROR(__xludf.DUMMYFUNCTION("""COMPUTED_VALUE"""),"캄파리 30ml, 베르뭇 로쏘 30ml, 버번 위스키 30ml, 레몬 오일")</f>
        <v>캄파리 30ml, 베르뭇 로쏘 30ml, 버번 위스키 30ml, 레몬 오일</v>
      </c>
      <c r="F146" s="5"/>
    </row>
    <row r="147">
      <c r="A147" s="5" t="str">
        <f>IFERROR(__xludf.DUMMYFUNCTION("""COMPUTED_VALUE"""),"뷰모트")</f>
        <v>뷰모트</v>
      </c>
      <c r="B147" s="5" t="str">
        <f>IFERROR(__xludf.DUMMYFUNCTION("""COMPUTED_VALUE"""),"진")</f>
        <v>진</v>
      </c>
      <c r="C147" s="5" t="str">
        <f>IFERROR(__xludf.DUMMYFUNCTION("""COMPUTED_VALUE"""),"쉐이킹")</f>
        <v>쉐이킹</v>
      </c>
      <c r="D147" s="8">
        <f>IFERROR(__xludf.DUMMYFUNCTION("""COMPUTED_VALUE"""),0.0)</f>
        <v>0</v>
      </c>
      <c r="E147" s="5" t="str">
        <f>IFERROR(__xludf.DUMMYFUNCTION("""COMPUTED_VALUE"""),"진 45ml, 생제르맹 23ml, 레몬즙 23ml, 시럽 8ml")</f>
        <v>진 45ml, 생제르맹 23ml, 레몬즙 23ml, 시럽 8ml</v>
      </c>
      <c r="F147" s="5"/>
    </row>
    <row r="148">
      <c r="A148" s="5" t="str">
        <f>IFERROR(__xludf.DUMMYFUNCTION("""COMPUTED_VALUE"""),"브라운 다이아몬드")</f>
        <v>브라운 다이아몬드</v>
      </c>
      <c r="B148" s="5" t="str">
        <f>IFERROR(__xludf.DUMMYFUNCTION("""COMPUTED_VALUE"""),"럼")</f>
        <v>럼</v>
      </c>
      <c r="C148" s="5" t="str">
        <f>IFERROR(__xludf.DUMMYFUNCTION("""COMPUTED_VALUE"""),"빌드")</f>
        <v>빌드</v>
      </c>
      <c r="D148" s="8">
        <f>IFERROR(__xludf.DUMMYFUNCTION("""COMPUTED_VALUE"""),0.0)</f>
        <v>0</v>
      </c>
      <c r="E148" s="5" t="str">
        <f>IFERROR(__xludf.DUMMYFUNCTION("""COMPUTED_VALUE"""),"다크 럼 30ml, 스윗 셰리 와인 22.5ml, 진저비어 필업")</f>
        <v>다크 럼 30ml, 스윗 셰리 와인 22.5ml, 진저비어 필업</v>
      </c>
      <c r="F148" s="5"/>
    </row>
    <row r="149">
      <c r="A149" s="5" t="str">
        <f>IFERROR(__xludf.DUMMYFUNCTION("""COMPUTED_VALUE"""),"브람블")</f>
        <v>브람블</v>
      </c>
      <c r="B149" s="5" t="str">
        <f>IFERROR(__xludf.DUMMYFUNCTION("""COMPUTED_VALUE"""),"진")</f>
        <v>진</v>
      </c>
      <c r="C149" s="5" t="str">
        <f>IFERROR(__xludf.DUMMYFUNCTION("""COMPUTED_VALUE"""),"쉐이킹")</f>
        <v>쉐이킹</v>
      </c>
      <c r="D149" s="8">
        <f>IFERROR(__xludf.DUMMYFUNCTION("""COMPUTED_VALUE"""),0.0)</f>
        <v>0</v>
      </c>
      <c r="E149" s="5" t="str">
        <f>IFERROR(__xludf.DUMMYFUNCTION("""COMPUTED_VALUE"""),"진 45ml, 레몬즙 22.5ml, 심플시럽 15ml, 쉐이킹 후 카시스 22.5ml")</f>
        <v>진 45ml, 레몬즙 22.5ml, 심플시럽 15ml, 쉐이킹 후 카시스 22.5ml</v>
      </c>
      <c r="F149" s="5"/>
    </row>
    <row r="150">
      <c r="A150" s="5" t="str">
        <f>IFERROR(__xludf.DUMMYFUNCTION("""COMPUTED_VALUE"""),"브랑코 버스터")</f>
        <v>브랑코 버스터</v>
      </c>
      <c r="B150" s="5" t="str">
        <f>IFERROR(__xludf.DUMMYFUNCTION("""COMPUTED_VALUE"""),"혼합")</f>
        <v>혼합</v>
      </c>
      <c r="C150" s="5" t="str">
        <f>IFERROR(__xludf.DUMMYFUNCTION("""COMPUTED_VALUE"""),"쉐이킹")</f>
        <v>쉐이킹</v>
      </c>
      <c r="D150" s="8">
        <f>IFERROR(__xludf.DUMMYFUNCTION("""COMPUTED_VALUE"""),0.0)</f>
        <v>0</v>
      </c>
      <c r="E150" s="5" t="str">
        <f>IFERROR(__xludf.DUMMYFUNCTION("""COMPUTED_VALUE"""),"애플 브랜디 30ml, 라이 or 버번 위스키 30ml, 레몬즙 22.5ml, 오렌지 큐라소 22.5ml, 심플시럽 약간(선택), 레몬 트위스트")</f>
        <v>애플 브랜디 30ml, 라이 or 버번 위스키 30ml, 레몬즙 22.5ml, 오렌지 큐라소 22.5ml, 심플시럽 약간(선택), 레몬 트위스트</v>
      </c>
      <c r="F150" s="5"/>
    </row>
    <row r="151">
      <c r="A151" s="5" t="str">
        <f>IFERROR(__xludf.DUMMYFUNCTION("""COMPUTED_VALUE"""),"브랜디 소다")</f>
        <v>브랜디 소다</v>
      </c>
      <c r="B151" s="5" t="str">
        <f>IFERROR(__xludf.DUMMYFUNCTION("""COMPUTED_VALUE"""),"브랜디")</f>
        <v>브랜디</v>
      </c>
      <c r="C151" s="5" t="str">
        <f>IFERROR(__xludf.DUMMYFUNCTION("""COMPUTED_VALUE"""),"빌드")</f>
        <v>빌드</v>
      </c>
      <c r="D151" s="8">
        <f>IFERROR(__xludf.DUMMYFUNCTION("""COMPUTED_VALUE"""),0.0)</f>
        <v>0</v>
      </c>
      <c r="E151" s="5" t="str">
        <f>IFERROR(__xludf.DUMMYFUNCTION("""COMPUTED_VALUE"""),"브랜디 60ml, 탄산수 120ml")</f>
        <v>브랜디 60ml, 탄산수 120ml</v>
      </c>
      <c r="F151" s="5"/>
    </row>
    <row r="152">
      <c r="A152" s="5" t="str">
        <f>IFERROR(__xludf.DUMMYFUNCTION("""COMPUTED_VALUE"""),"브랜디 플립")</f>
        <v>브랜디 플립</v>
      </c>
      <c r="B152" s="5" t="str">
        <f>IFERROR(__xludf.DUMMYFUNCTION("""COMPUTED_VALUE"""),"브랜디")</f>
        <v>브랜디</v>
      </c>
      <c r="C152" s="5" t="str">
        <f>IFERROR(__xludf.DUMMYFUNCTION("""COMPUTED_VALUE"""),"쉐이킹")</f>
        <v>쉐이킹</v>
      </c>
      <c r="D152" s="8">
        <f>IFERROR(__xludf.DUMMYFUNCTION("""COMPUTED_VALUE"""),0.0)</f>
        <v>0</v>
      </c>
      <c r="E152" s="5" t="str">
        <f>IFERROR(__xludf.DUMMYFUNCTION("""COMPUTED_VALUE"""),"브랜디 45ml, 설탕 1티수푼, 라이트 크림 2티스푼, 계란 1개, 가니쉬로 너트맥 가루")</f>
        <v>브랜디 45ml, 설탕 1티수푼, 라이트 크림 2티스푼, 계란 1개, 가니쉬로 너트맥 가루</v>
      </c>
      <c r="F152" s="5"/>
    </row>
    <row r="153">
      <c r="A153" s="5" t="str">
        <f>IFERROR(__xludf.DUMMYFUNCTION("""COMPUTED_VALUE"""),"브레이브 불")</f>
        <v>브레이브 불</v>
      </c>
      <c r="B153" s="5" t="str">
        <f>IFERROR(__xludf.DUMMYFUNCTION("""COMPUTED_VALUE"""),"데낄라")</f>
        <v>데낄라</v>
      </c>
      <c r="C153" s="5" t="str">
        <f>IFERROR(__xludf.DUMMYFUNCTION("""COMPUTED_VALUE"""),"빌드")</f>
        <v>빌드</v>
      </c>
      <c r="D153" s="8">
        <f>IFERROR(__xludf.DUMMYFUNCTION("""COMPUTED_VALUE"""),0.0)</f>
        <v>0</v>
      </c>
      <c r="E153" s="5" t="str">
        <f>IFERROR(__xludf.DUMMYFUNCTION("""COMPUTED_VALUE"""),"데낄라 40ml, 깔루아 20ml")</f>
        <v>데낄라 40ml, 깔루아 20ml</v>
      </c>
      <c r="F153" s="5"/>
    </row>
    <row r="154">
      <c r="A154" s="5" t="str">
        <f>IFERROR(__xludf.DUMMYFUNCTION("""COMPUTED_VALUE"""),"브롱스")</f>
        <v>브롱스</v>
      </c>
      <c r="B154" s="5" t="str">
        <f>IFERROR(__xludf.DUMMYFUNCTION("""COMPUTED_VALUE"""),"진")</f>
        <v>진</v>
      </c>
      <c r="C154" s="5" t="str">
        <f>IFERROR(__xludf.DUMMYFUNCTION("""COMPUTED_VALUE"""),"쉐이킹")</f>
        <v>쉐이킹</v>
      </c>
      <c r="D154" s="8">
        <f>IFERROR(__xludf.DUMMYFUNCTION("""COMPUTED_VALUE"""),0.0)</f>
        <v>0</v>
      </c>
      <c r="E154" s="5" t="str">
        <f>IFERROR(__xludf.DUMMYFUNCTION("""COMPUTED_VALUE"""),"진 60ml, 스윗 베르뭇 7.5ml, 드라이 베르뭇 7.5ml, 오렌지 주스 30ml, 오렌지 비터 2대쉬, 오렌지 웻지 or 트위스트 or 체리")</f>
        <v>진 60ml, 스윗 베르뭇 7.5ml, 드라이 베르뭇 7.5ml, 오렌지 주스 30ml, 오렌지 비터 2대쉬, 오렌지 웻지 or 트위스트 or 체리</v>
      </c>
      <c r="F154" s="5"/>
    </row>
    <row r="155">
      <c r="A155" s="5" t="str">
        <f>IFERROR(__xludf.DUMMYFUNCTION("""COMPUTED_VALUE"""),"블랙 러시안")</f>
        <v>블랙 러시안</v>
      </c>
      <c r="B155" s="5" t="str">
        <f>IFERROR(__xludf.DUMMYFUNCTION("""COMPUTED_VALUE"""),"깔루아")</f>
        <v>깔루아</v>
      </c>
      <c r="C155" s="5" t="str">
        <f>IFERROR(__xludf.DUMMYFUNCTION("""COMPUTED_VALUE"""),"빌드")</f>
        <v>빌드</v>
      </c>
      <c r="D155" s="8">
        <f>IFERROR(__xludf.DUMMYFUNCTION("""COMPUTED_VALUE"""),0.0)</f>
        <v>0</v>
      </c>
      <c r="E155" s="5" t="str">
        <f>IFERROR(__xludf.DUMMYFUNCTION("""COMPUTED_VALUE"""),"깔루아 30ml, 보드카 45ml")</f>
        <v>깔루아 30ml, 보드카 45ml</v>
      </c>
      <c r="F155" s="5"/>
    </row>
    <row r="156">
      <c r="A156" s="5" t="str">
        <f>IFERROR(__xludf.DUMMYFUNCTION("""COMPUTED_VALUE"""),"블랙 벨벳")</f>
        <v>블랙 벨벳</v>
      </c>
      <c r="B156" s="5" t="str">
        <f>IFERROR(__xludf.DUMMYFUNCTION("""COMPUTED_VALUE"""),"와인")</f>
        <v>와인</v>
      </c>
      <c r="C156" s="5" t="str">
        <f>IFERROR(__xludf.DUMMYFUNCTION("""COMPUTED_VALUE"""),"빌드")</f>
        <v>빌드</v>
      </c>
      <c r="D156" s="8">
        <f>IFERROR(__xludf.DUMMYFUNCTION("""COMPUTED_VALUE"""),0.0)</f>
        <v>0</v>
      </c>
      <c r="E156" s="5" t="str">
        <f>IFERROR(__xludf.DUMMYFUNCTION("""COMPUTED_VALUE"""),"스파클링 화이트 와인 120ml, 스타우트 30ml")</f>
        <v>스파클링 화이트 와인 120ml, 스타우트 30ml</v>
      </c>
      <c r="F156" s="5"/>
    </row>
    <row r="157">
      <c r="A157" s="5" t="str">
        <f>IFERROR(__xludf.DUMMYFUNCTION("""COMPUTED_VALUE"""),"블랙 앤 탄")</f>
        <v>블랙 앤 탄</v>
      </c>
      <c r="B157" s="5" t="str">
        <f>IFERROR(__xludf.DUMMYFUNCTION("""COMPUTED_VALUE"""),"맥주")</f>
        <v>맥주</v>
      </c>
      <c r="C157" s="5" t="str">
        <f>IFERROR(__xludf.DUMMYFUNCTION("""COMPUTED_VALUE"""),"빌드")</f>
        <v>빌드</v>
      </c>
      <c r="D157" s="8">
        <f>IFERROR(__xludf.DUMMYFUNCTION("""COMPUTED_VALUE"""),0.0)</f>
        <v>0</v>
      </c>
      <c r="E157" s="5" t="str">
        <f>IFERROR(__xludf.DUMMYFUNCTION("""COMPUTED_VALUE"""),"에일 맥주 240ml, 스타우트 맥주 240ml")</f>
        <v>에일 맥주 240ml, 스타우트 맥주 240ml</v>
      </c>
      <c r="F157" s="5"/>
    </row>
    <row r="158">
      <c r="A158" s="5" t="str">
        <f>IFERROR(__xludf.DUMMYFUNCTION("""COMPUTED_VALUE"""),"블랙 호크")</f>
        <v>블랙 호크</v>
      </c>
      <c r="B158" s="5" t="str">
        <f>IFERROR(__xludf.DUMMYFUNCTION("""COMPUTED_VALUE"""),"혼합")</f>
        <v>혼합</v>
      </c>
      <c r="C158" s="5" t="str">
        <f>IFERROR(__xludf.DUMMYFUNCTION("""COMPUTED_VALUE"""),"쉐이킹")</f>
        <v>쉐이킹</v>
      </c>
      <c r="D158" s="8">
        <f>IFERROR(__xludf.DUMMYFUNCTION("""COMPUTED_VALUE"""),0.0)</f>
        <v>0</v>
      </c>
      <c r="E158" s="5" t="str">
        <f>IFERROR(__xludf.DUMMYFUNCTION("""COMPUTED_VALUE"""),"버번 위스키 37.5ml, 슬로 진 37.5ml, 레몬즙 30ml")</f>
        <v>버번 위스키 37.5ml, 슬로 진 37.5ml, 레몬즙 30ml</v>
      </c>
      <c r="F158" s="5"/>
    </row>
    <row r="159">
      <c r="A159" s="5" t="str">
        <f>IFERROR(__xludf.DUMMYFUNCTION("""COMPUTED_VALUE"""),"블랙메탈")</f>
        <v>블랙메탈</v>
      </c>
      <c r="B159" s="5" t="str">
        <f>IFERROR(__xludf.DUMMYFUNCTION("""COMPUTED_VALUE"""),"다크럼")</f>
        <v>다크럼</v>
      </c>
      <c r="C159" s="5" t="str">
        <f>IFERROR(__xludf.DUMMYFUNCTION("""COMPUTED_VALUE"""),"빌드")</f>
        <v>빌드</v>
      </c>
      <c r="D159" s="8">
        <f>IFERROR(__xludf.DUMMYFUNCTION("""COMPUTED_VALUE"""),0.0)</f>
        <v>0</v>
      </c>
      <c r="E159" s="5" t="str">
        <f>IFERROR(__xludf.DUMMYFUNCTION("""COMPUTED_VALUE"""),"다크럼 30ml, 버번위스키 15ml, 깔루아 30ml")</f>
        <v>다크럼 30ml, 버번위스키 15ml, 깔루아 30ml</v>
      </c>
      <c r="F159" s="5"/>
    </row>
    <row r="160">
      <c r="A160" s="5" t="str">
        <f>IFERROR(__xludf.DUMMYFUNCTION("""COMPUTED_VALUE"""),"블랙잭")</f>
        <v>블랙잭</v>
      </c>
      <c r="B160" s="5" t="str">
        <f>IFERROR(__xludf.DUMMYFUNCTION("""COMPUTED_VALUE"""),"꼬냑 or 브랜디")</f>
        <v>꼬냑 or 브랜디</v>
      </c>
      <c r="C160" s="5" t="str">
        <f>IFERROR(__xludf.DUMMYFUNCTION("""COMPUTED_VALUE"""),"쉐이킹")</f>
        <v>쉐이킹</v>
      </c>
      <c r="D160" s="8">
        <f>IFERROR(__xludf.DUMMYFUNCTION("""COMPUTED_VALUE"""),0.0)</f>
        <v>0</v>
      </c>
      <c r="E160" s="5" t="str">
        <f>IFERROR(__xludf.DUMMYFUNCTION("""COMPUTED_VALUE"""),"꼬냑 or 브랜디 45ml, 체리 브랜디 15ml, 아이스커피 15ml, 심플시럽 7.5ml, 가니쉬 체리 3개")</f>
        <v>꼬냑 or 브랜디 45ml, 체리 브랜디 15ml, 아이스커피 15ml, 심플시럽 7.5ml, 가니쉬 체리 3개</v>
      </c>
      <c r="F160" s="5"/>
    </row>
    <row r="161">
      <c r="A161" s="5" t="str">
        <f>IFERROR(__xludf.DUMMYFUNCTION("""COMPUTED_VALUE"""),"블랙홀")</f>
        <v>블랙홀</v>
      </c>
      <c r="B161" s="5" t="str">
        <f>IFERROR(__xludf.DUMMYFUNCTION("""COMPUTED_VALUE"""),"리큐르")</f>
        <v>리큐르</v>
      </c>
      <c r="C161" s="5" t="str">
        <f>IFERROR(__xludf.DUMMYFUNCTION("""COMPUTED_VALUE"""),"쉐이킹")</f>
        <v>쉐이킹</v>
      </c>
      <c r="D161" s="8">
        <f>IFERROR(__xludf.DUMMYFUNCTION("""COMPUTED_VALUE"""),6.0)</f>
        <v>6</v>
      </c>
      <c r="E161" s="5" t="str">
        <f>IFERROR(__xludf.DUMMYFUNCTION("""COMPUTED_VALUE"""),"피치트리 30ml, 카시스 15ml, 깔루아 15ml, 사워믹스 60ml, 쉐이킹 후 사이다 적당히")</f>
        <v>피치트리 30ml, 카시스 15ml, 깔루아 15ml, 사워믹스 60ml, 쉐이킹 후 사이다 적당히</v>
      </c>
      <c r="F161" s="5" t="str">
        <f>IFERROR(__xludf.DUMMYFUNCTION("""COMPUTED_VALUE"""),"상당히 달콤함. 별로 검진 않음")</f>
        <v>상당히 달콤함. 별로 검진 않음</v>
      </c>
    </row>
    <row r="162">
      <c r="A162" s="5" t="str">
        <f>IFERROR(__xludf.DUMMYFUNCTION("""COMPUTED_VALUE"""),"블러드 앤 샌드")</f>
        <v>블러드 앤 샌드</v>
      </c>
      <c r="B162" s="5" t="str">
        <f>IFERROR(__xludf.DUMMYFUNCTION("""COMPUTED_VALUE"""),"위스키")</f>
        <v>위스키</v>
      </c>
      <c r="C162" s="5" t="str">
        <f>IFERROR(__xludf.DUMMYFUNCTION("""COMPUTED_VALUE"""),"쉐이킹")</f>
        <v>쉐이킹</v>
      </c>
      <c r="D162" s="8">
        <f>IFERROR(__xludf.DUMMYFUNCTION("""COMPUTED_VALUE"""),0.0)</f>
        <v>0</v>
      </c>
      <c r="E162" s="5" t="str">
        <f>IFERROR(__xludf.DUMMYFUNCTION("""COMPUTED_VALUE"""),"스카치 위스키 30ml, 스윗 베르뭇 30ml, 체리 브랜디 30ml, 오렌지 주스 30ml")</f>
        <v>스카치 위스키 30ml, 스윗 베르뭇 30ml, 체리 브랜디 30ml, 오렌지 주스 30ml</v>
      </c>
      <c r="F162" s="5"/>
    </row>
    <row r="163">
      <c r="A163" s="5" t="str">
        <f>IFERROR(__xludf.DUMMYFUNCTION("""COMPUTED_VALUE"""),"블러디 메리")</f>
        <v>블러디 메리</v>
      </c>
      <c r="B163" s="5" t="str">
        <f>IFERROR(__xludf.DUMMYFUNCTION("""COMPUTED_VALUE"""),"보드카")</f>
        <v>보드카</v>
      </c>
      <c r="C163" s="5" t="str">
        <f>IFERROR(__xludf.DUMMYFUNCTION("""COMPUTED_VALUE"""),"빌드")</f>
        <v>빌드</v>
      </c>
      <c r="D163" s="8">
        <f>IFERROR(__xludf.DUMMYFUNCTION("""COMPUTED_VALUE"""),0.0)</f>
        <v>0</v>
      </c>
      <c r="E163" s="5" t="str">
        <f>IFERROR(__xludf.DUMMYFUNCTION("""COMPUTED_VALUE"""),"보드카 30ml, 토마토 주스 90ml, [소금, 후추, 우스터소스 등등](선택사항)")</f>
        <v>보드카 30ml, 토마토 주스 90ml, [소금, 후추, 우스터소스 등등](선택사항)</v>
      </c>
      <c r="F163" s="5"/>
    </row>
    <row r="164">
      <c r="A164" s="5" t="str">
        <f>IFERROR(__xludf.DUMMYFUNCTION("""COMPUTED_VALUE"""),"블루 라군")</f>
        <v>블루 라군</v>
      </c>
      <c r="B164" s="5" t="str">
        <f>IFERROR(__xludf.DUMMYFUNCTION("""COMPUTED_VALUE"""),"블루 큐라소")</f>
        <v>블루 큐라소</v>
      </c>
      <c r="C164" s="5" t="str">
        <f>IFERROR(__xludf.DUMMYFUNCTION("""COMPUTED_VALUE"""),"빌드")</f>
        <v>빌드</v>
      </c>
      <c r="D164" s="8">
        <f>IFERROR(__xludf.DUMMYFUNCTION("""COMPUTED_VALUE"""),0.0)</f>
        <v>0</v>
      </c>
      <c r="E164" s="5" t="str">
        <f>IFERROR(__xludf.DUMMYFUNCTION("""COMPUTED_VALUE"""),"보드카 40ml, 블루 큐라소 15ml, 레몬즙 20ml, 사이다 풀업")</f>
        <v>보드카 40ml, 블루 큐라소 15ml, 레몬즙 20ml, 사이다 풀업</v>
      </c>
      <c r="F164" s="5"/>
    </row>
    <row r="165">
      <c r="A165" s="5" t="str">
        <f>IFERROR(__xludf.DUMMYFUNCTION("""COMPUTED_VALUE"""),"블루 라군2")</f>
        <v>블루 라군2</v>
      </c>
      <c r="B165" s="5" t="str">
        <f>IFERROR(__xludf.DUMMYFUNCTION("""COMPUTED_VALUE"""),"혼합")</f>
        <v>혼합</v>
      </c>
      <c r="C165" s="5" t="str">
        <f>IFERROR(__xludf.DUMMYFUNCTION("""COMPUTED_VALUE"""),"쉐이킹")</f>
        <v>쉐이킹</v>
      </c>
      <c r="D165" s="8">
        <f>IFERROR(__xludf.DUMMYFUNCTION("""COMPUTED_VALUE"""),0.0)</f>
        <v>0</v>
      </c>
      <c r="E165" s="5" t="str">
        <f>IFERROR(__xludf.DUMMYFUNCTION("""COMPUTED_VALUE"""),"보드카 30ml, 블루 큐라소 30ml, 레몬즙 30ml")</f>
        <v>보드카 30ml, 블루 큐라소 30ml, 레몬즙 30ml</v>
      </c>
      <c r="F165" s="5"/>
    </row>
    <row r="166">
      <c r="A166" s="5" t="str">
        <f>IFERROR(__xludf.DUMMYFUNCTION("""COMPUTED_VALUE"""),"블루 마르가리따")</f>
        <v>블루 마르가리따</v>
      </c>
      <c r="B166" s="5" t="str">
        <f>IFERROR(__xludf.DUMMYFUNCTION("""COMPUTED_VALUE"""),"데낄라")</f>
        <v>데낄라</v>
      </c>
      <c r="C166" s="5" t="str">
        <f>IFERROR(__xludf.DUMMYFUNCTION("""COMPUTED_VALUE"""),"쉐이킹")</f>
        <v>쉐이킹</v>
      </c>
      <c r="D166" s="8">
        <f>IFERROR(__xludf.DUMMYFUNCTION("""COMPUTED_VALUE"""),7.0)</f>
        <v>7</v>
      </c>
      <c r="E166" s="5" t="str">
        <f>IFERROR(__xludf.DUMMYFUNCTION("""COMPUTED_VALUE"""),"데낄라 45ml, 블루 큐라소 15ml, 라임즙 30ml, 잔에 설탕 리밍")</f>
        <v>데낄라 45ml, 블루 큐라소 15ml, 라임즙 30ml, 잔에 설탕 리밍</v>
      </c>
      <c r="F166" s="5" t="str">
        <f>IFERROR(__xludf.DUMMYFUNCTION("""COMPUTED_VALUE"""),"예쁨")</f>
        <v>예쁨</v>
      </c>
    </row>
    <row r="167">
      <c r="A167" s="5" t="str">
        <f>IFERROR(__xludf.DUMMYFUNCTION("""COMPUTED_VALUE"""),"블루 먼데이")</f>
        <v>블루 먼데이</v>
      </c>
      <c r="B167" s="5" t="str">
        <f>IFERROR(__xludf.DUMMYFUNCTION("""COMPUTED_VALUE"""),"블루 큐라소")</f>
        <v>블루 큐라소</v>
      </c>
      <c r="C167" s="5" t="str">
        <f>IFERROR(__xludf.DUMMYFUNCTION("""COMPUTED_VALUE"""),"쉐이킹")</f>
        <v>쉐이킹</v>
      </c>
      <c r="D167" s="8">
        <f>IFERROR(__xludf.DUMMYFUNCTION("""COMPUTED_VALUE"""),0.0)</f>
        <v>0</v>
      </c>
      <c r="E167" s="5" t="str">
        <f>IFERROR(__xludf.DUMMYFUNCTION("""COMPUTED_VALUE"""),"보드카 45ml, 트리플섹 30ml, 블루 큐라소 15ml, 레몬 웻지")</f>
        <v>보드카 45ml, 트리플섹 30ml, 블루 큐라소 15ml, 레몬 웻지</v>
      </c>
      <c r="F167" s="5"/>
    </row>
    <row r="168">
      <c r="A168" s="5" t="str">
        <f>IFERROR(__xludf.DUMMYFUNCTION("""COMPUTED_VALUE"""),"블루 문")</f>
        <v>블루 문</v>
      </c>
      <c r="B168" s="5" t="str">
        <f>IFERROR(__xludf.DUMMYFUNCTION("""COMPUTED_VALUE"""),"진")</f>
        <v>진</v>
      </c>
      <c r="C168" s="5" t="str">
        <f>IFERROR(__xludf.DUMMYFUNCTION("""COMPUTED_VALUE"""),"쉐이킹")</f>
        <v>쉐이킹</v>
      </c>
      <c r="D168" s="8">
        <f>IFERROR(__xludf.DUMMYFUNCTION("""COMPUTED_VALUE"""),0.0)</f>
        <v>0</v>
      </c>
      <c r="E168" s="5" t="str">
        <f>IFERROR(__xludf.DUMMYFUNCTION("""COMPUTED_VALUE"""),"진 45ml, 블루 큐라소 15ml, 설탕시럽 15ml(또는 2티스푼), 레몬즙 30ml, 파인애플 주스90ml(쉐이킹 후)")</f>
        <v>진 45ml, 블루 큐라소 15ml, 설탕시럽 15ml(또는 2티스푼), 레몬즙 30ml, 파인애플 주스90ml(쉐이킹 후)</v>
      </c>
      <c r="F168" s="5"/>
    </row>
    <row r="169">
      <c r="A169" s="5" t="str">
        <f>IFERROR(__xludf.DUMMYFUNCTION("""COMPUTED_VALUE"""),"블루 문2")</f>
        <v>블루 문2</v>
      </c>
      <c r="B169" s="5" t="str">
        <f>IFERROR(__xludf.DUMMYFUNCTION("""COMPUTED_VALUE"""),"진")</f>
        <v>진</v>
      </c>
      <c r="C169" s="5" t="str">
        <f>IFERROR(__xludf.DUMMYFUNCTION("""COMPUTED_VALUE"""),"쉐이킹")</f>
        <v>쉐이킹</v>
      </c>
      <c r="D169" s="8">
        <f>IFERROR(__xludf.DUMMYFUNCTION("""COMPUTED_VALUE"""),0.0)</f>
        <v>0</v>
      </c>
      <c r="E169" s="5" t="str">
        <f>IFERROR(__xludf.DUMMYFUNCTION("""COMPUTED_VALUE"""),"진 30ml, 파르페 아무르 15ml, 레몬즙 15ml")</f>
        <v>진 30ml, 파르페 아무르 15ml, 레몬즙 15ml</v>
      </c>
      <c r="F169" s="5"/>
    </row>
    <row r="170">
      <c r="A170" s="5" t="str">
        <f>IFERROR(__xludf.DUMMYFUNCTION("""COMPUTED_VALUE"""),"블루 사파이어")</f>
        <v>블루 사파이어</v>
      </c>
      <c r="B170" s="5" t="str">
        <f>IFERROR(__xludf.DUMMYFUNCTION("""COMPUTED_VALUE"""),"블루 큐라소")</f>
        <v>블루 큐라소</v>
      </c>
      <c r="C170" s="5" t="str">
        <f>IFERROR(__xludf.DUMMYFUNCTION("""COMPUTED_VALUE"""),"쉐이킹")</f>
        <v>쉐이킹</v>
      </c>
      <c r="D170" s="8">
        <f>IFERROR(__xludf.DUMMYFUNCTION("""COMPUTED_VALUE"""),0.0)</f>
        <v>0</v>
      </c>
      <c r="E170" s="5" t="str">
        <f>IFERROR(__xludf.DUMMYFUNCTION("""COMPUTED_VALUE"""),"말리부 15ml, 블루 큐라소 15ml, 피치트리 15ml, 레몬즙 15ml, 라임즙 15ml, 사이다 풀업(쉐이킹 후), 체리 1조각, 레몬 슬라이스")</f>
        <v>말리부 15ml, 블루 큐라소 15ml, 피치트리 15ml, 레몬즙 15ml, 라임즙 15ml, 사이다 풀업(쉐이킹 후), 체리 1조각, 레몬 슬라이스</v>
      </c>
      <c r="F170" s="5"/>
    </row>
    <row r="171">
      <c r="A171" s="5" t="str">
        <f>IFERROR(__xludf.DUMMYFUNCTION("""COMPUTED_VALUE"""),"블루 스카이")</f>
        <v>블루 스카이</v>
      </c>
      <c r="B171" s="5" t="str">
        <f>IFERROR(__xludf.DUMMYFUNCTION("""COMPUTED_VALUE"""),"블루 큐라소")</f>
        <v>블루 큐라소</v>
      </c>
      <c r="C171" s="5" t="str">
        <f>IFERROR(__xludf.DUMMYFUNCTION("""COMPUTED_VALUE"""),"플로팅")</f>
        <v>플로팅</v>
      </c>
      <c r="D171" s="8">
        <f>IFERROR(__xludf.DUMMYFUNCTION("""COMPUTED_VALUE"""),5.0)</f>
        <v>5</v>
      </c>
      <c r="E171" s="5" t="str">
        <f>IFERROR(__xludf.DUMMYFUNCTION("""COMPUTED_VALUE"""),"피치트리 15ml, 보드카 15ml, 블루 큐라소 10ml, 베일리스 톡톡")</f>
        <v>피치트리 15ml, 보드카 15ml, 블루 큐라소 10ml, 베일리스 톡톡</v>
      </c>
      <c r="F171" s="5" t="str">
        <f>IFERROR(__xludf.DUMMYFUNCTION("""COMPUTED_VALUE"""),"예쁘게 하기 어려움")</f>
        <v>예쁘게 하기 어려움</v>
      </c>
    </row>
    <row r="172">
      <c r="A172" s="5" t="str">
        <f>IFERROR(__xludf.DUMMYFUNCTION("""COMPUTED_VALUE"""),"블루 트레인")</f>
        <v>블루 트레인</v>
      </c>
      <c r="B172" s="5" t="str">
        <f>IFERROR(__xludf.DUMMYFUNCTION("""COMPUTED_VALUE"""),"진")</f>
        <v>진</v>
      </c>
      <c r="C172" s="5" t="str">
        <f>IFERROR(__xludf.DUMMYFUNCTION("""COMPUTED_VALUE"""),"쉐이킹")</f>
        <v>쉐이킹</v>
      </c>
      <c r="D172" s="8">
        <f>IFERROR(__xludf.DUMMYFUNCTION("""COMPUTED_VALUE"""),6.0)</f>
        <v>6</v>
      </c>
      <c r="E172" s="5" t="str">
        <f>IFERROR(__xludf.DUMMYFUNCTION("""COMPUTED_VALUE"""),"진 45ml, 블루 큐라소 30ml, 레몬즙 15ml")</f>
        <v>진 45ml, 블루 큐라소 30ml, 레몬즙 15ml</v>
      </c>
      <c r="F172" s="5"/>
    </row>
    <row r="173">
      <c r="A173" s="5" t="str">
        <f>IFERROR(__xludf.DUMMYFUNCTION("""COMPUTED_VALUE"""),"블루 판타지")</f>
        <v>블루 판타지</v>
      </c>
      <c r="B173" s="5" t="str">
        <f>IFERROR(__xludf.DUMMYFUNCTION("""COMPUTED_VALUE"""),"콰이페")</f>
        <v>콰이페</v>
      </c>
      <c r="C173" s="5" t="str">
        <f>IFERROR(__xludf.DUMMYFUNCTION("""COMPUTED_VALUE"""),"쉐이킹")</f>
        <v>쉐이킹</v>
      </c>
      <c r="D173" s="8">
        <f>IFERROR(__xludf.DUMMYFUNCTION("""COMPUTED_VALUE"""),0.0)</f>
        <v>0</v>
      </c>
      <c r="E173" s="5" t="str">
        <f>IFERROR(__xludf.DUMMYFUNCTION("""COMPUTED_VALUE"""),"콰이페 30ml, 블루 큐라소 15ml, 피치트리 15ml, 사워믹스 60ml")</f>
        <v>콰이페 30ml, 블루 큐라소 15ml, 피치트리 15ml, 사워믹스 60ml</v>
      </c>
      <c r="F173" s="5"/>
    </row>
    <row r="174">
      <c r="A174" s="5" t="str">
        <f>IFERROR(__xludf.DUMMYFUNCTION("""COMPUTED_VALUE"""),"블루 하와이안")</f>
        <v>블루 하와이안</v>
      </c>
      <c r="B174" s="5" t="str">
        <f>IFERROR(__xludf.DUMMYFUNCTION("""COMPUTED_VALUE"""),"럼")</f>
        <v>럼</v>
      </c>
      <c r="C174" s="5" t="str">
        <f>IFERROR(__xludf.DUMMYFUNCTION("""COMPUTED_VALUE"""),"쉐이킹(보스턴)")</f>
        <v>쉐이킹(보스턴)</v>
      </c>
      <c r="D174" s="8">
        <f>IFERROR(__xludf.DUMMYFUNCTION("""COMPUTED_VALUE"""),6.0)</f>
        <v>6</v>
      </c>
      <c r="E174" s="5" t="str">
        <f>IFERROR(__xludf.DUMMYFUNCTION("""COMPUTED_VALUE"""),"화이트 럼 40ml, 파인애플 주스 100ml, 블루 큐라소 20ml, 말리부 40ml")</f>
        <v>화이트 럼 40ml, 파인애플 주스 100ml, 블루 큐라소 20ml, 말리부 40ml</v>
      </c>
      <c r="F174" s="5" t="str">
        <f>IFERROR(__xludf.DUMMYFUNCTION("""COMPUTED_VALUE"""),"말리부 향이 강한 편")</f>
        <v>말리부 향이 강한 편</v>
      </c>
    </row>
    <row r="175">
      <c r="A175" s="5" t="str">
        <f>IFERROR(__xludf.DUMMYFUNCTION("""COMPUTED_VALUE"""),"블루 하와이안2")</f>
        <v>블루 하와이안2</v>
      </c>
      <c r="B175" s="5" t="str">
        <f>IFERROR(__xludf.DUMMYFUNCTION("""COMPUTED_VALUE"""),"블루 큐라소")</f>
        <v>블루 큐라소</v>
      </c>
      <c r="C175" s="5" t="str">
        <f>IFERROR(__xludf.DUMMYFUNCTION("""COMPUTED_VALUE"""),"쉐이킹")</f>
        <v>쉐이킹</v>
      </c>
      <c r="D175" s="8">
        <f>IFERROR(__xludf.DUMMYFUNCTION("""COMPUTED_VALUE"""),0.0)</f>
        <v>0</v>
      </c>
      <c r="E175" s="5" t="str">
        <f>IFERROR(__xludf.DUMMYFUNCTION("""COMPUTED_VALUE"""),"화이트 럼 20ml, 보드카 20ml, 블루 큐라소 15ml, 파인애플 주스 90ml, 사워믹스 30ml")</f>
        <v>화이트 럼 20ml, 보드카 20ml, 블루 큐라소 15ml, 파인애플 주스 90ml, 사워믹스 30ml</v>
      </c>
      <c r="F175" s="5"/>
    </row>
    <row r="176">
      <c r="A176" s="5" t="str">
        <f>IFERROR(__xludf.DUMMYFUNCTION("""COMPUTED_VALUE"""),"블루스타")</f>
        <v>블루스타</v>
      </c>
      <c r="B176" s="5" t="str">
        <f>IFERROR(__xludf.DUMMYFUNCTION("""COMPUTED_VALUE"""),"블루 큐라소")</f>
        <v>블루 큐라소</v>
      </c>
      <c r="C176" s="5" t="str">
        <f>IFERROR(__xludf.DUMMYFUNCTION("""COMPUTED_VALUE"""),"쉐이킹")</f>
        <v>쉐이킹</v>
      </c>
      <c r="D176" s="8">
        <f>IFERROR(__xludf.DUMMYFUNCTION("""COMPUTED_VALUE"""),0.0)</f>
        <v>0</v>
      </c>
      <c r="E176" s="5" t="str">
        <f>IFERROR(__xludf.DUMMYFUNCTION("""COMPUTED_VALUE"""),"블루 큐라소 30ml, 피치트리 30ml, 파인애플 주스 60ml, 사과 주스 60ml")</f>
        <v>블루 큐라소 30ml, 피치트리 30ml, 파인애플 주스 60ml, 사과 주스 60ml</v>
      </c>
      <c r="F176" s="5"/>
    </row>
    <row r="177">
      <c r="A177" s="5" t="str">
        <f>IFERROR(__xludf.DUMMYFUNCTION("""COMPUTED_VALUE"""),"비너스")</f>
        <v>비너스</v>
      </c>
      <c r="B177" s="5" t="str">
        <f>IFERROR(__xludf.DUMMYFUNCTION("""COMPUTED_VALUE"""),"리큐르")</f>
        <v>리큐르</v>
      </c>
      <c r="C177" s="5" t="str">
        <f>IFERROR(__xludf.DUMMYFUNCTION("""COMPUTED_VALUE"""),"쉐이킹")</f>
        <v>쉐이킹</v>
      </c>
      <c r="D177" s="8">
        <f>IFERROR(__xludf.DUMMYFUNCTION("""COMPUTED_VALUE"""),0.0)</f>
        <v>0</v>
      </c>
      <c r="E177" s="5" t="str">
        <f>IFERROR(__xludf.DUMMYFUNCTION("""COMPUTED_VALUE"""),"애프리콧 브랜디 30ml, 갈리아노 15ml, 사워믹스 30ml, 심플시럽 15ml, 오렌지 주스 90ml")</f>
        <v>애프리콧 브랜디 30ml, 갈리아노 15ml, 사워믹스 30ml, 심플시럽 15ml, 오렌지 주스 90ml</v>
      </c>
      <c r="F177" s="5"/>
    </row>
    <row r="178">
      <c r="A178" s="5" t="str">
        <f>IFERROR(__xludf.DUMMYFUNCTION("""COMPUTED_VALUE"""),"비즈니스")</f>
        <v>비즈니스</v>
      </c>
      <c r="B178" s="5" t="str">
        <f>IFERROR(__xludf.DUMMYFUNCTION("""COMPUTED_VALUE"""),"진")</f>
        <v>진</v>
      </c>
      <c r="C178" s="5" t="str">
        <f>IFERROR(__xludf.DUMMYFUNCTION("""COMPUTED_VALUE"""),"쉐이킹")</f>
        <v>쉐이킹</v>
      </c>
      <c r="D178" s="8">
        <f>IFERROR(__xludf.DUMMYFUNCTION("""COMPUTED_VALUE"""),0.0)</f>
        <v>0</v>
      </c>
      <c r="E178" s="5" t="str">
        <f>IFERROR(__xludf.DUMMYFUNCTION("""COMPUTED_VALUE"""),"진 60ml, 레몬즙 23ml, 꿀 23ml")</f>
        <v>진 60ml, 레몬즙 23ml, 꿀 23ml</v>
      </c>
      <c r="F178" s="5"/>
    </row>
    <row r="179">
      <c r="A179" s="5" t="str">
        <f>IFERROR(__xludf.DUMMYFUNCTION("""COMPUTED_VALUE"""),"비키니 마티니")</f>
        <v>비키니 마티니</v>
      </c>
      <c r="B179" s="5" t="str">
        <f>IFERROR(__xludf.DUMMYFUNCTION("""COMPUTED_VALUE"""),"진")</f>
        <v>진</v>
      </c>
      <c r="C179" s="5" t="str">
        <f>IFERROR(__xludf.DUMMYFUNCTION("""COMPUTED_VALUE"""),"쉐이킹")</f>
        <v>쉐이킹</v>
      </c>
      <c r="D179" s="8">
        <f>IFERROR(__xludf.DUMMYFUNCTION("""COMPUTED_VALUE"""),0.0)</f>
        <v>0</v>
      </c>
      <c r="E179" s="5" t="str">
        <f>IFERROR(__xludf.DUMMYFUNCTION("""COMPUTED_VALUE"""),"진 30ml, 블루 큐라소 30ml, 피치트리 7.5ml, 레몬즙 7.5ml, 물 22.5ml(선택사항)")</f>
        <v>진 30ml, 블루 큐라소 30ml, 피치트리 7.5ml, 레몬즙 7.5ml, 물 22.5ml(선택사항)</v>
      </c>
      <c r="F179" s="5"/>
    </row>
    <row r="180">
      <c r="A180" s="5" t="str">
        <f>IFERROR(__xludf.DUMMYFUNCTION("""COMPUTED_VALUE"""),"비터 스피릿츠")</f>
        <v>비터 스피릿츠</v>
      </c>
      <c r="B180" s="5" t="str">
        <f>IFERROR(__xludf.DUMMYFUNCTION("""COMPUTED_VALUE"""),"혼합")</f>
        <v>혼합</v>
      </c>
      <c r="C180" s="5" t="str">
        <f>IFERROR(__xludf.DUMMYFUNCTION("""COMPUTED_VALUE"""),"빌드")</f>
        <v>빌드</v>
      </c>
      <c r="D180" s="8">
        <f>IFERROR(__xludf.DUMMYFUNCTION("""COMPUTED_VALUE"""),0.0)</f>
        <v>0</v>
      </c>
      <c r="E180" s="5" t="str">
        <f>IFERROR(__xludf.DUMMYFUNCTION("""COMPUTED_VALUE"""),"캄파리 60ml, 스파클링 화이트 와인 60ml, 탄산수 30ml")</f>
        <v>캄파리 60ml, 스파클링 화이트 와인 60ml, 탄산수 30ml</v>
      </c>
      <c r="F180" s="5"/>
    </row>
    <row r="181">
      <c r="A181" s="5" t="str">
        <f>IFERROR(__xludf.DUMMYFUNCTION("""COMPUTED_VALUE"""),"비트윈 더 시츠")</f>
        <v>비트윈 더 시츠</v>
      </c>
      <c r="B181" s="5" t="str">
        <f>IFERROR(__xludf.DUMMYFUNCTION("""COMPUTED_VALUE"""),"혼합")</f>
        <v>혼합</v>
      </c>
      <c r="C181" s="5" t="str">
        <f>IFERROR(__xludf.DUMMYFUNCTION("""COMPUTED_VALUE"""),"쉐이킹")</f>
        <v>쉐이킹</v>
      </c>
      <c r="D181" s="8">
        <f>IFERROR(__xludf.DUMMYFUNCTION("""COMPUTED_VALUE"""),0.0)</f>
        <v>0</v>
      </c>
      <c r="E181" s="5" t="str">
        <f>IFERROR(__xludf.DUMMYFUNCTION("""COMPUTED_VALUE"""),"화이트 럼 20ml, 트리플섹 20ml, 꼬냑 20ml, 레몬즙 3~5ml")</f>
        <v>화이트 럼 20ml, 트리플섹 20ml, 꼬냑 20ml, 레몬즙 3~5ml</v>
      </c>
      <c r="F181" s="5"/>
    </row>
    <row r="182">
      <c r="A182" s="5" t="str">
        <f>IFERROR(__xludf.DUMMYFUNCTION("""COMPUTED_VALUE"""),"비트윈 더 시츠2")</f>
        <v>비트윈 더 시츠2</v>
      </c>
      <c r="B182" s="5" t="str">
        <f>IFERROR(__xludf.DUMMYFUNCTION("""COMPUTED_VALUE"""),"혼합")</f>
        <v>혼합</v>
      </c>
      <c r="C182" s="5" t="str">
        <f>IFERROR(__xludf.DUMMYFUNCTION("""COMPUTED_VALUE"""),"쉐이킹")</f>
        <v>쉐이킹</v>
      </c>
      <c r="D182" s="8">
        <f>IFERROR(__xludf.DUMMYFUNCTION("""COMPUTED_VALUE"""),0.0)</f>
        <v>0</v>
      </c>
      <c r="E182" s="5" t="str">
        <f>IFERROR(__xludf.DUMMYFUNCTION("""COMPUTED_VALUE"""),"브랜디 30ml, 럼 30ml, 코앵트로 30ml, 레몬즙 1개")</f>
        <v>브랜디 30ml, 럼 30ml, 코앵트로 30ml, 레몬즙 1개</v>
      </c>
      <c r="F182" s="5"/>
    </row>
    <row r="183">
      <c r="A183" s="5" t="str">
        <f>IFERROR(__xludf.DUMMYFUNCTION("""COMPUTED_VALUE"""),"사우스 비치")</f>
        <v>사우스 비치</v>
      </c>
      <c r="B183" s="5" t="str">
        <f>IFERROR(__xludf.DUMMYFUNCTION("""COMPUTED_VALUE"""),"리큐르")</f>
        <v>리큐르</v>
      </c>
      <c r="C183" s="5" t="str">
        <f>IFERROR(__xludf.DUMMYFUNCTION("""COMPUTED_VALUE"""),"빌드")</f>
        <v>빌드</v>
      </c>
      <c r="D183" s="8">
        <f>IFERROR(__xludf.DUMMYFUNCTION("""COMPUTED_VALUE"""),0.0)</f>
        <v>0</v>
      </c>
      <c r="E183" s="5" t="str">
        <f>IFERROR(__xludf.DUMMYFUNCTION("""COMPUTED_VALUE"""),"캄파리 30ml, 아마레또 30ml, 오렌지 주스 120~150ml")</f>
        <v>캄파리 30ml, 아마레또 30ml, 오렌지 주스 120~150ml</v>
      </c>
      <c r="F183" s="5"/>
    </row>
    <row r="184">
      <c r="A184" s="5" t="str">
        <f>IFERROR(__xludf.DUMMYFUNCTION("""COMPUTED_VALUE"""),"사이드카")</f>
        <v>사이드카</v>
      </c>
      <c r="B184" s="5" t="str">
        <f>IFERROR(__xludf.DUMMYFUNCTION("""COMPUTED_VALUE"""),"브랜디")</f>
        <v>브랜디</v>
      </c>
      <c r="C184" s="5" t="str">
        <f>IFERROR(__xludf.DUMMYFUNCTION("""COMPUTED_VALUE"""),"쉐이킹")</f>
        <v>쉐이킹</v>
      </c>
      <c r="D184" s="8">
        <f>IFERROR(__xludf.DUMMYFUNCTION("""COMPUTED_VALUE"""),0.0)</f>
        <v>0</v>
      </c>
      <c r="E184" s="5" t="str">
        <f>IFERROR(__xludf.DUMMYFUNCTION("""COMPUTED_VALUE"""),"브랜디 45ml, 레몬 1/2조각(약 15ml), 코앵트로 15ml")</f>
        <v>브랜디 45ml, 레몬 1/2조각(약 15ml), 코앵트로 15ml</v>
      </c>
      <c r="F184" s="5"/>
    </row>
    <row r="185">
      <c r="A185" s="5" t="str">
        <f>IFERROR(__xludf.DUMMYFUNCTION("""COMPUTED_VALUE"""),"사이드카2")</f>
        <v>사이드카2</v>
      </c>
      <c r="B185" s="5" t="str">
        <f>IFERROR(__xludf.DUMMYFUNCTION("""COMPUTED_VALUE"""),"브랜디")</f>
        <v>브랜디</v>
      </c>
      <c r="C185" s="5" t="str">
        <f>IFERROR(__xludf.DUMMYFUNCTION("""COMPUTED_VALUE"""),"쉐이킹")</f>
        <v>쉐이킹</v>
      </c>
      <c r="D185" s="8">
        <f>IFERROR(__xludf.DUMMYFUNCTION("""COMPUTED_VALUE"""),0.0)</f>
        <v>0</v>
      </c>
      <c r="E185" s="5" t="str">
        <f>IFERROR(__xludf.DUMMYFUNCTION("""COMPUTED_VALUE"""),"브랜디 30ml, 코앵트로 15ml, 사워믹스 15ml")</f>
        <v>브랜디 30ml, 코앵트로 15ml, 사워믹스 15ml</v>
      </c>
      <c r="F185" s="5"/>
    </row>
    <row r="186">
      <c r="A186" s="5" t="str">
        <f>IFERROR(__xludf.DUMMYFUNCTION("""COMPUTED_VALUE"""),"사이드카3")</f>
        <v>사이드카3</v>
      </c>
      <c r="B186" s="5" t="str">
        <f>IFERROR(__xludf.DUMMYFUNCTION("""COMPUTED_VALUE"""),"브랜디")</f>
        <v>브랜디</v>
      </c>
      <c r="C186" s="5" t="str">
        <f>IFERROR(__xludf.DUMMYFUNCTION("""COMPUTED_VALUE"""),"쉐이킹")</f>
        <v>쉐이킹</v>
      </c>
      <c r="D186" s="8">
        <f>IFERROR(__xludf.DUMMYFUNCTION("""COMPUTED_VALUE"""),0.0)</f>
        <v>0</v>
      </c>
      <c r="E186" s="5" t="str">
        <f>IFERROR(__xludf.DUMMYFUNCTION("""COMPUTED_VALUE"""),"브랜디 30ml, 코앵트로 30ml, 레몬즙 8ml")</f>
        <v>브랜디 30ml, 코앵트로 30ml, 레몬즙 8ml</v>
      </c>
      <c r="F186" s="5"/>
    </row>
    <row r="187">
      <c r="A187" s="5" t="str">
        <f>IFERROR(__xludf.DUMMYFUNCTION("""COMPUTED_VALUE"""),"사이드카4")</f>
        <v>사이드카4</v>
      </c>
      <c r="B187" s="5" t="str">
        <f>IFERROR(__xludf.DUMMYFUNCTION("""COMPUTED_VALUE"""),"브랜디")</f>
        <v>브랜디</v>
      </c>
      <c r="C187" s="5" t="str">
        <f>IFERROR(__xludf.DUMMYFUNCTION("""COMPUTED_VALUE"""),"쉐이킹")</f>
        <v>쉐이킹</v>
      </c>
      <c r="D187" s="8">
        <f>IFERROR(__xludf.DUMMYFUNCTION("""COMPUTED_VALUE"""),0.0)</f>
        <v>0</v>
      </c>
      <c r="E187" s="5" t="str">
        <f>IFERROR(__xludf.DUMMYFUNCTION("""COMPUTED_VALUE"""),"브랜디 30ml, 코앵트로 20ml, 레몬즙 20ml")</f>
        <v>브랜디 30ml, 코앵트로 20ml, 레몬즙 20ml</v>
      </c>
      <c r="F187" s="5"/>
    </row>
    <row r="188">
      <c r="A188" s="5" t="str">
        <f>IFERROR(__xludf.DUMMYFUNCTION("""COMPUTED_VALUE"""),"산사태")</f>
        <v>산사태</v>
      </c>
      <c r="B188" s="5" t="str">
        <f>IFERROR(__xludf.DUMMYFUNCTION("""COMPUTED_VALUE"""),"보드카")</f>
        <v>보드카</v>
      </c>
      <c r="C188" s="5" t="str">
        <f>IFERROR(__xludf.DUMMYFUNCTION("""COMPUTED_VALUE"""),"쉐이킹")</f>
        <v>쉐이킹</v>
      </c>
      <c r="D188" s="8">
        <f>IFERROR(__xludf.DUMMYFUNCTION("""COMPUTED_VALUE"""),0.0)</f>
        <v>0</v>
      </c>
      <c r="E188" s="5" t="str">
        <f>IFERROR(__xludf.DUMMYFUNCTION("""COMPUTED_VALUE"""),"보드카 60ml, 커피 리큐르 30ml, 베일리스 30ml, 초콜릿 소스 취향껏")</f>
        <v>보드카 60ml, 커피 리큐르 30ml, 베일리스 30ml, 초콜릿 소스 취향껏</v>
      </c>
      <c r="F188" s="5"/>
    </row>
    <row r="189">
      <c r="A189" s="5" t="str">
        <f>IFERROR(__xludf.DUMMYFUNCTION("""COMPUTED_VALUE"""),"산의 맛")</f>
        <v>산의 맛</v>
      </c>
      <c r="B189" s="5" t="str">
        <f>IFERROR(__xludf.DUMMYFUNCTION("""COMPUTED_VALUE"""),"봄베이")</f>
        <v>봄베이</v>
      </c>
      <c r="C189" s="5" t="str">
        <f>IFERROR(__xludf.DUMMYFUNCTION("""COMPUTED_VALUE"""),"스터 + 빌드")</f>
        <v>스터 + 빌드</v>
      </c>
      <c r="D189" s="8">
        <f>IFERROR(__xludf.DUMMYFUNCTION("""COMPUTED_VALUE"""),0.0)</f>
        <v>0</v>
      </c>
      <c r="E189" s="5" t="str">
        <f>IFERROR(__xludf.DUMMYFUNCTION("""COMPUTED_VALUE"""),"봄베이 1샷, 크렘 드 민트 1샷, 앙고스투라 비터 4대쉬, 얼음이 담긴 하이볼 글라스에 스터 후 솔의 눈 풀업, 민트 잎 1~2장")</f>
        <v>봄베이 1샷, 크렘 드 민트 1샷, 앙고스투라 비터 4대쉬, 얼음이 담긴 하이볼 글라스에 스터 후 솔의 눈 풀업, 민트 잎 1~2장</v>
      </c>
      <c r="F189" s="5"/>
    </row>
    <row r="190">
      <c r="A190" s="5" t="str">
        <f>IFERROR(__xludf.DUMMYFUNCTION("""COMPUTED_VALUE"""),"상디")</f>
        <v>상디</v>
      </c>
      <c r="B190" s="5" t="str">
        <f>IFERROR(__xludf.DUMMYFUNCTION("""COMPUTED_VALUE"""),"맥주")</f>
        <v>맥주</v>
      </c>
      <c r="C190" s="5" t="str">
        <f>IFERROR(__xludf.DUMMYFUNCTION("""COMPUTED_VALUE"""),"빌드")</f>
        <v>빌드</v>
      </c>
      <c r="D190" s="8">
        <f>IFERROR(__xludf.DUMMYFUNCTION("""COMPUTED_VALUE"""),0.0)</f>
        <v>0</v>
      </c>
      <c r="E190" s="5" t="str">
        <f>IFERROR(__xludf.DUMMYFUNCTION("""COMPUTED_VALUE"""),"진저에일 or 진저비어 or 사이다 50%, 라거 맥주 50%")</f>
        <v>진저에일 or 진저비어 or 사이다 50%, 라거 맥주 50%</v>
      </c>
      <c r="F190" s="5"/>
    </row>
    <row r="191">
      <c r="A191" s="5" t="str">
        <f>IFERROR(__xludf.DUMMYFUNCTION("""COMPUTED_VALUE"""),"샌디 카페")</f>
        <v>샌디 카페</v>
      </c>
      <c r="B191" s="5" t="str">
        <f>IFERROR(__xludf.DUMMYFUNCTION("""COMPUTED_VALUE"""),"맥주")</f>
        <v>맥주</v>
      </c>
      <c r="C191" s="5" t="str">
        <f>IFERROR(__xludf.DUMMYFUNCTION("""COMPUTED_VALUE"""),"빌드")</f>
        <v>빌드</v>
      </c>
      <c r="D191" s="8">
        <f>IFERROR(__xludf.DUMMYFUNCTION("""COMPUTED_VALUE"""),0.0)</f>
        <v>0</v>
      </c>
      <c r="E191" s="5" t="str">
        <f>IFERROR(__xludf.DUMMYFUNCTION("""COMPUTED_VALUE"""),"맥주 90ml, 진저에일 90ml")</f>
        <v>맥주 90ml, 진저에일 90ml</v>
      </c>
      <c r="F191" s="5"/>
    </row>
    <row r="192">
      <c r="A192" s="5" t="str">
        <f>IFERROR(__xludf.DUMMYFUNCTION("""COMPUTED_VALUE"""),"서퍼링 바스타드")</f>
        <v>서퍼링 바스타드</v>
      </c>
      <c r="B192" s="5" t="str">
        <f>IFERROR(__xludf.DUMMYFUNCTION("""COMPUTED_VALUE"""),"혼합")</f>
        <v>혼합</v>
      </c>
      <c r="C192" s="5" t="str">
        <f>IFERROR(__xludf.DUMMYFUNCTION("""COMPUTED_VALUE"""),"쉐이킹")</f>
        <v>쉐이킹</v>
      </c>
      <c r="D192" s="8">
        <f>IFERROR(__xludf.DUMMYFUNCTION("""COMPUTED_VALUE"""),0.0)</f>
        <v>0</v>
      </c>
      <c r="E192" s="5" t="str">
        <f>IFERROR(__xludf.DUMMYFUNCTION("""COMPUTED_VALUE"""),"브랜디 or 꼬냑 30ml, 진 30ml, 라임즙 15ml, 앙고스투라 비터 2대쉬, 쉐이킹 후 진저에일 필업")</f>
        <v>브랜디 or 꼬냑 30ml, 진 30ml, 라임즙 15ml, 앙고스투라 비터 2대쉬, 쉐이킹 후 진저에일 필업</v>
      </c>
      <c r="F192" s="5"/>
    </row>
    <row r="193">
      <c r="A193" s="5" t="str">
        <f>IFERROR(__xludf.DUMMYFUNCTION("""COMPUTED_VALUE"""),"섹스 온 더 아일랜드")</f>
        <v>섹스 온 더 아일랜드</v>
      </c>
      <c r="B193" s="5" t="str">
        <f>IFERROR(__xludf.DUMMYFUNCTION("""COMPUTED_VALUE"""),"혼합")</f>
        <v>혼합</v>
      </c>
      <c r="C193" s="5" t="str">
        <f>IFERROR(__xludf.DUMMYFUNCTION("""COMPUTED_VALUE"""),"쉐이킹")</f>
        <v>쉐이킹</v>
      </c>
      <c r="D193" s="8">
        <f>IFERROR(__xludf.DUMMYFUNCTION("""COMPUTED_VALUE"""),0.0)</f>
        <v>0</v>
      </c>
      <c r="E193" s="5" t="str">
        <f>IFERROR(__xludf.DUMMYFUNCTION("""COMPUTED_VALUE"""),"말리부 15ml, 카시스 15ml, 피치트리 15ml, 멜론 리큐르 15ml, 크렌베리 주스 60ml, 오렌지 주스 60ml, 레몬 웻지")</f>
        <v>말리부 15ml, 카시스 15ml, 피치트리 15ml, 멜론 리큐르 15ml, 크렌베리 주스 60ml, 오렌지 주스 60ml, 레몬 웻지</v>
      </c>
      <c r="F193" s="5"/>
    </row>
    <row r="194">
      <c r="A194" s="5" t="str">
        <f>IFERROR(__xludf.DUMMYFUNCTION("""COMPUTED_VALUE"""),"섹스온더비치")</f>
        <v>섹스온더비치</v>
      </c>
      <c r="B194" s="5" t="str">
        <f>IFERROR(__xludf.DUMMYFUNCTION("""COMPUTED_VALUE"""),"보드카")</f>
        <v>보드카</v>
      </c>
      <c r="C194" s="5" t="str">
        <f>IFERROR(__xludf.DUMMYFUNCTION("""COMPUTED_VALUE"""),"빌드 or 쉐이킹")</f>
        <v>빌드 or 쉐이킹</v>
      </c>
      <c r="D194" s="8">
        <f>IFERROR(__xludf.DUMMYFUNCTION("""COMPUTED_VALUE"""),8.0)</f>
        <v>8</v>
      </c>
      <c r="E194" s="5" t="str">
        <f>IFERROR(__xludf.DUMMYFUNCTION("""COMPUTED_VALUE"""),"보드카 45ml, 피치트리 15ml, 크렌베리 주스 60ml, 오렌지 주스 60ml")</f>
        <v>보드카 45ml, 피치트리 15ml, 크렌베리 주스 60ml, 오렌지 주스 60ml</v>
      </c>
      <c r="F194" s="5"/>
    </row>
    <row r="195">
      <c r="A195" s="5" t="str">
        <f>IFERROR(__xludf.DUMMYFUNCTION("""COMPUTED_VALUE"""),"섹스온더비치2")</f>
        <v>섹스온더비치2</v>
      </c>
      <c r="B195" s="5" t="str">
        <f>IFERROR(__xludf.DUMMYFUNCTION("""COMPUTED_VALUE"""),"보드카")</f>
        <v>보드카</v>
      </c>
      <c r="C195" s="5" t="str">
        <f>IFERROR(__xludf.DUMMYFUNCTION("""COMPUTED_VALUE"""),"쉐이킹")</f>
        <v>쉐이킹</v>
      </c>
      <c r="D195" s="8">
        <f>IFERROR(__xludf.DUMMYFUNCTION("""COMPUTED_VALUE"""),0.0)</f>
        <v>0</v>
      </c>
      <c r="E195" s="5" t="str">
        <f>IFERROR(__xludf.DUMMYFUNCTION("""COMPUTED_VALUE"""),"보드카 30ml, 카시스 15ml, 멜론 리큐르 15ml, 파인애플 주스 30ml, 그레나딘 시럽 1/4 티스푼")</f>
        <v>보드카 30ml, 카시스 15ml, 멜론 리큐르 15ml, 파인애플 주스 30ml, 그레나딘 시럽 1/4 티스푼</v>
      </c>
      <c r="F195" s="5"/>
    </row>
    <row r="196">
      <c r="A196" s="5" t="str">
        <f>IFERROR(__xludf.DUMMYFUNCTION("""COMPUTED_VALUE"""),"섹스온더비치3")</f>
        <v>섹스온더비치3</v>
      </c>
      <c r="B196" s="5" t="str">
        <f>IFERROR(__xludf.DUMMYFUNCTION("""COMPUTED_VALUE"""),"보드카")</f>
        <v>보드카</v>
      </c>
      <c r="C196" s="5" t="str">
        <f>IFERROR(__xludf.DUMMYFUNCTION("""COMPUTED_VALUE"""),"쉐이킹")</f>
        <v>쉐이킹</v>
      </c>
      <c r="D196" s="8">
        <f>IFERROR(__xludf.DUMMYFUNCTION("""COMPUTED_VALUE"""),0.0)</f>
        <v>0</v>
      </c>
      <c r="E196" s="5" t="str">
        <f>IFERROR(__xludf.DUMMYFUNCTION("""COMPUTED_VALUE"""),"보드카 30ml, 카시스 20ml, 피치 슈냅스 20ml, 파인애플 주스 45ml, 크렌베리 주스 45ml")</f>
        <v>보드카 30ml, 카시스 20ml, 피치 슈냅스 20ml, 파인애플 주스 45ml, 크렌베리 주스 45ml</v>
      </c>
      <c r="F196" s="5"/>
    </row>
    <row r="197">
      <c r="A197" s="5" t="str">
        <f>IFERROR(__xludf.DUMMYFUNCTION("""COMPUTED_VALUE"""),"섹시 넘버원")</f>
        <v>섹시 넘버원</v>
      </c>
      <c r="B197" s="5" t="str">
        <f>IFERROR(__xludf.DUMMYFUNCTION("""COMPUTED_VALUE"""),"꼬냑")</f>
        <v>꼬냑</v>
      </c>
      <c r="C197" s="5" t="str">
        <f>IFERROR(__xludf.DUMMYFUNCTION("""COMPUTED_VALUE"""),"쉐이킹")</f>
        <v>쉐이킹</v>
      </c>
      <c r="D197" s="8">
        <f>IFERROR(__xludf.DUMMYFUNCTION("""COMPUTED_VALUE"""),0.0)</f>
        <v>0</v>
      </c>
      <c r="E197" s="5" t="str">
        <f>IFERROR(__xludf.DUMMYFUNCTION("""COMPUTED_VALUE"""),"꼬냑 37.5ml, 코앵트로 15ml, 피치 리큐르 15ml, 그레나딘 시럽 15ml, 사워믹스 45ml")</f>
        <v>꼬냑 37.5ml, 코앵트로 15ml, 피치 리큐르 15ml, 그레나딘 시럽 15ml, 사워믹스 45ml</v>
      </c>
      <c r="F197" s="5"/>
    </row>
    <row r="198">
      <c r="A198" s="5" t="str">
        <f>IFERROR(__xludf.DUMMYFUNCTION("""COMPUTED_VALUE"""),"섹시 마일드")</f>
        <v>섹시 마일드</v>
      </c>
      <c r="B198" s="5" t="str">
        <f>IFERROR(__xludf.DUMMYFUNCTION("""COMPUTED_VALUE"""),"블루 큐라소")</f>
        <v>블루 큐라소</v>
      </c>
      <c r="C198" s="5" t="str">
        <f>IFERROR(__xludf.DUMMYFUNCTION("""COMPUTED_VALUE"""),"쉐이킹")</f>
        <v>쉐이킹</v>
      </c>
      <c r="D198" s="8">
        <f>IFERROR(__xludf.DUMMYFUNCTION("""COMPUTED_VALUE"""),0.0)</f>
        <v>0</v>
      </c>
      <c r="E198" s="5" t="str">
        <f>IFERROR(__xludf.DUMMYFUNCTION("""COMPUTED_VALUE"""),"블루 큐라소 15ml, 사워믹스 30ml, 피냐콜라다 믹스 30ml, 우유 30ml")</f>
        <v>블루 큐라소 15ml, 사워믹스 30ml, 피냐콜라다 믹스 30ml, 우유 30ml</v>
      </c>
      <c r="F198" s="5"/>
    </row>
    <row r="199">
      <c r="A199" s="5" t="str">
        <f>IFERROR(__xludf.DUMMYFUNCTION("""COMPUTED_VALUE"""),"소녀의 기도")</f>
        <v>소녀의 기도</v>
      </c>
      <c r="B199" s="5" t="str">
        <f>IFERROR(__xludf.DUMMYFUNCTION("""COMPUTED_VALUE"""),"진")</f>
        <v>진</v>
      </c>
      <c r="C199" s="5" t="str">
        <f>IFERROR(__xludf.DUMMYFUNCTION("""COMPUTED_VALUE"""),"스터")</f>
        <v>스터</v>
      </c>
      <c r="D199" s="8">
        <f>IFERROR(__xludf.DUMMYFUNCTION("""COMPUTED_VALUE"""),0.0)</f>
        <v>0</v>
      </c>
      <c r="E199" s="5" t="str">
        <f>IFERROR(__xludf.DUMMYFUNCTION("""COMPUTED_VALUE"""),"진 45ml, 코앵트로 15ml. 레몬즙 15ml, 오렌지주스 15ml")</f>
        <v>진 45ml, 코앵트로 15ml. 레몬즙 15ml, 오렌지주스 15ml</v>
      </c>
      <c r="F199" s="5"/>
    </row>
    <row r="200">
      <c r="A200" s="5" t="str">
        <f>IFERROR(__xludf.DUMMYFUNCTION("""COMPUTED_VALUE"""),"소녀의 기도2")</f>
        <v>소녀의 기도2</v>
      </c>
      <c r="B200" s="5" t="str">
        <f>IFERROR(__xludf.DUMMYFUNCTION("""COMPUTED_VALUE"""),"진")</f>
        <v>진</v>
      </c>
      <c r="C200" s="5" t="str">
        <f>IFERROR(__xludf.DUMMYFUNCTION("""COMPUTED_VALUE"""),"쉐이킹")</f>
        <v>쉐이킹</v>
      </c>
      <c r="D200" s="8">
        <f>IFERROR(__xludf.DUMMYFUNCTION("""COMPUTED_VALUE"""),0.0)</f>
        <v>0</v>
      </c>
      <c r="E200" s="5" t="str">
        <f>IFERROR(__xludf.DUMMYFUNCTION("""COMPUTED_VALUE"""),"진 30ml, 트리플 섹 30ml, 레몬즙 15ml, 오렌지 주스 15ml, 비터 1대쉬")</f>
        <v>진 30ml, 트리플 섹 30ml, 레몬즙 15ml, 오렌지 주스 15ml, 비터 1대쉬</v>
      </c>
      <c r="F200" s="5"/>
    </row>
    <row r="201">
      <c r="A201" s="5" t="str">
        <f>IFERROR(__xludf.DUMMYFUNCTION("""COMPUTED_VALUE"""),"솔티 치와와")</f>
        <v>솔티 치와와</v>
      </c>
      <c r="B201" s="5" t="str">
        <f>IFERROR(__xludf.DUMMYFUNCTION("""COMPUTED_VALUE"""),"데낄라")</f>
        <v>데낄라</v>
      </c>
      <c r="C201" s="5" t="str">
        <f>IFERROR(__xludf.DUMMYFUNCTION("""COMPUTED_VALUE"""),"빌드")</f>
        <v>빌드</v>
      </c>
      <c r="D201" s="8">
        <f>IFERROR(__xludf.DUMMYFUNCTION("""COMPUTED_VALUE"""),0.0)</f>
        <v>0</v>
      </c>
      <c r="E201" s="5" t="str">
        <f>IFERROR(__xludf.DUMMYFUNCTION("""COMPUTED_VALUE"""),"소금 리밍, 블랑코 데낄라 60ml, 자몽주스 90ml, ")</f>
        <v>소금 리밍, 블랑코 데낄라 60ml, 자몽주스 90ml, </v>
      </c>
      <c r="F201" s="5"/>
    </row>
    <row r="202">
      <c r="A202" s="5" t="str">
        <f>IFERROR(__xludf.DUMMYFUNCTION("""COMPUTED_VALUE"""),"솔티독")</f>
        <v>솔티독</v>
      </c>
      <c r="B202" s="5" t="str">
        <f>IFERROR(__xludf.DUMMYFUNCTION("""COMPUTED_VALUE"""),"보드카")</f>
        <v>보드카</v>
      </c>
      <c r="C202" s="5" t="str">
        <f>IFERROR(__xludf.DUMMYFUNCTION("""COMPUTED_VALUE"""),"빌드")</f>
        <v>빌드</v>
      </c>
      <c r="D202" s="8">
        <f>IFERROR(__xludf.DUMMYFUNCTION("""COMPUTED_VALUE"""),0.0)</f>
        <v>0</v>
      </c>
      <c r="E202" s="5" t="str">
        <f>IFERROR(__xludf.DUMMYFUNCTION("""COMPUTED_VALUE"""),"보드카 30ml, 자몽주스 120ml")</f>
        <v>보드카 30ml, 자몽주스 120ml</v>
      </c>
      <c r="F202" s="5"/>
    </row>
    <row r="203">
      <c r="A203" s="5" t="str">
        <f>IFERROR(__xludf.DUMMYFUNCTION("""COMPUTED_VALUE"""),"스카이 다이빙")</f>
        <v>스카이 다이빙</v>
      </c>
      <c r="B203" s="5" t="str">
        <f>IFERROR(__xludf.DUMMYFUNCTION("""COMPUTED_VALUE"""),"럼")</f>
        <v>럼</v>
      </c>
      <c r="C203" s="5" t="str">
        <f>IFERROR(__xludf.DUMMYFUNCTION("""COMPUTED_VALUE"""),"쉐이킹")</f>
        <v>쉐이킹</v>
      </c>
      <c r="D203" s="8">
        <f>IFERROR(__xludf.DUMMYFUNCTION("""COMPUTED_VALUE"""),0.0)</f>
        <v>0</v>
      </c>
      <c r="E203" s="5" t="str">
        <f>IFERROR(__xludf.DUMMYFUNCTION("""COMPUTED_VALUE"""),"화이트 럼 30ml, 블루 큐라소 15ml, 라임즙 15ml")</f>
        <v>화이트 럼 30ml, 블루 큐라소 15ml, 라임즙 15ml</v>
      </c>
      <c r="F203" s="5"/>
    </row>
    <row r="204">
      <c r="A204" s="5" t="str">
        <f>IFERROR(__xludf.DUMMYFUNCTION("""COMPUTED_VALUE"""),"스카이 라이트 피즈")</f>
        <v>스카이 라이트 피즈</v>
      </c>
      <c r="B204" s="5" t="str">
        <f>IFERROR(__xludf.DUMMYFUNCTION("""COMPUTED_VALUE"""),"바이올렛")</f>
        <v>바이올렛</v>
      </c>
      <c r="C204" s="5" t="str">
        <f>IFERROR(__xludf.DUMMYFUNCTION("""COMPUTED_VALUE"""),"쉐이킹")</f>
        <v>쉐이킹</v>
      </c>
      <c r="D204" s="8">
        <f>IFERROR(__xludf.DUMMYFUNCTION("""COMPUTED_VALUE"""),0.0)</f>
        <v>0</v>
      </c>
      <c r="E204" s="5" t="str">
        <f>IFERROR(__xludf.DUMMYFUNCTION("""COMPUTED_VALUE"""),"바이올렛 30ml, 레몬즙 15ml, 크림 or 우유 1티스푼, 설탕 2티스푼, 쉐이킹 후 탄산수 필업")</f>
        <v>바이올렛 30ml, 레몬즙 15ml, 크림 or 우유 1티스푼, 설탕 2티스푼, 쉐이킹 후 탄산수 필업</v>
      </c>
      <c r="F204" s="5"/>
    </row>
    <row r="205">
      <c r="A205" s="5" t="str">
        <f>IFERROR(__xludf.DUMMYFUNCTION("""COMPUTED_VALUE"""),"스카이 라이트 피즈2")</f>
        <v>스카이 라이트 피즈2</v>
      </c>
      <c r="B205" s="5" t="str">
        <f>IFERROR(__xludf.DUMMYFUNCTION("""COMPUTED_VALUE"""),"진")</f>
        <v>진</v>
      </c>
      <c r="C205" s="5" t="str">
        <f>IFERROR(__xludf.DUMMYFUNCTION("""COMPUTED_VALUE"""),"쉐이킹")</f>
        <v>쉐이킹</v>
      </c>
      <c r="D205" s="8">
        <f>IFERROR(__xludf.DUMMYFUNCTION("""COMPUTED_VALUE"""),0.0)</f>
        <v>0</v>
      </c>
      <c r="E205" s="5" t="str">
        <f>IFERROR(__xludf.DUMMYFUNCTION("""COMPUTED_VALUE"""),"진 40ml, 레몬즙 20ml, 생크림 20ml, 시럽 1티스푼, 탄산수 필업(쉐이킹 후)")</f>
        <v>진 40ml, 레몬즙 20ml, 생크림 20ml, 시럽 1티스푼, 탄산수 필업(쉐이킹 후)</v>
      </c>
      <c r="F205" s="5"/>
    </row>
    <row r="206">
      <c r="A206" s="5" t="str">
        <f>IFERROR(__xludf.DUMMYFUNCTION("""COMPUTED_VALUE"""),"스콜피온")</f>
        <v>스콜피온</v>
      </c>
      <c r="B206" s="5" t="str">
        <f>IFERROR(__xludf.DUMMYFUNCTION("""COMPUTED_VALUE"""),"럼")</f>
        <v>럼</v>
      </c>
      <c r="C206" s="5" t="str">
        <f>IFERROR(__xludf.DUMMYFUNCTION("""COMPUTED_VALUE"""),"쉐이킹")</f>
        <v>쉐이킹</v>
      </c>
      <c r="D206" s="8">
        <f>IFERROR(__xludf.DUMMYFUNCTION("""COMPUTED_VALUE"""),0.0)</f>
        <v>0</v>
      </c>
      <c r="E206" s="5" t="str">
        <f>IFERROR(__xludf.DUMMYFUNCTION("""COMPUTED_VALUE"""),"럼 45ml, 브랜디 20ml, 오렌지 주스 60ml, 레몬즙 15ml, 라임즙 15ml")</f>
        <v>럼 45ml, 브랜디 20ml, 오렌지 주스 60ml, 레몬즙 15ml, 라임즙 15ml</v>
      </c>
      <c r="F206" s="5"/>
    </row>
    <row r="207">
      <c r="A207" s="5" t="str">
        <f>IFERROR(__xludf.DUMMYFUNCTION("""COMPUTED_VALUE"""),"스크류드라이버")</f>
        <v>스크류드라이버</v>
      </c>
      <c r="B207" s="5" t="str">
        <f>IFERROR(__xludf.DUMMYFUNCTION("""COMPUTED_VALUE"""),"보드카")</f>
        <v>보드카</v>
      </c>
      <c r="C207" s="5" t="str">
        <f>IFERROR(__xludf.DUMMYFUNCTION("""COMPUTED_VALUE"""),"빌드")</f>
        <v>빌드</v>
      </c>
      <c r="D207" s="8">
        <f>IFERROR(__xludf.DUMMYFUNCTION("""COMPUTED_VALUE"""),7.0)</f>
        <v>7</v>
      </c>
      <c r="E207" s="5" t="str">
        <f>IFERROR(__xludf.DUMMYFUNCTION("""COMPUTED_VALUE"""),"보드카 45ml, 오렌지 주스 140ml, 오렌지 슬라이스")</f>
        <v>보드카 45ml, 오렌지 주스 140ml, 오렌지 슬라이스</v>
      </c>
      <c r="F207" s="5" t="str">
        <f>IFERROR(__xludf.DUMMYFUNCTION("""COMPUTED_VALUE"""),"스테디하게 맛있음. 감귤 주스가 더 나음")</f>
        <v>스테디하게 맛있음. 감귤 주스가 더 나음</v>
      </c>
    </row>
    <row r="208">
      <c r="A208" s="5" t="str">
        <f>IFERROR(__xludf.DUMMYFUNCTION("""COMPUTED_VALUE"""),"스타더스트")</f>
        <v>스타더스트</v>
      </c>
      <c r="B208" s="5" t="str">
        <f>IFERROR(__xludf.DUMMYFUNCTION("""COMPUTED_VALUE"""),"보드카")</f>
        <v>보드카</v>
      </c>
      <c r="C208" s="5" t="str">
        <f>IFERROR(__xludf.DUMMYFUNCTION("""COMPUTED_VALUE"""),"쉐이킹")</f>
        <v>쉐이킹</v>
      </c>
      <c r="D208" s="8">
        <f>IFERROR(__xludf.DUMMYFUNCTION("""COMPUTED_VALUE"""),0.0)</f>
        <v>0</v>
      </c>
      <c r="E208" s="5" t="str">
        <f>IFERROR(__xludf.DUMMYFUNCTION("""COMPUTED_VALUE"""),"보드카 45ml, 피치트리 15ml, 블루 큐라소 15ml, 레몬즙 22.5ml, 파인애플 주스 22.5ml, 쉐이킹 후 그레나딘 시럽 22.5ml")</f>
        <v>보드카 45ml, 피치트리 15ml, 블루 큐라소 15ml, 레몬즙 22.5ml, 파인애플 주스 22.5ml, 쉐이킹 후 그레나딘 시럽 22.5ml</v>
      </c>
      <c r="F208" s="5"/>
    </row>
    <row r="209">
      <c r="A209" s="5" t="str">
        <f>IFERROR(__xludf.DUMMYFUNCTION("""COMPUTED_VALUE"""),"스트로 핫")</f>
        <v>스트로 핫</v>
      </c>
      <c r="B209" s="5" t="str">
        <f>IFERROR(__xludf.DUMMYFUNCTION("""COMPUTED_VALUE"""),"데낄라")</f>
        <v>데낄라</v>
      </c>
      <c r="C209" s="5" t="str">
        <f>IFERROR(__xludf.DUMMYFUNCTION("""COMPUTED_VALUE"""),"빌드")</f>
        <v>빌드</v>
      </c>
      <c r="D209" s="8">
        <f>IFERROR(__xludf.DUMMYFUNCTION("""COMPUTED_VALUE"""),0.0)</f>
        <v>0</v>
      </c>
      <c r="E209" s="5" t="str">
        <f>IFERROR(__xludf.DUMMYFUNCTION("""COMPUTED_VALUE"""),"데낄라 45ml, 토마토 주스 90ml")</f>
        <v>데낄라 45ml, 토마토 주스 90ml</v>
      </c>
      <c r="F209" s="5"/>
    </row>
    <row r="210">
      <c r="A210" s="5" t="str">
        <f>IFERROR(__xludf.DUMMYFUNCTION("""COMPUTED_VALUE"""),"스팅거")</f>
        <v>스팅거</v>
      </c>
      <c r="B210" s="5" t="str">
        <f>IFERROR(__xludf.DUMMYFUNCTION("""COMPUTED_VALUE"""),"브랜디")</f>
        <v>브랜디</v>
      </c>
      <c r="C210" s="5" t="str">
        <f>IFERROR(__xludf.DUMMYFUNCTION("""COMPUTED_VALUE"""),"빌드 or 쉐이킹")</f>
        <v>빌드 or 쉐이킹</v>
      </c>
      <c r="D210" s="8">
        <f>IFERROR(__xludf.DUMMYFUNCTION("""COMPUTED_VALUE"""),0.0)</f>
        <v>0</v>
      </c>
      <c r="E210" s="5" t="str">
        <f>IFERROR(__xludf.DUMMYFUNCTION("""COMPUTED_VALUE"""),"브랜디 45ml, 민트 리큐르 15ml")</f>
        <v>브랜디 45ml, 민트 리큐르 15ml</v>
      </c>
      <c r="F210" s="5"/>
    </row>
    <row r="211">
      <c r="A211" s="5" t="str">
        <f>IFERROR(__xludf.DUMMYFUNCTION("""COMPUTED_VALUE"""),"스푸모니")</f>
        <v>스푸모니</v>
      </c>
      <c r="B211" s="5" t="str">
        <f>IFERROR(__xludf.DUMMYFUNCTION("""COMPUTED_VALUE"""),"캄파리")</f>
        <v>캄파리</v>
      </c>
      <c r="C211" s="5" t="str">
        <f>IFERROR(__xludf.DUMMYFUNCTION("""COMPUTED_VALUE"""),"빌드")</f>
        <v>빌드</v>
      </c>
      <c r="D211" s="8">
        <f>IFERROR(__xludf.DUMMYFUNCTION("""COMPUTED_VALUE"""),0.0)</f>
        <v>0</v>
      </c>
      <c r="E211" s="5" t="str">
        <f>IFERROR(__xludf.DUMMYFUNCTION("""COMPUTED_VALUE"""),"캄파리 20ml, 자몽 주스 30ml, 토닉워터 적당량, 자몽 1조각")</f>
        <v>캄파리 20ml, 자몽 주스 30ml, 토닉워터 적당량, 자몽 1조각</v>
      </c>
      <c r="F211" s="5"/>
    </row>
    <row r="212">
      <c r="A212" s="5" t="str">
        <f>IFERROR(__xludf.DUMMYFUNCTION("""COMPUTED_VALUE"""),"슬로 진 하이볼")</f>
        <v>슬로 진 하이볼</v>
      </c>
      <c r="B212" s="5" t="str">
        <f>IFERROR(__xludf.DUMMYFUNCTION("""COMPUTED_VALUE"""),"진")</f>
        <v>진</v>
      </c>
      <c r="C212" s="5" t="str">
        <f>IFERROR(__xludf.DUMMYFUNCTION("""COMPUTED_VALUE"""),"쉐이킹")</f>
        <v>쉐이킹</v>
      </c>
      <c r="D212" s="8">
        <f>IFERROR(__xludf.DUMMYFUNCTION("""COMPUTED_VALUE"""),0.0)</f>
        <v>0</v>
      </c>
      <c r="E212" s="5" t="str">
        <f>IFERROR(__xludf.DUMMYFUNCTION("""COMPUTED_VALUE"""),"슬로 진 75ml, 레몬즙 30ml, 심플시럽 15ml, 쉐이킹 후 탄산수 필업")</f>
        <v>슬로 진 75ml, 레몬즙 30ml, 심플시럽 15ml, 쉐이킹 후 탄산수 필업</v>
      </c>
      <c r="F212" s="5"/>
    </row>
    <row r="213">
      <c r="A213" s="5" t="str">
        <f>IFERROR(__xludf.DUMMYFUNCTION("""COMPUTED_VALUE"""),"슬로진 사워")</f>
        <v>슬로진 사워</v>
      </c>
      <c r="B213" s="5" t="str">
        <f>IFERROR(__xludf.DUMMYFUNCTION("""COMPUTED_VALUE"""),"진")</f>
        <v>진</v>
      </c>
      <c r="C213" s="5" t="str">
        <f>IFERROR(__xludf.DUMMYFUNCTION("""COMPUTED_VALUE"""),"쉐이킹")</f>
        <v>쉐이킹</v>
      </c>
      <c r="D213" s="8">
        <f>IFERROR(__xludf.DUMMYFUNCTION("""COMPUTED_VALUE"""),0.0)</f>
        <v>0</v>
      </c>
      <c r="E213" s="5" t="str">
        <f>IFERROR(__xludf.DUMMYFUNCTION("""COMPUTED_VALUE"""),"슬로진 30ml, 레몬즙 15ml, 설탕 1티스푼, 쉐이킹 후 탄산수 필업")</f>
        <v>슬로진 30ml, 레몬즙 15ml, 설탕 1티스푼, 쉐이킹 후 탄산수 필업</v>
      </c>
      <c r="F213" s="5"/>
    </row>
    <row r="214">
      <c r="A214" s="5" t="str">
        <f>IFERROR(__xludf.DUMMYFUNCTION("""COMPUTED_VALUE"""),"시티 리키")</f>
        <v>시티 리키</v>
      </c>
      <c r="B214" s="5" t="str">
        <f>IFERROR(__xludf.DUMMYFUNCTION("""COMPUTED_VALUE"""),"진")</f>
        <v>진</v>
      </c>
      <c r="C214" s="5" t="str">
        <f>IFERROR(__xludf.DUMMYFUNCTION("""COMPUTED_VALUE"""),"쉐이킹")</f>
        <v>쉐이킹</v>
      </c>
      <c r="D214" s="8">
        <f>IFERROR(__xludf.DUMMYFUNCTION("""COMPUTED_VALUE"""),0.0)</f>
        <v>0</v>
      </c>
      <c r="E214" s="5" t="str">
        <f>IFERROR(__xludf.DUMMYFUNCTION("""COMPUTED_VALUE"""),"진 45ml, 트리플 섹 30ml, 크렌베리 주스 45ml, 라임즙 15ml, 쉐이킹 후 탄산수 필업")</f>
        <v>진 45ml, 트리플 섹 30ml, 크렌베리 주스 45ml, 라임즙 15ml, 쉐이킹 후 탄산수 필업</v>
      </c>
      <c r="F214" s="5"/>
    </row>
    <row r="215">
      <c r="A215" s="5" t="str">
        <f>IFERROR(__xludf.DUMMYFUNCTION("""COMPUTED_VALUE"""),"실버 라이닝")</f>
        <v>실버 라이닝</v>
      </c>
      <c r="B215" s="5" t="str">
        <f>IFERROR(__xludf.DUMMYFUNCTION("""COMPUTED_VALUE"""),"위스키")</f>
        <v>위스키</v>
      </c>
      <c r="C215" s="5" t="str">
        <f>IFERROR(__xludf.DUMMYFUNCTION("""COMPUTED_VALUE"""),"쉐이킹")</f>
        <v>쉐이킹</v>
      </c>
      <c r="D215" s="8">
        <f>IFERROR(__xludf.DUMMYFUNCTION("""COMPUTED_VALUE"""),0.0)</f>
        <v>0</v>
      </c>
      <c r="E215" s="5" t="str">
        <f>IFERROR(__xludf.DUMMYFUNCTION("""COMPUTED_VALUE"""),"라이 or 버번 or 블렌디드 위스키 45ml, 바닐라 리큐르 22.5ml, 레몬즙 22.5ml, 계란 흰자 1개, 쉐이킹 후 탄산수 60ml")</f>
        <v>라이 or 버번 or 블렌디드 위스키 45ml, 바닐라 리큐르 22.5ml, 레몬즙 22.5ml, 계란 흰자 1개, 쉐이킹 후 탄산수 60ml</v>
      </c>
      <c r="F215" s="5"/>
    </row>
    <row r="216">
      <c r="A216" s="5" t="str">
        <f>IFERROR(__xludf.DUMMYFUNCTION("""COMPUTED_VALUE"""),"실버 캐딜락")</f>
        <v>실버 캐딜락</v>
      </c>
      <c r="B216" s="5" t="str">
        <f>IFERROR(__xludf.DUMMYFUNCTION("""COMPUTED_VALUE"""),"리큐르")</f>
        <v>리큐르</v>
      </c>
      <c r="C216" s="5" t="str">
        <f>IFERROR(__xludf.DUMMYFUNCTION("""COMPUTED_VALUE"""),"쉐이킹")</f>
        <v>쉐이킹</v>
      </c>
      <c r="D216" s="8">
        <f>IFERROR(__xludf.DUMMYFUNCTION("""COMPUTED_VALUE"""),0.0)</f>
        <v>0</v>
      </c>
      <c r="E216" s="5" t="str">
        <f>IFERROR(__xludf.DUMMYFUNCTION("""COMPUTED_VALUE"""),"크렘 드 카카오 60ml, 화이트 삼부카 22.5ml, 크림 30ml")</f>
        <v>크렘 드 카카오 60ml, 화이트 삼부카 22.5ml, 크림 30ml</v>
      </c>
      <c r="F216" s="5"/>
    </row>
    <row r="217">
      <c r="A217" s="5" t="str">
        <f>IFERROR(__xludf.DUMMYFUNCTION("""COMPUTED_VALUE"""),"싱가폴 슬링")</f>
        <v>싱가폴 슬링</v>
      </c>
      <c r="B217" s="5" t="str">
        <f>IFERROR(__xludf.DUMMYFUNCTION("""COMPUTED_VALUE"""),"진")</f>
        <v>진</v>
      </c>
      <c r="C217" s="5" t="str">
        <f>IFERROR(__xludf.DUMMYFUNCTION("""COMPUTED_VALUE"""),"쉐이킹")</f>
        <v>쉐이킹</v>
      </c>
      <c r="D217" s="8">
        <f>IFERROR(__xludf.DUMMYFUNCTION("""COMPUTED_VALUE"""),0.0)</f>
        <v>0</v>
      </c>
      <c r="E217" s="5" t="str">
        <f>IFERROR(__xludf.DUMMYFUNCTION("""COMPUTED_VALUE"""),"드라이 진 45ml, 레몬즙 15ml, 설탕 1티스푼, 쉐이킹 후 클럽소다 필업, 체리 브랜디 15ml 띄워주기")</f>
        <v>드라이 진 45ml, 레몬즙 15ml, 설탕 1티스푼, 쉐이킹 후 클럽소다 필업, 체리 브랜디 15ml 띄워주기</v>
      </c>
      <c r="F217" s="5"/>
    </row>
    <row r="218">
      <c r="A218" s="5" t="str">
        <f>IFERROR(__xludf.DUMMYFUNCTION("""COMPUTED_VALUE"""),"싱커")</f>
        <v>싱커</v>
      </c>
      <c r="B218" s="5" t="str">
        <f>IFERROR(__xludf.DUMMYFUNCTION("""COMPUTED_VALUE"""),"위스키")</f>
        <v>위스키</v>
      </c>
      <c r="C218" s="5" t="str">
        <f>IFERROR(__xludf.DUMMYFUNCTION("""COMPUTED_VALUE"""),"쉐이킹")</f>
        <v>쉐이킹</v>
      </c>
      <c r="D218" s="8">
        <f>IFERROR(__xludf.DUMMYFUNCTION("""COMPUTED_VALUE"""),0.0)</f>
        <v>0</v>
      </c>
      <c r="E218" s="5" t="str">
        <f>IFERROR(__xludf.DUMMYFUNCTION("""COMPUTED_VALUE"""),"스카치 위스키 60ml, 파인애플 주스 30ml, 레몬즙 15ml, 생강 시럽 15ml, 가니쉬 파인애플 조각, 생강")</f>
        <v>스카치 위스키 60ml, 파인애플 주스 30ml, 레몬즙 15ml, 생강 시럽 15ml, 가니쉬 파인애플 조각, 생강</v>
      </c>
      <c r="F218" s="5"/>
    </row>
    <row r="219">
      <c r="A219" s="5" t="str">
        <f>IFERROR(__xludf.DUMMYFUNCTION("""COMPUTED_VALUE"""),"썬 번")</f>
        <v>썬 번</v>
      </c>
      <c r="B219" s="5" t="str">
        <f>IFERROR(__xludf.DUMMYFUNCTION("""COMPUTED_VALUE"""),"데낄라")</f>
        <v>데낄라</v>
      </c>
      <c r="C219" s="5" t="str">
        <f>IFERROR(__xludf.DUMMYFUNCTION("""COMPUTED_VALUE"""),"빌드")</f>
        <v>빌드</v>
      </c>
      <c r="D219" s="8">
        <f>IFERROR(__xludf.DUMMYFUNCTION("""COMPUTED_VALUE"""),0.0)</f>
        <v>0</v>
      </c>
      <c r="E219" s="5" t="str">
        <f>IFERROR(__xludf.DUMMYFUNCTION("""COMPUTED_VALUE"""),"데낄라 40ml, 트리플 섹 30ml, 크렌베리 주스 90ml")</f>
        <v>데낄라 40ml, 트리플 섹 30ml, 크렌베리 주스 90ml</v>
      </c>
      <c r="F219" s="5"/>
    </row>
    <row r="220">
      <c r="A220" s="5" t="str">
        <f>IFERROR(__xludf.DUMMYFUNCTION("""COMPUTED_VALUE"""),"썬샤인")</f>
        <v>썬샤인</v>
      </c>
      <c r="B220" s="5" t="str">
        <f>IFERROR(__xludf.DUMMYFUNCTION("""COMPUTED_VALUE"""),"논 알코올")</f>
        <v>논 알코올</v>
      </c>
      <c r="C220" s="5" t="str">
        <f>IFERROR(__xludf.DUMMYFUNCTION("""COMPUTED_VALUE"""),"빌드")</f>
        <v>빌드</v>
      </c>
      <c r="D220" s="8">
        <f>IFERROR(__xludf.DUMMYFUNCTION("""COMPUTED_VALUE"""),0.0)</f>
        <v>0</v>
      </c>
      <c r="E220" s="5" t="str">
        <f>IFERROR(__xludf.DUMMYFUNCTION("""COMPUTED_VALUE"""),"파인애플 주스 60ml, 오렌지 주스 30ml, 레몬즙 15ml, 그레나딘 시럽 15ml")</f>
        <v>파인애플 주스 60ml, 오렌지 주스 30ml, 레몬즙 15ml, 그레나딘 시럽 15ml</v>
      </c>
      <c r="F220" s="5"/>
    </row>
    <row r="221">
      <c r="A221" s="5" t="str">
        <f>IFERROR(__xludf.DUMMYFUNCTION("""COMPUTED_VALUE"""),"썬플라워 하이볼")</f>
        <v>썬플라워 하이볼</v>
      </c>
      <c r="B221" s="5" t="str">
        <f>IFERROR(__xludf.DUMMYFUNCTION("""COMPUTED_VALUE"""),"보드카")</f>
        <v>보드카</v>
      </c>
      <c r="C221" s="5" t="str">
        <f>IFERROR(__xludf.DUMMYFUNCTION("""COMPUTED_VALUE"""),"빌드")</f>
        <v>빌드</v>
      </c>
      <c r="D221" s="8">
        <f>IFERROR(__xludf.DUMMYFUNCTION("""COMPUTED_VALUE"""),0.0)</f>
        <v>0</v>
      </c>
      <c r="E221" s="5" t="str">
        <f>IFERROR(__xludf.DUMMYFUNCTION("""COMPUTED_VALUE"""),"보드카 45ml, 바닐라 리큐르 30ml, 오렌지 주스 120ml")</f>
        <v>보드카 45ml, 바닐라 리큐르 30ml, 오렌지 주스 120ml</v>
      </c>
      <c r="F221" s="5"/>
    </row>
    <row r="222">
      <c r="A222" s="5" t="str">
        <f>IFERROR(__xludf.DUMMYFUNCTION("""COMPUTED_VALUE"""),"씨 브리즈")</f>
        <v>씨 브리즈</v>
      </c>
      <c r="B222" s="5" t="str">
        <f>IFERROR(__xludf.DUMMYFUNCTION("""COMPUTED_VALUE"""),"보드카")</f>
        <v>보드카</v>
      </c>
      <c r="C222" s="5" t="str">
        <f>IFERROR(__xludf.DUMMYFUNCTION("""COMPUTED_VALUE"""),"빌드")</f>
        <v>빌드</v>
      </c>
      <c r="D222" s="8">
        <f>IFERROR(__xludf.DUMMYFUNCTION("""COMPUTED_VALUE"""),0.0)</f>
        <v>0</v>
      </c>
      <c r="E222" s="5" t="str">
        <f>IFERROR(__xludf.DUMMYFUNCTION("""COMPUTED_VALUE"""),"보드카 30ml, 자몽 주스 30ml, 라임즙 15ml, 크렌베리 주스 적당량")</f>
        <v>보드카 30ml, 자몽 주스 30ml, 라임즙 15ml, 크렌베리 주스 적당량</v>
      </c>
      <c r="F222" s="5"/>
    </row>
    <row r="223">
      <c r="A223" s="5" t="str">
        <f>IFERROR(__xludf.DUMMYFUNCTION("""COMPUTED_VALUE"""),"씨 브리즈2")</f>
        <v>씨 브리즈2</v>
      </c>
      <c r="B223" s="5" t="str">
        <f>IFERROR(__xludf.DUMMYFUNCTION("""COMPUTED_VALUE"""),"보드카")</f>
        <v>보드카</v>
      </c>
      <c r="C223" s="5" t="str">
        <f>IFERROR(__xludf.DUMMYFUNCTION("""COMPUTED_VALUE"""),"쉐이킹")</f>
        <v>쉐이킹</v>
      </c>
      <c r="D223" s="8">
        <f>IFERROR(__xludf.DUMMYFUNCTION("""COMPUTED_VALUE"""),0.0)</f>
        <v>0</v>
      </c>
      <c r="E223" s="5" t="str">
        <f>IFERROR(__xludf.DUMMYFUNCTION("""COMPUTED_VALUE"""),"보드카 40ml, 크렌베리 주스 100ml, 자몽 주스 40ml, 라임 웨지")</f>
        <v>보드카 40ml, 크렌베리 주스 100ml, 자몽 주스 40ml, 라임 웨지</v>
      </c>
      <c r="F223" s="5"/>
    </row>
    <row r="224">
      <c r="A224" s="5" t="str">
        <f>IFERROR(__xludf.DUMMYFUNCTION("""COMPUTED_VALUE"""),"아가보니")</f>
        <v>아가보니</v>
      </c>
      <c r="B224" s="5" t="str">
        <f>IFERROR(__xludf.DUMMYFUNCTION("""COMPUTED_VALUE"""),"데낄라")</f>
        <v>데낄라</v>
      </c>
      <c r="C224" s="5" t="str">
        <f>IFERROR(__xludf.DUMMYFUNCTION("""COMPUTED_VALUE"""),"스터")</f>
        <v>스터</v>
      </c>
      <c r="D224" s="8">
        <f>IFERROR(__xludf.DUMMYFUNCTION("""COMPUTED_VALUE"""),0.0)</f>
        <v>0</v>
      </c>
      <c r="E224" s="5" t="str">
        <f>IFERROR(__xludf.DUMMYFUNCTION("""COMPUTED_VALUE"""),"데낄라 23ml, 캄파리 23ml, 스윗 베르뭇 23ml, 오렌지 비터스 2대쉬")</f>
        <v>데낄라 23ml, 캄파리 23ml, 스윗 베르뭇 23ml, 오렌지 비터스 2대쉬</v>
      </c>
      <c r="F224" s="5"/>
    </row>
    <row r="225">
      <c r="A225" s="5" t="str">
        <f>IFERROR(__xludf.DUMMYFUNCTION("""COMPUTED_VALUE"""),"아도니스")</f>
        <v>아도니스</v>
      </c>
      <c r="B225" s="5" t="str">
        <f>IFERROR(__xludf.DUMMYFUNCTION("""COMPUTED_VALUE"""),"와인")</f>
        <v>와인</v>
      </c>
      <c r="C225" s="5" t="str">
        <f>IFERROR(__xludf.DUMMYFUNCTION("""COMPUTED_VALUE"""),"스터")</f>
        <v>스터</v>
      </c>
      <c r="D225" s="8">
        <f>IFERROR(__xludf.DUMMYFUNCTION("""COMPUTED_VALUE"""),0.0)</f>
        <v>0</v>
      </c>
      <c r="E225" s="5" t="str">
        <f>IFERROR(__xludf.DUMMYFUNCTION("""COMPUTED_VALUE"""),"드라이 셰리 60ml, 스윗 베르뭇 30ml, 오렌지 비터 2대쉬")</f>
        <v>드라이 셰리 60ml, 스윗 베르뭇 30ml, 오렌지 비터 2대쉬</v>
      </c>
      <c r="F225" s="5"/>
    </row>
    <row r="226">
      <c r="A226" s="5" t="str">
        <f>IFERROR(__xludf.DUMMYFUNCTION("""COMPUTED_VALUE"""),"아디오스 마더 퍼커")</f>
        <v>아디오스 마더 퍼커</v>
      </c>
      <c r="B226" s="5" t="str">
        <f>IFERROR(__xludf.DUMMYFUNCTION("""COMPUTED_VALUE"""),"혼합")</f>
        <v>혼합</v>
      </c>
      <c r="C226" s="5" t="str">
        <f>IFERROR(__xludf.DUMMYFUNCTION("""COMPUTED_VALUE"""),"쉐이킹 or 빌드")</f>
        <v>쉐이킹 or 빌드</v>
      </c>
      <c r="D226" s="8">
        <f>IFERROR(__xludf.DUMMYFUNCTION("""COMPUTED_VALUE"""),6.0)</f>
        <v>6</v>
      </c>
      <c r="E226" s="5" t="str">
        <f>IFERROR(__xludf.DUMMYFUNCTION("""COMPUTED_VALUE"""),"럼 15ml, 진 15ml, 보드카 15ml, 데낄라 15ml, 블루 큐라소 15ml, 라임즙 15ml, 사워믹스 60ml, 사이다 필업(쉐이킹 후)")</f>
        <v>럼 15ml, 진 15ml, 보드카 15ml, 데낄라 15ml, 블루 큐라소 15ml, 라임즙 15ml, 사워믹스 60ml, 사이다 필업(쉐이킹 후)</v>
      </c>
      <c r="F226" s="5" t="str">
        <f>IFERROR(__xludf.DUMMYFUNCTION("""COMPUTED_VALUE"""),"무난한 롱티류")</f>
        <v>무난한 롱티류</v>
      </c>
    </row>
    <row r="227">
      <c r="A227" s="5" t="str">
        <f>IFERROR(__xludf.DUMMYFUNCTION("""COMPUTED_VALUE"""),"아마레또 사워")</f>
        <v>아마레또 사워</v>
      </c>
      <c r="B227" s="5" t="str">
        <f>IFERROR(__xludf.DUMMYFUNCTION("""COMPUTED_VALUE"""),"아마레또")</f>
        <v>아마레또</v>
      </c>
      <c r="C227" s="5" t="str">
        <f>IFERROR(__xludf.DUMMYFUNCTION("""COMPUTED_VALUE"""),"쉐이킹")</f>
        <v>쉐이킹</v>
      </c>
      <c r="D227" s="8">
        <f>IFERROR(__xludf.DUMMYFUNCTION("""COMPUTED_VALUE"""),0.0)</f>
        <v>0</v>
      </c>
      <c r="E227" s="5" t="str">
        <f>IFERROR(__xludf.DUMMYFUNCTION("""COMPUTED_VALUE"""),"아마레또 45ml, 버번 위스키 22.5ml, 레몬즙 30ml, 계란 흰자 1개, 심플시럽 1티스푼, 드라이쉐이킹 후 쉐이킹")</f>
        <v>아마레또 45ml, 버번 위스키 22.5ml, 레몬즙 30ml, 계란 흰자 1개, 심플시럽 1티스푼, 드라이쉐이킹 후 쉐이킹</v>
      </c>
      <c r="F227" s="5"/>
    </row>
    <row r="228">
      <c r="A228" s="5" t="str">
        <f>IFERROR(__xludf.DUMMYFUNCTION("""COMPUTED_VALUE"""),"아마레또 오렌지")</f>
        <v>아마레또 오렌지</v>
      </c>
      <c r="B228" s="5" t="str">
        <f>IFERROR(__xludf.DUMMYFUNCTION("""COMPUTED_VALUE"""),"아마레또")</f>
        <v>아마레또</v>
      </c>
      <c r="C228" s="5" t="str">
        <f>IFERROR(__xludf.DUMMYFUNCTION("""COMPUTED_VALUE"""),"빌드")</f>
        <v>빌드</v>
      </c>
      <c r="D228" s="8">
        <f>IFERROR(__xludf.DUMMYFUNCTION("""COMPUTED_VALUE"""),0.0)</f>
        <v>0</v>
      </c>
      <c r="E228" s="5" t="str">
        <f>IFERROR(__xludf.DUMMYFUNCTION("""COMPUTED_VALUE"""),"레몬즙 15ml, 오렌지 주스 60ml, 아마레또 30ml")</f>
        <v>레몬즙 15ml, 오렌지 주스 60ml, 아마레또 30ml</v>
      </c>
      <c r="F228" s="5"/>
    </row>
    <row r="229">
      <c r="A229" s="5" t="str">
        <f>IFERROR(__xludf.DUMMYFUNCTION("""COMPUTED_VALUE"""),"아메리카노")</f>
        <v>아메리카노</v>
      </c>
      <c r="B229" s="5" t="str">
        <f>IFERROR(__xludf.DUMMYFUNCTION("""COMPUTED_VALUE"""),"캄파리")</f>
        <v>캄파리</v>
      </c>
      <c r="C229" s="5" t="str">
        <f>IFERROR(__xludf.DUMMYFUNCTION("""COMPUTED_VALUE"""),"빌드")</f>
        <v>빌드</v>
      </c>
      <c r="D229" s="8">
        <f>IFERROR(__xludf.DUMMYFUNCTION("""COMPUTED_VALUE"""),0.0)</f>
        <v>0</v>
      </c>
      <c r="E229" s="5" t="str">
        <f>IFERROR(__xludf.DUMMYFUNCTION("""COMPUTED_VALUE"""),"캄파리 30ml, 스윗 베르뭇 30ml, 탄산수 필업")</f>
        <v>캄파리 30ml, 스윗 베르뭇 30ml, 탄산수 필업</v>
      </c>
      <c r="F229" s="5"/>
    </row>
    <row r="230">
      <c r="A230" s="5" t="str">
        <f>IFERROR(__xludf.DUMMYFUNCTION("""COMPUTED_VALUE"""),"아메리칸 뷰티")</f>
        <v>아메리칸 뷰티</v>
      </c>
      <c r="B230" s="5" t="str">
        <f>IFERROR(__xludf.DUMMYFUNCTION("""COMPUTED_VALUE"""),"혼합")</f>
        <v>혼합</v>
      </c>
      <c r="C230" s="5" t="str">
        <f>IFERROR(__xludf.DUMMYFUNCTION("""COMPUTED_VALUE"""),"쉐이킹")</f>
        <v>쉐이킹</v>
      </c>
      <c r="D230" s="8">
        <f>IFERROR(__xludf.DUMMYFUNCTION("""COMPUTED_VALUE"""),0.0)</f>
        <v>0</v>
      </c>
      <c r="E230" s="5" t="str">
        <f>IFERROR(__xludf.DUMMYFUNCTION("""COMPUTED_VALUE"""),"브랜디 15ml, 드라이 베르뭇 15ml, 오렌지 주스 15ml, 그레나딘 시럽 15ml, 민트 화이트 1대쉬, 쉐이킹 후 포트 와인 살짝 따라주기")</f>
        <v>브랜디 15ml, 드라이 베르뭇 15ml, 오렌지 주스 15ml, 그레나딘 시럽 15ml, 민트 화이트 1대쉬, 쉐이킹 후 포트 와인 살짝 따라주기</v>
      </c>
      <c r="F230" s="5"/>
    </row>
    <row r="231">
      <c r="A231" s="5" t="str">
        <f>IFERROR(__xludf.DUMMYFUNCTION("""COMPUTED_VALUE"""),"아몬드 브라더")</f>
        <v>아몬드 브라더</v>
      </c>
      <c r="B231" s="5" t="str">
        <f>IFERROR(__xludf.DUMMYFUNCTION("""COMPUTED_VALUE"""),"데낄라")</f>
        <v>데낄라</v>
      </c>
      <c r="C231" s="5" t="str">
        <f>IFERROR(__xludf.DUMMYFUNCTION("""COMPUTED_VALUE"""),"쉐이킹")</f>
        <v>쉐이킹</v>
      </c>
      <c r="D231" s="8">
        <f>IFERROR(__xludf.DUMMYFUNCTION("""COMPUTED_VALUE"""),0.0)</f>
        <v>0</v>
      </c>
      <c r="E231" s="5" t="str">
        <f>IFERROR(__xludf.DUMMYFUNCTION("""COMPUTED_VALUE"""),"블랑코 데낄라 60ml, 아마레또 7.5ml, 애프리콧 브랜디 1티스푼, 라임즙 22.5ml, 오르쟈 시럽 7.5ml, 메이플 시럽 7.5ml")</f>
        <v>블랑코 데낄라 60ml, 아마레또 7.5ml, 애프리콧 브랜디 1티스푼, 라임즙 22.5ml, 오르쟈 시럽 7.5ml, 메이플 시럽 7.5ml</v>
      </c>
      <c r="F231" s="5"/>
    </row>
    <row r="232">
      <c r="A232" s="5" t="str">
        <f>IFERROR(__xludf.DUMMYFUNCTION("""COMPUTED_VALUE"""),"아미&amp;네이비")</f>
        <v>아미&amp;네이비</v>
      </c>
      <c r="B232" s="5" t="str">
        <f>IFERROR(__xludf.DUMMYFUNCTION("""COMPUTED_VALUE"""),"진")</f>
        <v>진</v>
      </c>
      <c r="C232" s="5" t="str">
        <f>IFERROR(__xludf.DUMMYFUNCTION("""COMPUTED_VALUE"""),"쉐이킹")</f>
        <v>쉐이킹</v>
      </c>
      <c r="D232" s="8">
        <f>IFERROR(__xludf.DUMMYFUNCTION("""COMPUTED_VALUE"""),0.0)</f>
        <v>0</v>
      </c>
      <c r="E232" s="5" t="str">
        <f>IFERROR(__xludf.DUMMYFUNCTION("""COMPUTED_VALUE"""),"진 60ml, 레몬즙 15ml, 오르쟈 시럽13ml, 앙고스투라 1대쉬")</f>
        <v>진 60ml, 레몬즙 15ml, 오르쟈 시럽13ml, 앙고스투라 1대쉬</v>
      </c>
      <c r="F232" s="5"/>
    </row>
    <row r="233">
      <c r="A233" s="5" t="str">
        <f>IFERROR(__xludf.DUMMYFUNCTION("""COMPUTED_VALUE"""),"아스토르 마티니")</f>
        <v>아스토르 마티니</v>
      </c>
      <c r="B233" s="5" t="str">
        <f>IFERROR(__xludf.DUMMYFUNCTION("""COMPUTED_VALUE"""),"보드카 or 진")</f>
        <v>보드카 or 진</v>
      </c>
      <c r="C233" s="5" t="str">
        <f>IFERROR(__xludf.DUMMYFUNCTION("""COMPUTED_VALUE"""),"쉐이킹")</f>
        <v>쉐이킹</v>
      </c>
      <c r="D233" s="8">
        <f>IFERROR(__xludf.DUMMYFUNCTION("""COMPUTED_VALUE"""),0.0)</f>
        <v>0</v>
      </c>
      <c r="E233" s="5" t="str">
        <f>IFERROR(__xludf.DUMMYFUNCTION("""COMPUTED_VALUE"""),"보드카 or 진 60ml, 캄파리 15ml, 자몽 주스 30ml")</f>
        <v>보드카 or 진 60ml, 캄파리 15ml, 자몽 주스 30ml</v>
      </c>
      <c r="F233" s="5"/>
    </row>
    <row r="234">
      <c r="A234" s="5" t="str">
        <f>IFERROR(__xludf.DUMMYFUNCTION("""COMPUTED_VALUE"""),"아우로라")</f>
        <v>아우로라</v>
      </c>
      <c r="B234" s="5" t="str">
        <f>IFERROR(__xludf.DUMMYFUNCTION("""COMPUTED_VALUE"""),"카카오 화이트")</f>
        <v>카카오 화이트</v>
      </c>
      <c r="C234" s="5" t="str">
        <f>IFERROR(__xludf.DUMMYFUNCTION("""COMPUTED_VALUE"""),"쉐이킹")</f>
        <v>쉐이킹</v>
      </c>
      <c r="D234" s="8">
        <f>IFERROR(__xludf.DUMMYFUNCTION("""COMPUTED_VALUE"""),0.0)</f>
        <v>0</v>
      </c>
      <c r="E234" s="5" t="str">
        <f>IFERROR(__xludf.DUMMYFUNCTION("""COMPUTED_VALUE"""),"카카오 화이트 45ml, 우유 45ml, 블루큐라소 15ml, 디사론노 30ml")</f>
        <v>카카오 화이트 45ml, 우유 45ml, 블루큐라소 15ml, 디사론노 30ml</v>
      </c>
      <c r="F234" s="5"/>
    </row>
    <row r="235">
      <c r="A235" s="5" t="str">
        <f>IFERROR(__xludf.DUMMYFUNCTION("""COMPUTED_VALUE"""),"아이 위시")</f>
        <v>아이 위시</v>
      </c>
      <c r="B235" s="5" t="str">
        <f>IFERROR(__xludf.DUMMYFUNCTION("""COMPUTED_VALUE"""),"말리부")</f>
        <v>말리부</v>
      </c>
      <c r="C235" s="5" t="str">
        <f>IFERROR(__xludf.DUMMYFUNCTION("""COMPUTED_VALUE"""),"쉐이킹")</f>
        <v>쉐이킹</v>
      </c>
      <c r="D235" s="8">
        <f>IFERROR(__xludf.DUMMYFUNCTION("""COMPUTED_VALUE"""),0.0)</f>
        <v>0</v>
      </c>
      <c r="E235" s="5" t="str">
        <f>IFERROR(__xludf.DUMMYFUNCTION("""COMPUTED_VALUE"""),"보드카 15ml, 멜론 리큐르 15ml, 말리부 22.5ml, 바나나 22.5ml, 사워믹스 45ml, 우유 22.5ml, 그레나딘 시럽 15ml")</f>
        <v>보드카 15ml, 멜론 리큐르 15ml, 말리부 22.5ml, 바나나 22.5ml, 사워믹스 45ml, 우유 22.5ml, 그레나딘 시럽 15ml</v>
      </c>
      <c r="F235" s="5"/>
    </row>
    <row r="236">
      <c r="A236" s="5" t="str">
        <f>IFERROR(__xludf.DUMMYFUNCTION("""COMPUTED_VALUE"""),"아이리쉬 마티니")</f>
        <v>아이리쉬 마티니</v>
      </c>
      <c r="B236" s="5" t="str">
        <f>IFERROR(__xludf.DUMMYFUNCTION("""COMPUTED_VALUE"""),"위스키")</f>
        <v>위스키</v>
      </c>
      <c r="C236" s="5" t="str">
        <f>IFERROR(__xludf.DUMMYFUNCTION("""COMPUTED_VALUE"""),"쉐이킹")</f>
        <v>쉐이킹</v>
      </c>
      <c r="D236" s="8">
        <f>IFERROR(__xludf.DUMMYFUNCTION("""COMPUTED_VALUE"""),0.0)</f>
        <v>0</v>
      </c>
      <c r="E236" s="5" t="str">
        <f>IFERROR(__xludf.DUMMYFUNCTION("""COMPUTED_VALUE"""),"아이리쉬 위스키 45ml, 에스프레소 30ml, 커피 리큐르 15ml, 심플시럽 7.5ml")</f>
        <v>아이리쉬 위스키 45ml, 에스프레소 30ml, 커피 리큐르 15ml, 심플시럽 7.5ml</v>
      </c>
      <c r="F236" s="5"/>
    </row>
    <row r="237">
      <c r="A237" s="5" t="str">
        <f>IFERROR(__xludf.DUMMYFUNCTION("""COMPUTED_VALUE"""),"아이리쉬 카밤")</f>
        <v>아이리쉬 카밤</v>
      </c>
      <c r="B237" s="5"/>
      <c r="C237" s="5" t="str">
        <f>IFERROR(__xludf.DUMMYFUNCTION("""COMPUTED_VALUE"""),"빌드")</f>
        <v>빌드</v>
      </c>
      <c r="D237" s="8">
        <f>IFERROR(__xludf.DUMMYFUNCTION("""COMPUTED_VALUE"""),0.0)</f>
        <v>0</v>
      </c>
      <c r="E237" s="5" t="str">
        <f>IFERROR(__xludf.DUMMYFUNCTION("""COMPUTED_VALUE"""),"기네스 7부, 샷글라스에 베일리스 절반, 아이리쉬 위스키 약간 플로팅, 그리고 기네스에 풍덩! 원샷!")</f>
        <v>기네스 7부, 샷글라스에 베일리스 절반, 아이리쉬 위스키 약간 플로팅, 그리고 기네스에 풍덩! 원샷!</v>
      </c>
      <c r="F237" s="5"/>
    </row>
    <row r="238">
      <c r="A238" s="5" t="str">
        <f>IFERROR(__xludf.DUMMYFUNCTION("""COMPUTED_VALUE"""),"아이리쉬 캑터스")</f>
        <v>아이리쉬 캑터스</v>
      </c>
      <c r="B238" s="5" t="str">
        <f>IFERROR(__xludf.DUMMYFUNCTION("""COMPUTED_VALUE"""),"데낄라")</f>
        <v>데낄라</v>
      </c>
      <c r="C238" s="5" t="str">
        <f>IFERROR(__xludf.DUMMYFUNCTION("""COMPUTED_VALUE"""),"빌드")</f>
        <v>빌드</v>
      </c>
      <c r="D238" s="8">
        <f>IFERROR(__xludf.DUMMYFUNCTION("""COMPUTED_VALUE"""),0.0)</f>
        <v>0</v>
      </c>
      <c r="E238" s="5" t="str">
        <f>IFERROR(__xludf.DUMMYFUNCTION("""COMPUTED_VALUE"""),"데낄라 30ml, 베일리스 30ml")</f>
        <v>데낄라 30ml, 베일리스 30ml</v>
      </c>
      <c r="F238" s="5"/>
    </row>
    <row r="239">
      <c r="A239" s="5" t="str">
        <f>IFERROR(__xludf.DUMMYFUNCTION("""COMPUTED_VALUE"""),"아이리쉬 커피")</f>
        <v>아이리쉬 커피</v>
      </c>
      <c r="B239" s="5" t="str">
        <f>IFERROR(__xludf.DUMMYFUNCTION("""COMPUTED_VALUE"""),"제임슨")</f>
        <v>제임슨</v>
      </c>
      <c r="C239" s="5" t="str">
        <f>IFERROR(__xludf.DUMMYFUNCTION("""COMPUTED_VALUE"""),"빌드")</f>
        <v>빌드</v>
      </c>
      <c r="D239" s="8">
        <f>IFERROR(__xludf.DUMMYFUNCTION("""COMPUTED_VALUE"""),0.0)</f>
        <v>0</v>
      </c>
      <c r="E239" s="5" t="str">
        <f>IFERROR(__xludf.DUMMYFUNCTION("""COMPUTED_VALUE"""),"제임슨 30ml, 에스프레소 1잔, 설탕 2티스푼, 뜨거운물(취향껏), 휘핑 or 일반크림")</f>
        <v>제임슨 30ml, 에스프레소 1잔, 설탕 2티스푼, 뜨거운물(취향껏), 휘핑 or 일반크림</v>
      </c>
      <c r="F239" s="5"/>
    </row>
    <row r="240">
      <c r="A240" s="5" t="str">
        <f>IFERROR(__xludf.DUMMYFUNCTION("""COMPUTED_VALUE"""),"아이스 브레이커")</f>
        <v>아이스 브레이커</v>
      </c>
      <c r="B240" s="5" t="str">
        <f>IFERROR(__xludf.DUMMYFUNCTION("""COMPUTED_VALUE"""),"데낄라")</f>
        <v>데낄라</v>
      </c>
      <c r="C240" s="5" t="str">
        <f>IFERROR(__xludf.DUMMYFUNCTION("""COMPUTED_VALUE"""),"쉐이킹")</f>
        <v>쉐이킹</v>
      </c>
      <c r="D240" s="8">
        <f>IFERROR(__xludf.DUMMYFUNCTION("""COMPUTED_VALUE"""),0.0)</f>
        <v>0</v>
      </c>
      <c r="E240" s="5" t="str">
        <f>IFERROR(__xludf.DUMMYFUNCTION("""COMPUTED_VALUE"""),"데낄라 30ml, 자몽주스 30ml, 트리플섹 10ml, 그레나딘 시럽 1티스푼")</f>
        <v>데낄라 30ml, 자몽주스 30ml, 트리플섹 10ml, 그레나딘 시럽 1티스푼</v>
      </c>
      <c r="F240" s="5"/>
    </row>
    <row r="241">
      <c r="A241" s="5" t="str">
        <f>IFERROR(__xludf.DUMMYFUNCTION("""COMPUTED_VALUE"""),"아이스 브레이커2")</f>
        <v>아이스 브레이커2</v>
      </c>
      <c r="B241" s="5" t="str">
        <f>IFERROR(__xludf.DUMMYFUNCTION("""COMPUTED_VALUE"""),"데낄라")</f>
        <v>데낄라</v>
      </c>
      <c r="C241" s="5" t="str">
        <f>IFERROR(__xludf.DUMMYFUNCTION("""COMPUTED_VALUE"""),"쉐이킹")</f>
        <v>쉐이킹</v>
      </c>
      <c r="D241" s="8">
        <f>IFERROR(__xludf.DUMMYFUNCTION("""COMPUTED_VALUE"""),0.0)</f>
        <v>0</v>
      </c>
      <c r="E241" s="5" t="str">
        <f>IFERROR(__xludf.DUMMYFUNCTION("""COMPUTED_VALUE"""),"데낄라 60ml, 코앵트로 1대쉬, 그레나딘 시럽 1대쉬, 자몽 주스 60ml")</f>
        <v>데낄라 60ml, 코앵트로 1대쉬, 그레나딘 시럽 1대쉬, 자몽 주스 60ml</v>
      </c>
      <c r="F241" s="5"/>
    </row>
    <row r="242">
      <c r="A242" s="5" t="str">
        <f>IFERROR(__xludf.DUMMYFUNCTION("""COMPUTED_VALUE"""),"아일랜드 골드")</f>
        <v>아일랜드 골드</v>
      </c>
      <c r="B242" s="5" t="str">
        <f>IFERROR(__xludf.DUMMYFUNCTION("""COMPUTED_VALUE"""),"위스키")</f>
        <v>위스키</v>
      </c>
      <c r="C242" s="5" t="str">
        <f>IFERROR(__xludf.DUMMYFUNCTION("""COMPUTED_VALUE"""),"빌드")</f>
        <v>빌드</v>
      </c>
      <c r="D242" s="8">
        <f>IFERROR(__xludf.DUMMYFUNCTION("""COMPUTED_VALUE"""),0.0)</f>
        <v>0</v>
      </c>
      <c r="E242" s="5" t="str">
        <f>IFERROR(__xludf.DUMMYFUNCTION("""COMPUTED_VALUE"""),"아이리쉬 위스키 60ml, 복숭아 리큐르 15ml, 오렌지 주스 15~30ml, 진저비어 or 진저에일 120ml")</f>
        <v>아이리쉬 위스키 60ml, 복숭아 리큐르 15ml, 오렌지 주스 15~30ml, 진저비어 or 진저에일 120ml</v>
      </c>
      <c r="F242" s="5"/>
    </row>
    <row r="243">
      <c r="A243" s="5" t="str">
        <f>IFERROR(__xludf.DUMMYFUNCTION("""COMPUTED_VALUE"""),"아쿠아마린")</f>
        <v>아쿠아마린</v>
      </c>
      <c r="B243" s="5" t="str">
        <f>IFERROR(__xludf.DUMMYFUNCTION("""COMPUTED_VALUE"""),"보드카")</f>
        <v>보드카</v>
      </c>
      <c r="C243" s="5" t="str">
        <f>IFERROR(__xludf.DUMMYFUNCTION("""COMPUTED_VALUE"""),"쉐이킹")</f>
        <v>쉐이킹</v>
      </c>
      <c r="D243" s="8">
        <f>IFERROR(__xludf.DUMMYFUNCTION("""COMPUTED_VALUE"""),8.0)</f>
        <v>8</v>
      </c>
      <c r="E243" s="5" t="str">
        <f>IFERROR(__xludf.DUMMYFUNCTION("""COMPUTED_VALUE"""),"보드카 30ml, 피치트리 20ml, 블루 큐라소 5ml, 사과 주스 120ml")</f>
        <v>보드카 30ml, 피치트리 20ml, 블루 큐라소 5ml, 사과 주스 120ml</v>
      </c>
      <c r="F243" s="5" t="str">
        <f>IFERROR(__xludf.DUMMYFUNCTION("""COMPUTED_VALUE"""),"박정원이 좋아함")</f>
        <v>박정원이 좋아함</v>
      </c>
    </row>
    <row r="244">
      <c r="A244" s="5" t="str">
        <f>IFERROR(__xludf.DUMMYFUNCTION("""COMPUTED_VALUE"""),"아페롤 사워")</f>
        <v>아페롤 사워</v>
      </c>
      <c r="B244" s="5" t="str">
        <f>IFERROR(__xludf.DUMMYFUNCTION("""COMPUTED_VALUE"""),"진")</f>
        <v>진</v>
      </c>
      <c r="C244" s="5" t="str">
        <f>IFERROR(__xludf.DUMMYFUNCTION("""COMPUTED_VALUE"""),"쉐이킹")</f>
        <v>쉐이킹</v>
      </c>
      <c r="D244" s="8">
        <f>IFERROR(__xludf.DUMMYFUNCTION("""COMPUTED_VALUE"""),0.0)</f>
        <v>0</v>
      </c>
      <c r="E244" s="5" t="str">
        <f>IFERROR(__xludf.DUMMYFUNCTION("""COMPUTED_VALUE"""),"진 45ml, 캄파리 15ml, 레몬즙 22.5ml, 심플시럽 15ml")</f>
        <v>진 45ml, 캄파리 15ml, 레몬즙 22.5ml, 심플시럽 15ml</v>
      </c>
      <c r="F244" s="5"/>
    </row>
    <row r="245">
      <c r="A245" s="5" t="str">
        <f>IFERROR(__xludf.DUMMYFUNCTION("""COMPUTED_VALUE"""),"안개 절단기")</f>
        <v>안개 절단기</v>
      </c>
      <c r="B245" s="5" t="str">
        <f>IFERROR(__xludf.DUMMYFUNCTION("""COMPUTED_VALUE"""),"혼합")</f>
        <v>혼합</v>
      </c>
      <c r="C245" s="5" t="str">
        <f>IFERROR(__xludf.DUMMYFUNCTION("""COMPUTED_VALUE"""),"쉐이킹")</f>
        <v>쉐이킹</v>
      </c>
      <c r="D245" s="8">
        <f>IFERROR(__xludf.DUMMYFUNCTION("""COMPUTED_VALUE"""),0.0)</f>
        <v>0</v>
      </c>
      <c r="E245" s="5" t="str">
        <f>IFERROR(__xludf.DUMMYFUNCTION("""COMPUTED_VALUE"""),"럼 45ml, 브랜디 or 꼬냑 15ml, 진 15ml, 오렌지 주스 60ml, 레몬즙 15ml, 오르쟈 시럽 15ml, 쉐이킹 후 스윗 셰리 와인 살짝 플로팅")</f>
        <v>럼 45ml, 브랜디 or 꼬냑 15ml, 진 15ml, 오렌지 주스 60ml, 레몬즙 15ml, 오르쟈 시럽 15ml, 쉐이킹 후 스윗 셰리 와인 살짝 플로팅</v>
      </c>
      <c r="F245" s="5"/>
    </row>
    <row r="246">
      <c r="A246" s="5" t="str">
        <f>IFERROR(__xludf.DUMMYFUNCTION("""COMPUTED_VALUE"""),"알라바마 교도소")</f>
        <v>알라바마 교도소</v>
      </c>
      <c r="B246" s="5" t="str">
        <f>IFERROR(__xludf.DUMMYFUNCTION("""COMPUTED_VALUE"""),"혼합")</f>
        <v>혼합</v>
      </c>
      <c r="C246" s="5" t="str">
        <f>IFERROR(__xludf.DUMMYFUNCTION("""COMPUTED_VALUE"""),"빌드")</f>
        <v>빌드</v>
      </c>
      <c r="D246" s="8">
        <f>IFERROR(__xludf.DUMMYFUNCTION("""COMPUTED_VALUE"""),0.0)</f>
        <v>0</v>
      </c>
      <c r="E246" s="5" t="str">
        <f>IFERROR(__xludf.DUMMYFUNCTION("""COMPUTED_VALUE"""),"보드카 30ml, 슬로진 22.5ml, 셔던 컴포트 30ml, 오렌지 주스 120ml, 그레나딘 시럽 약간")</f>
        <v>보드카 30ml, 슬로진 22.5ml, 셔던 컴포트 30ml, 오렌지 주스 120ml, 그레나딘 시럽 약간</v>
      </c>
      <c r="F246" s="5"/>
    </row>
    <row r="247">
      <c r="A247" s="5" t="str">
        <f>IFERROR(__xludf.DUMMYFUNCTION("""COMPUTED_VALUE"""),"알래스카 아이스티")</f>
        <v>알래스카 아이스티</v>
      </c>
      <c r="B247" s="5" t="str">
        <f>IFERROR(__xludf.DUMMYFUNCTION("""COMPUTED_VALUE"""),"혼합")</f>
        <v>혼합</v>
      </c>
      <c r="C247" s="5" t="str">
        <f>IFERROR(__xludf.DUMMYFUNCTION("""COMPUTED_VALUE"""),"빌드")</f>
        <v>빌드</v>
      </c>
      <c r="D247" s="8">
        <f>IFERROR(__xludf.DUMMYFUNCTION("""COMPUTED_VALUE"""),0.0)</f>
        <v>0</v>
      </c>
      <c r="E247" s="5" t="str">
        <f>IFERROR(__xludf.DUMMYFUNCTION("""COMPUTED_VALUE"""),"진 15ml, 럼 15ml, 보드카 15ml, 블루 큐라소 15ml, 레몬즙 15ml, 라임즙 15ml, 사이다 필업")</f>
        <v>진 15ml, 럼 15ml, 보드카 15ml, 블루 큐라소 15ml, 레몬즙 15ml, 라임즙 15ml, 사이다 필업</v>
      </c>
      <c r="F247" s="5"/>
    </row>
    <row r="248">
      <c r="A248" s="5" t="str">
        <f>IFERROR(__xludf.DUMMYFUNCTION("""COMPUTED_VALUE"""),"알렉산더")</f>
        <v>알렉산더</v>
      </c>
      <c r="B248" s="5" t="str">
        <f>IFERROR(__xludf.DUMMYFUNCTION("""COMPUTED_VALUE"""),"브랜디")</f>
        <v>브랜디</v>
      </c>
      <c r="C248" s="5" t="str">
        <f>IFERROR(__xludf.DUMMYFUNCTION("""COMPUTED_VALUE"""),"쉐이킹")</f>
        <v>쉐이킹</v>
      </c>
      <c r="D248" s="8">
        <f>IFERROR(__xludf.DUMMYFUNCTION("""COMPUTED_VALUE"""),0.0)</f>
        <v>0</v>
      </c>
      <c r="E248" s="5" t="str">
        <f>IFERROR(__xludf.DUMMYFUNCTION("""COMPUTED_VALUE"""),"브랜디 30ml, 카카오 리큐르 30ml, 크림 30ml")</f>
        <v>브랜디 30ml, 카카오 리큐르 30ml, 크림 30ml</v>
      </c>
      <c r="F248" s="5"/>
    </row>
    <row r="249">
      <c r="A249" s="5" t="str">
        <f>IFERROR(__xludf.DUMMYFUNCTION("""COMPUTED_VALUE"""),"애프리콧 레이디")</f>
        <v>애프리콧 레이디</v>
      </c>
      <c r="B249" s="5" t="str">
        <f>IFERROR(__xludf.DUMMYFUNCTION("""COMPUTED_VALUE"""),"럼")</f>
        <v>럼</v>
      </c>
      <c r="C249" s="5" t="str">
        <f>IFERROR(__xludf.DUMMYFUNCTION("""COMPUTED_VALUE"""),"쉐이킹")</f>
        <v>쉐이킹</v>
      </c>
      <c r="D249" s="8">
        <f>IFERROR(__xludf.DUMMYFUNCTION("""COMPUTED_VALUE"""),0.0)</f>
        <v>0</v>
      </c>
      <c r="E249" s="5" t="str">
        <f>IFERROR(__xludf.DUMMYFUNCTION("""COMPUTED_VALUE"""),"화이트 럼 30ml, 애프리콧 브랜디 30ml, 계란 흰자 1개, 라임즙 15ml, 오렌지 큐라소 7.5ml, 드라이 쉐이킹 후 쉐이킹")</f>
        <v>화이트 럼 30ml, 애프리콧 브랜디 30ml, 계란 흰자 1개, 라임즙 15ml, 오렌지 큐라소 7.5ml, 드라이 쉐이킹 후 쉐이킹</v>
      </c>
      <c r="F249" s="5"/>
    </row>
    <row r="250">
      <c r="A250" s="5" t="str">
        <f>IFERROR(__xludf.DUMMYFUNCTION("""COMPUTED_VALUE"""),"애프리콧 사워")</f>
        <v>애프리콧 사워</v>
      </c>
      <c r="B250" s="5" t="str">
        <f>IFERROR(__xludf.DUMMYFUNCTION("""COMPUTED_VALUE"""),"애프리콧 브랜디")</f>
        <v>애프리콧 브랜디</v>
      </c>
      <c r="C250" s="5" t="str">
        <f>IFERROR(__xludf.DUMMYFUNCTION("""COMPUTED_VALUE"""),"쉐이킹")</f>
        <v>쉐이킹</v>
      </c>
      <c r="D250" s="8">
        <f>IFERROR(__xludf.DUMMYFUNCTION("""COMPUTED_VALUE"""),0.0)</f>
        <v>0</v>
      </c>
      <c r="E250" s="5" t="str">
        <f>IFERROR(__xludf.DUMMYFUNCTION("""COMPUTED_VALUE"""),"애프리콧 브랜디 60ml, 레몬즙 30ml, 심플 시럽 1티스푼")</f>
        <v>애프리콧 브랜디 60ml, 레몬즙 30ml, 심플 시럽 1티스푼</v>
      </c>
      <c r="F250" s="5"/>
    </row>
    <row r="251">
      <c r="A251" s="5" t="str">
        <f>IFERROR(__xludf.DUMMYFUNCTION("""COMPUTED_VALUE"""),"애프리콧 플립")</f>
        <v>애프리콧 플립</v>
      </c>
      <c r="B251" s="5" t="str">
        <f>IFERROR(__xludf.DUMMYFUNCTION("""COMPUTED_VALUE"""),"꼬냑")</f>
        <v>꼬냑</v>
      </c>
      <c r="C251" s="5" t="str">
        <f>IFERROR(__xludf.DUMMYFUNCTION("""COMPUTED_VALUE"""),"쉐이킹")</f>
        <v>쉐이킹</v>
      </c>
      <c r="D251" s="8">
        <f>IFERROR(__xludf.DUMMYFUNCTION("""COMPUTED_VALUE"""),0.0)</f>
        <v>0</v>
      </c>
      <c r="E251" s="5" t="str">
        <f>IFERROR(__xludf.DUMMYFUNCTION("""COMPUTED_VALUE"""),"꼬냑 60ml, 애프리콧 브랜디 30ml, 심플 시럽 15ml, 계란 1개, 드라이 쉐이킹 후, 쉐이킹")</f>
        <v>꼬냑 60ml, 애프리콧 브랜디 30ml, 심플 시럽 15ml, 계란 1개, 드라이 쉐이킹 후, 쉐이킹</v>
      </c>
      <c r="F251" s="5"/>
    </row>
    <row r="252">
      <c r="A252" s="5" t="str">
        <f>IFERROR(__xludf.DUMMYFUNCTION("""COMPUTED_VALUE"""),"애프리콧 피즈")</f>
        <v>애프리콧 피즈</v>
      </c>
      <c r="B252" s="5" t="str">
        <f>IFERROR(__xludf.DUMMYFUNCTION("""COMPUTED_VALUE"""),"애프리콧 브랜디")</f>
        <v>애프리콧 브랜디</v>
      </c>
      <c r="C252" s="5" t="str">
        <f>IFERROR(__xludf.DUMMYFUNCTION("""COMPUTED_VALUE"""),"쉐이킹")</f>
        <v>쉐이킹</v>
      </c>
      <c r="D252" s="8">
        <f>IFERROR(__xludf.DUMMYFUNCTION("""COMPUTED_VALUE"""),0.0)</f>
        <v>0</v>
      </c>
      <c r="E252" s="5" t="str">
        <f>IFERROR(__xludf.DUMMYFUNCTION("""COMPUTED_VALUE"""),"애프리콧 브랜디 75ml, 레몬즙 22.5ml, 쉐이킹 후 탄산수 필업")</f>
        <v>애프리콧 브랜디 75ml, 레몬즙 22.5ml, 쉐이킹 후 탄산수 필업</v>
      </c>
      <c r="F252" s="5"/>
    </row>
    <row r="253">
      <c r="A253" s="5" t="str">
        <f>IFERROR(__xludf.DUMMYFUNCTION("""COMPUTED_VALUE"""),"애플 마티니")</f>
        <v>애플 마티니</v>
      </c>
      <c r="B253" s="5" t="str">
        <f>IFERROR(__xludf.DUMMYFUNCTION("""COMPUTED_VALUE"""),"애플퍼커")</f>
        <v>애플퍼커</v>
      </c>
      <c r="C253" s="5" t="str">
        <f>IFERROR(__xludf.DUMMYFUNCTION("""COMPUTED_VALUE"""),"쉐이킹")</f>
        <v>쉐이킹</v>
      </c>
      <c r="D253" s="8">
        <f>IFERROR(__xludf.DUMMYFUNCTION("""COMPUTED_VALUE"""),0.0)</f>
        <v>0</v>
      </c>
      <c r="E253" s="5" t="str">
        <f>IFERROR(__xludf.DUMMYFUNCTION("""COMPUTED_VALUE"""),"보드카 30ml, 애플퍼커 30ml, 라임즙 15ml")</f>
        <v>보드카 30ml, 애플퍼커 30ml, 라임즙 15ml</v>
      </c>
      <c r="F253" s="5"/>
    </row>
    <row r="254">
      <c r="A254" s="5" t="str">
        <f>IFERROR(__xludf.DUMMYFUNCTION("""COMPUTED_VALUE"""),"애플 마티니2")</f>
        <v>애플 마티니2</v>
      </c>
      <c r="B254" s="5" t="str">
        <f>IFERROR(__xludf.DUMMYFUNCTION("""COMPUTED_VALUE"""),"애플퍼커")</f>
        <v>애플퍼커</v>
      </c>
      <c r="C254" s="5" t="str">
        <f>IFERROR(__xludf.DUMMYFUNCTION("""COMPUTED_VALUE"""),"쉐이킹")</f>
        <v>쉐이킹</v>
      </c>
      <c r="D254" s="8">
        <f>IFERROR(__xludf.DUMMYFUNCTION("""COMPUTED_VALUE"""),0.0)</f>
        <v>0</v>
      </c>
      <c r="E254" s="5" t="str">
        <f>IFERROR(__xludf.DUMMYFUNCTION("""COMPUTED_VALUE"""),"보드카 45ml, 애플퍼커 15ml, 코앵트로 15ml")</f>
        <v>보드카 45ml, 애플퍼커 15ml, 코앵트로 15ml</v>
      </c>
      <c r="F254" s="5"/>
    </row>
    <row r="255">
      <c r="A255" s="5" t="str">
        <f>IFERROR(__xludf.DUMMYFUNCTION("""COMPUTED_VALUE"""),"애플 사이드카")</f>
        <v>애플 사이드카</v>
      </c>
      <c r="B255" s="5" t="str">
        <f>IFERROR(__xludf.DUMMYFUNCTION("""COMPUTED_VALUE"""),"보드카")</f>
        <v>보드카</v>
      </c>
      <c r="C255" s="5" t="str">
        <f>IFERROR(__xludf.DUMMYFUNCTION("""COMPUTED_VALUE"""),"쉐이킹")</f>
        <v>쉐이킹</v>
      </c>
      <c r="D255" s="8">
        <f>IFERROR(__xludf.DUMMYFUNCTION("""COMPUTED_VALUE"""),0.0)</f>
        <v>0</v>
      </c>
      <c r="E255" s="5" t="str">
        <f>IFERROR(__xludf.DUMMYFUNCTION("""COMPUTED_VALUE"""),"보드카 45ml, 애플 브랜디 15ml, 레몬즙 30ml, 심플시럽 15ml, 오렌지 주스 15ml")</f>
        <v>보드카 45ml, 애플 브랜디 15ml, 레몬즙 30ml, 심플시럽 15ml, 오렌지 주스 15ml</v>
      </c>
      <c r="F255" s="5"/>
    </row>
    <row r="256">
      <c r="A256" s="5" t="str">
        <f>IFERROR(__xludf.DUMMYFUNCTION("""COMPUTED_VALUE"""),"애플 소스")</f>
        <v>애플 소스</v>
      </c>
      <c r="B256" s="5" t="str">
        <f>IFERROR(__xludf.DUMMYFUNCTION("""COMPUTED_VALUE"""),"버번")</f>
        <v>버번</v>
      </c>
      <c r="C256" s="5" t="str">
        <f>IFERROR(__xludf.DUMMYFUNCTION("""COMPUTED_VALUE"""),"쉐이킹")</f>
        <v>쉐이킹</v>
      </c>
      <c r="D256" s="8">
        <f>IFERROR(__xludf.DUMMYFUNCTION("""COMPUTED_VALUE"""),0.0)</f>
        <v>0</v>
      </c>
      <c r="E256" s="5" t="str">
        <f>IFERROR(__xludf.DUMMYFUNCTION("""COMPUTED_VALUE"""),"버번 or 라이 or 블렌디드 위스키 60ml, 메이플 시럽 22.5ml, 레몬즙 22.5ml, 쉐이킹 후 사이다 필업, 계피가루 1꼬집, 시나몬 스틱")</f>
        <v>버번 or 라이 or 블렌디드 위스키 60ml, 메이플 시럽 22.5ml, 레몬즙 22.5ml, 쉐이킹 후 사이다 필업, 계피가루 1꼬집, 시나몬 스틱</v>
      </c>
      <c r="F256" s="5"/>
    </row>
    <row r="257">
      <c r="A257" s="5" t="str">
        <f>IFERROR(__xludf.DUMMYFUNCTION("""COMPUTED_VALUE"""),"애플 잭 레빗")</f>
        <v>애플 잭 레빗</v>
      </c>
      <c r="B257" s="5" t="str">
        <f>IFERROR(__xludf.DUMMYFUNCTION("""COMPUTED_VALUE"""),"애플 브랜디")</f>
        <v>애플 브랜디</v>
      </c>
      <c r="C257" s="5" t="str">
        <f>IFERROR(__xludf.DUMMYFUNCTION("""COMPUTED_VALUE"""),"쉐이킹")</f>
        <v>쉐이킹</v>
      </c>
      <c r="D257" s="8">
        <f>IFERROR(__xludf.DUMMYFUNCTION("""COMPUTED_VALUE"""),0.0)</f>
        <v>0</v>
      </c>
      <c r="E257" s="5" t="str">
        <f>IFERROR(__xludf.DUMMYFUNCTION("""COMPUTED_VALUE"""),"애플 잭 60ml, 레몬즙 22.5ml, 오렌지 주스 22.5ml, 메이플 시럽 15ml")</f>
        <v>애플 잭 60ml, 레몬즙 22.5ml, 오렌지 주스 22.5ml, 메이플 시럽 15ml</v>
      </c>
      <c r="F257" s="5"/>
    </row>
    <row r="258">
      <c r="A258" s="5" t="str">
        <f>IFERROR(__xludf.DUMMYFUNCTION("""COMPUTED_VALUE"""),"애플 크런치")</f>
        <v>애플 크런치</v>
      </c>
      <c r="B258" s="5" t="str">
        <f>IFERROR(__xludf.DUMMYFUNCTION("""COMPUTED_VALUE"""),"애플퍼커")</f>
        <v>애플퍼커</v>
      </c>
      <c r="C258" s="5" t="str">
        <f>IFERROR(__xludf.DUMMYFUNCTION("""COMPUTED_VALUE"""),"쉐이킹")</f>
        <v>쉐이킹</v>
      </c>
      <c r="D258" s="8">
        <f>IFERROR(__xludf.DUMMYFUNCTION("""COMPUTED_VALUE"""),0.0)</f>
        <v>0</v>
      </c>
      <c r="E258" s="5" t="str">
        <f>IFERROR(__xludf.DUMMYFUNCTION("""COMPUTED_VALUE"""),"애플퍼커 30ml, 말리부 30ml, 트리플섹 10ml, 크렌베리 주스 45ml, 파인애플 주스 45ml, 스프라이트 30ml(쉐이킹 후)")</f>
        <v>애플퍼커 30ml, 말리부 30ml, 트리플섹 10ml, 크렌베리 주스 45ml, 파인애플 주스 45ml, 스프라이트 30ml(쉐이킹 후)</v>
      </c>
      <c r="F258" s="5"/>
    </row>
    <row r="259">
      <c r="A259" s="5" t="str">
        <f>IFERROR(__xludf.DUMMYFUNCTION("""COMPUTED_VALUE"""),"어라운드 더 월드")</f>
        <v>어라운드 더 월드</v>
      </c>
      <c r="B259" s="5" t="str">
        <f>IFERROR(__xludf.DUMMYFUNCTION("""COMPUTED_VALUE"""),"진")</f>
        <v>진</v>
      </c>
      <c r="C259" s="5" t="str">
        <f>IFERROR(__xludf.DUMMYFUNCTION("""COMPUTED_VALUE"""),"쉐이킹")</f>
        <v>쉐이킹</v>
      </c>
      <c r="D259" s="8">
        <f>IFERROR(__xludf.DUMMYFUNCTION("""COMPUTED_VALUE"""),0.0)</f>
        <v>0</v>
      </c>
      <c r="E259" s="5" t="str">
        <f>IFERROR(__xludf.DUMMYFUNCTION("""COMPUTED_VALUE"""),"진 30ml, 민트 리큐르 30ml, 파인애플 주스 30ml, 레몬 웻지")</f>
        <v>진 30ml, 민트 리큐르 30ml, 파인애플 주스 30ml, 레몬 웻지</v>
      </c>
      <c r="F259" s="5"/>
    </row>
    <row r="260">
      <c r="A260" s="5" t="str">
        <f>IFERROR(__xludf.DUMMYFUNCTION("""COMPUTED_VALUE"""),"어퍼니티")</f>
        <v>어퍼니티</v>
      </c>
      <c r="B260" s="5" t="str">
        <f>IFERROR(__xludf.DUMMYFUNCTION("""COMPUTED_VALUE"""),"위스키")</f>
        <v>위스키</v>
      </c>
      <c r="C260" s="5" t="str">
        <f>IFERROR(__xludf.DUMMYFUNCTION("""COMPUTED_VALUE"""),"스터")</f>
        <v>스터</v>
      </c>
      <c r="D260" s="8">
        <f>IFERROR(__xludf.DUMMYFUNCTION("""COMPUTED_VALUE"""),0.0)</f>
        <v>0</v>
      </c>
      <c r="E260" s="5" t="str">
        <f>IFERROR(__xludf.DUMMYFUNCTION("""COMPUTED_VALUE"""),"스카치 위스키 30ml, 스윗 베르뭇 30ml, 드라이 베르뭇 30ml, 비터 2대쉬")</f>
        <v>스카치 위스키 30ml, 스윗 베르뭇 30ml, 드라이 베르뭇 30ml, 비터 2대쉬</v>
      </c>
      <c r="F260" s="5"/>
    </row>
    <row r="261">
      <c r="A261" s="5" t="str">
        <f>IFERROR(__xludf.DUMMYFUNCTION("""COMPUTED_VALUE"""),"업 투 데이트")</f>
        <v>업 투 데이트</v>
      </c>
      <c r="B261" s="5" t="str">
        <f>IFERROR(__xludf.DUMMYFUNCTION("""COMPUTED_VALUE"""),"혼합")</f>
        <v>혼합</v>
      </c>
      <c r="C261" s="5" t="str">
        <f>IFERROR(__xludf.DUMMYFUNCTION("""COMPUTED_VALUE"""),"스터")</f>
        <v>스터</v>
      </c>
      <c r="D261" s="8">
        <f>IFERROR(__xludf.DUMMYFUNCTION("""COMPUTED_VALUE"""),0.0)</f>
        <v>0</v>
      </c>
      <c r="E261" s="5" t="str">
        <f>IFERROR(__xludf.DUMMYFUNCTION("""COMPUTED_VALUE"""),"드라이 or 스윗 셰리 45ml, 라이 or 버번 위스키 45ml, 오렌지 큐라소 15ml, 앙고스투라 비터 2대쉬")</f>
        <v>드라이 or 스윗 셰리 45ml, 라이 or 버번 위스키 45ml, 오렌지 큐라소 15ml, 앙고스투라 비터 2대쉬</v>
      </c>
      <c r="F261" s="5"/>
    </row>
    <row r="262">
      <c r="A262" s="5" t="str">
        <f>IFERROR(__xludf.DUMMYFUNCTION("""COMPUTED_VALUE"""),"에그 사워")</f>
        <v>에그 사워</v>
      </c>
      <c r="B262" s="5" t="str">
        <f>IFERROR(__xludf.DUMMYFUNCTION("""COMPUTED_VALUE"""),"꼬냑 or 브랜디")</f>
        <v>꼬냑 or 브랜디</v>
      </c>
      <c r="C262" s="5" t="str">
        <f>IFERROR(__xludf.DUMMYFUNCTION("""COMPUTED_VALUE"""),"쉐이킹")</f>
        <v>쉐이킹</v>
      </c>
      <c r="D262" s="8">
        <f>IFERROR(__xludf.DUMMYFUNCTION("""COMPUTED_VALUE"""),0.0)</f>
        <v>0</v>
      </c>
      <c r="E262" s="5" t="str">
        <f>IFERROR(__xludf.DUMMYFUNCTION("""COMPUTED_VALUE"""),"브랜디 or 꼬냑 30ml, 오렌지 큐라소 30ml, 계란 1개, 심플시럽 2티스푼, 레몬즙 3대쉬")</f>
        <v>브랜디 or 꼬냑 30ml, 오렌지 큐라소 30ml, 계란 1개, 심플시럽 2티스푼, 레몬즙 3대쉬</v>
      </c>
      <c r="F262" s="5"/>
    </row>
    <row r="263">
      <c r="A263" s="5" t="str">
        <f>IFERROR(__xludf.DUMMYFUNCTION("""COMPUTED_VALUE"""),"에르난데스")</f>
        <v>에르난데스</v>
      </c>
      <c r="B263" s="5" t="str">
        <f>IFERROR(__xludf.DUMMYFUNCTION("""COMPUTED_VALUE"""),"리큐르")</f>
        <v>리큐르</v>
      </c>
      <c r="C263" s="5" t="str">
        <f>IFERROR(__xludf.DUMMYFUNCTION("""COMPUTED_VALUE"""),"쉐이킹")</f>
        <v>쉐이킹</v>
      </c>
      <c r="D263" s="8">
        <f>IFERROR(__xludf.DUMMYFUNCTION("""COMPUTED_VALUE"""),0.0)</f>
        <v>0</v>
      </c>
      <c r="E263" s="5" t="str">
        <f>IFERROR(__xludf.DUMMYFUNCTION("""COMPUTED_VALUE"""),"바닐라 리큐르 45ml, 스윗 베르뭇 30ml, 앙고스투라 비터 2대쉬, 가니쉬 체리")</f>
        <v>바닐라 리큐르 45ml, 스윗 베르뭇 30ml, 앙고스투라 비터 2대쉬, 가니쉬 체리</v>
      </c>
      <c r="F263" s="5"/>
    </row>
    <row r="264">
      <c r="A264" s="5" t="str">
        <f>IFERROR(__xludf.DUMMYFUNCTION("""COMPUTED_VALUE"""),"에메랄드")</f>
        <v>에메랄드</v>
      </c>
      <c r="B264" s="5" t="str">
        <f>IFERROR(__xludf.DUMMYFUNCTION("""COMPUTED_VALUE"""),"위스키")</f>
        <v>위스키</v>
      </c>
      <c r="C264" s="5" t="str">
        <f>IFERROR(__xludf.DUMMYFUNCTION("""COMPUTED_VALUE"""),"스터")</f>
        <v>스터</v>
      </c>
      <c r="D264" s="8">
        <f>IFERROR(__xludf.DUMMYFUNCTION("""COMPUTED_VALUE"""),0.0)</f>
        <v>0</v>
      </c>
      <c r="E264" s="5" t="str">
        <f>IFERROR(__xludf.DUMMYFUNCTION("""COMPUTED_VALUE"""),"아이리쉬 위스키 60ml, 스윗 베르뭇 30ml, 오렌지 비터 2대쉬, 앙고스투라 비터 1대쉬")</f>
        <v>아이리쉬 위스키 60ml, 스윗 베르뭇 30ml, 오렌지 비터 2대쉬, 앙고스투라 비터 1대쉬</v>
      </c>
      <c r="F264" s="5"/>
    </row>
    <row r="265">
      <c r="A265" s="5" t="str">
        <f>IFERROR(__xludf.DUMMYFUNCTION("""COMPUTED_VALUE"""),"에메랄드 시티")</f>
        <v>에메랄드 시티</v>
      </c>
      <c r="B265" s="5" t="str">
        <f>IFERROR(__xludf.DUMMYFUNCTION("""COMPUTED_VALUE"""),"말리부")</f>
        <v>말리부</v>
      </c>
      <c r="C265" s="5" t="str">
        <f>IFERROR(__xludf.DUMMYFUNCTION("""COMPUTED_VALUE"""),"쉐이킹")</f>
        <v>쉐이킹</v>
      </c>
      <c r="D265" s="8">
        <f>IFERROR(__xludf.DUMMYFUNCTION("""COMPUTED_VALUE"""),0.0)</f>
        <v>0</v>
      </c>
      <c r="E265" s="5" t="str">
        <f>IFERROR(__xludf.DUMMYFUNCTION("""COMPUTED_VALUE"""),"말리부 30ml, 멜론 리큐르 15ml, 블루 큐라소 15ml, 레몬즙 15ml, 라임즙 15ml, 사이다 필업(쉐이킹 후), 레몬 슬라이스")</f>
        <v>말리부 30ml, 멜론 리큐르 15ml, 블루 큐라소 15ml, 레몬즙 15ml, 라임즙 15ml, 사이다 필업(쉐이킹 후), 레몬 슬라이스</v>
      </c>
      <c r="F265" s="5"/>
    </row>
    <row r="266">
      <c r="A266" s="5" t="str">
        <f>IFERROR(__xludf.DUMMYFUNCTION("""COMPUTED_VALUE"""),"에메랄드 쿨러")</f>
        <v>에메랄드 쿨러</v>
      </c>
      <c r="B266" s="5" t="str">
        <f>IFERROR(__xludf.DUMMYFUNCTION("""COMPUTED_VALUE"""),"진")</f>
        <v>진</v>
      </c>
      <c r="C266" s="5" t="str">
        <f>IFERROR(__xludf.DUMMYFUNCTION("""COMPUTED_VALUE"""),"쉐이킹")</f>
        <v>쉐이킹</v>
      </c>
      <c r="D266" s="8">
        <f>IFERROR(__xludf.DUMMYFUNCTION("""COMPUTED_VALUE"""),0.0)</f>
        <v>0</v>
      </c>
      <c r="E266" s="5" t="str">
        <f>IFERROR(__xludf.DUMMYFUNCTION("""COMPUTED_VALUE"""),"진 30ml, 민트 리큐르 15ml, 레몬즙 15ml, 시럽 1티스푼, 탄산수 필업(쉐이킹 후)")</f>
        <v>진 30ml, 민트 리큐르 15ml, 레몬즙 15ml, 시럽 1티스푼, 탄산수 필업(쉐이킹 후)</v>
      </c>
      <c r="F266" s="5"/>
    </row>
    <row r="267">
      <c r="A267" s="5" t="str">
        <f>IFERROR(__xludf.DUMMYFUNCTION("""COMPUTED_VALUE"""),"에이화츠")</f>
        <v>에이화츠</v>
      </c>
      <c r="B267" s="5" t="str">
        <f>IFERROR(__xludf.DUMMYFUNCTION("""COMPUTED_VALUE"""),"다크럼")</f>
        <v>다크럼</v>
      </c>
      <c r="C267" s="5" t="str">
        <f>IFERROR(__xludf.DUMMYFUNCTION("""COMPUTED_VALUE"""),"쉐이킹")</f>
        <v>쉐이킹</v>
      </c>
      <c r="D267" s="8">
        <f>IFERROR(__xludf.DUMMYFUNCTION("""COMPUTED_VALUE"""),0.0)</f>
        <v>0</v>
      </c>
      <c r="E267" s="5" t="str">
        <f>IFERROR(__xludf.DUMMYFUNCTION("""COMPUTED_VALUE"""),"다크럼 60ml, 트리플섹 15ml, 라임즙 30ml, 오르쟈 15ml, 시럽 8ml")</f>
        <v>다크럼 60ml, 트리플섹 15ml, 라임즙 30ml, 오르쟈 15ml, 시럽 8ml</v>
      </c>
      <c r="F267" s="5"/>
    </row>
    <row r="268">
      <c r="A268" s="5" t="str">
        <f>IFERROR(__xludf.DUMMYFUNCTION("""COMPUTED_VALUE"""),"엘 도라도")</f>
        <v>엘 도라도</v>
      </c>
      <c r="B268" s="5" t="str">
        <f>IFERROR(__xludf.DUMMYFUNCTION("""COMPUTED_VALUE"""),"리큐르")</f>
        <v>리큐르</v>
      </c>
      <c r="C268" s="5" t="str">
        <f>IFERROR(__xludf.DUMMYFUNCTION("""COMPUTED_VALUE"""),"쉐이킹")</f>
        <v>쉐이킹</v>
      </c>
      <c r="D268" s="8">
        <f>IFERROR(__xludf.DUMMYFUNCTION("""COMPUTED_VALUE"""),0.0)</f>
        <v>0</v>
      </c>
      <c r="E268" s="5" t="str">
        <f>IFERROR(__xludf.DUMMYFUNCTION("""COMPUTED_VALUE"""),"애프리콧 브랜드 30ml, 블루 큐라소 15ml, 사과 주스 45ml, 심플시럽 15ml, 사워믹스 15ml 쉐이킹 후 사이다 적당히")</f>
        <v>애프리콧 브랜드 30ml, 블루 큐라소 15ml, 사과 주스 45ml, 심플시럽 15ml, 사워믹스 15ml 쉐이킹 후 사이다 적당히</v>
      </c>
      <c r="F268" s="5"/>
    </row>
    <row r="269">
      <c r="A269" s="5" t="str">
        <f>IFERROR(__xludf.DUMMYFUNCTION("""COMPUTED_VALUE"""),"엘 디아블로")</f>
        <v>엘 디아블로</v>
      </c>
      <c r="B269" s="5" t="str">
        <f>IFERROR(__xludf.DUMMYFUNCTION("""COMPUTED_VALUE"""),"데낄라")</f>
        <v>데낄라</v>
      </c>
      <c r="C269" s="5" t="str">
        <f>IFERROR(__xludf.DUMMYFUNCTION("""COMPUTED_VALUE"""),"쉐이킹")</f>
        <v>쉐이킹</v>
      </c>
      <c r="D269" s="8">
        <f>IFERROR(__xludf.DUMMYFUNCTION("""COMPUTED_VALUE"""),0.0)</f>
        <v>0</v>
      </c>
      <c r="E269" s="5" t="str">
        <f>IFERROR(__xludf.DUMMYFUNCTION("""COMPUTED_VALUE"""),"데낄라 45ml, 카시스 15ml, 라임즙 15ml, 진저에일 필업(쉐이킹 후)")</f>
        <v>데낄라 45ml, 카시스 15ml, 라임즙 15ml, 진저에일 필업(쉐이킹 후)</v>
      </c>
      <c r="F269" s="5"/>
    </row>
    <row r="270">
      <c r="A270" s="5" t="str">
        <f>IFERROR(__xludf.DUMMYFUNCTION("""COMPUTED_VALUE"""),"엘 프레지덴테")</f>
        <v>엘 프레지덴테</v>
      </c>
      <c r="B270" s="5" t="str">
        <f>IFERROR(__xludf.DUMMYFUNCTION("""COMPUTED_VALUE"""),"럼")</f>
        <v>럼</v>
      </c>
      <c r="C270" s="5" t="str">
        <f>IFERROR(__xludf.DUMMYFUNCTION("""COMPUTED_VALUE"""),"쉐이킹")</f>
        <v>쉐이킹</v>
      </c>
      <c r="D270" s="8">
        <f>IFERROR(__xludf.DUMMYFUNCTION("""COMPUTED_VALUE"""),0.0)</f>
        <v>0</v>
      </c>
      <c r="E270" s="5" t="str">
        <f>IFERROR(__xludf.DUMMYFUNCTION("""COMPUTED_VALUE"""),"화이트 럼 30ml, 드라이 베르뭇 15ml, 코앵트로 15ml, 그레나딘 시럽 1대쉬")</f>
        <v>화이트 럼 30ml, 드라이 베르뭇 15ml, 코앵트로 15ml, 그레나딘 시럽 1대쉬</v>
      </c>
      <c r="F270" s="5"/>
    </row>
    <row r="271">
      <c r="A271" s="5" t="str">
        <f>IFERROR(__xludf.DUMMYFUNCTION("""COMPUTED_VALUE"""),"엘 프레지덴테2")</f>
        <v>엘 프레지덴테2</v>
      </c>
      <c r="B271" s="5" t="str">
        <f>IFERROR(__xludf.DUMMYFUNCTION("""COMPUTED_VALUE"""),"럼")</f>
        <v>럼</v>
      </c>
      <c r="C271" s="5" t="str">
        <f>IFERROR(__xludf.DUMMYFUNCTION("""COMPUTED_VALUE"""),"빌드")</f>
        <v>빌드</v>
      </c>
      <c r="D271" s="8">
        <f>IFERROR(__xludf.DUMMYFUNCTION("""COMPUTED_VALUE"""),0.0)</f>
        <v>0</v>
      </c>
      <c r="E271" s="5" t="str">
        <f>IFERROR(__xludf.DUMMYFUNCTION("""COMPUTED_VALUE"""),"그레나딘 시럽 1바스푼, 드라이 베르뭇 30ml, 큐라소 리큐르20~25ml, 화이트 럼 60ml, 약 15초간 스터 후 칵테일 글라스에 담아준다")</f>
        <v>그레나딘 시럽 1바스푼, 드라이 베르뭇 30ml, 큐라소 리큐르20~25ml, 화이트 럼 60ml, 약 15초간 스터 후 칵테일 글라스에 담아준다</v>
      </c>
      <c r="F271" s="5"/>
    </row>
    <row r="272">
      <c r="A272" s="5" t="str">
        <f>IFERROR(__xludf.DUMMYFUNCTION("""COMPUTED_VALUE"""),"옐로우 빌드")</f>
        <v>옐로우 빌드</v>
      </c>
      <c r="B272" s="5" t="str">
        <f>IFERROR(__xludf.DUMMYFUNCTION("""COMPUTED_VALUE"""),"럼")</f>
        <v>럼</v>
      </c>
      <c r="C272" s="5" t="str">
        <f>IFERROR(__xludf.DUMMYFUNCTION("""COMPUTED_VALUE"""),"블렌딩 or 쉐이킹")</f>
        <v>블렌딩 or 쉐이킹</v>
      </c>
      <c r="D272" s="8">
        <f>IFERROR(__xludf.DUMMYFUNCTION("""COMPUTED_VALUE"""),0.0)</f>
        <v>0</v>
      </c>
      <c r="E272" s="5" t="str">
        <f>IFERROR(__xludf.DUMMYFUNCTION("""COMPUTED_VALUE"""),"화이트 럼 40ml, 바나나 리큐르 15ml, 갈리아노 15ml, 오렌지 주스 40ml, 파인애플 주스 40ml")</f>
        <v>화이트 럼 40ml, 바나나 리큐르 15ml, 갈리아노 15ml, 오렌지 주스 40ml, 파인애플 주스 40ml</v>
      </c>
      <c r="F272" s="5"/>
    </row>
    <row r="273">
      <c r="A273" s="5" t="str">
        <f>IFERROR(__xludf.DUMMYFUNCTION("""COMPUTED_VALUE"""),"옐로우 해머")</f>
        <v>옐로우 해머</v>
      </c>
      <c r="B273" s="5" t="str">
        <f>IFERROR(__xludf.DUMMYFUNCTION("""COMPUTED_VALUE"""),"혼합")</f>
        <v>혼합</v>
      </c>
      <c r="C273" s="5" t="str">
        <f>IFERROR(__xludf.DUMMYFUNCTION("""COMPUTED_VALUE"""),"빌드")</f>
        <v>빌드</v>
      </c>
      <c r="D273" s="8">
        <f>IFERROR(__xludf.DUMMYFUNCTION("""COMPUTED_VALUE"""),0.0)</f>
        <v>0</v>
      </c>
      <c r="E273" s="5" t="str">
        <f>IFERROR(__xludf.DUMMYFUNCTION("""COMPUTED_VALUE"""),"보드카 15ml, 럼 15ml, 아마레또 15ml, 오렌지 주스 30ml, 파인애플 주스 60ml, 오렌지 슬라이스")</f>
        <v>보드카 15ml, 럼 15ml, 아마레또 15ml, 오렌지 주스 30ml, 파인애플 주스 60ml, 오렌지 슬라이스</v>
      </c>
      <c r="F273" s="5"/>
    </row>
    <row r="274">
      <c r="A274" s="5" t="str">
        <f>IFERROR(__xludf.DUMMYFUNCTION("""COMPUTED_VALUE"""),"오 헨리")</f>
        <v>오 헨리</v>
      </c>
      <c r="B274" s="5" t="str">
        <f>IFERROR(__xludf.DUMMYFUNCTION("""COMPUTED_VALUE"""),"버번")</f>
        <v>버번</v>
      </c>
      <c r="C274" s="5" t="str">
        <f>IFERROR(__xludf.DUMMYFUNCTION("""COMPUTED_VALUE"""),"쉐이킹")</f>
        <v>쉐이킹</v>
      </c>
      <c r="D274" s="8">
        <f>IFERROR(__xludf.DUMMYFUNCTION("""COMPUTED_VALUE"""),0.0)</f>
        <v>0</v>
      </c>
      <c r="E274" s="5" t="str">
        <f>IFERROR(__xludf.DUMMYFUNCTION("""COMPUTED_VALUE"""),"버번 위스키 60ml, 베네딕틴 30ml, 진저에일 필업(쉐이킹 후)")</f>
        <v>버번 위스키 60ml, 베네딕틴 30ml, 진저에일 필업(쉐이킹 후)</v>
      </c>
      <c r="F274" s="5"/>
    </row>
    <row r="275">
      <c r="A275" s="5" t="str">
        <f>IFERROR(__xludf.DUMMYFUNCTION("""COMPUTED_VALUE"""),"오렌지 봉봉")</f>
        <v>오렌지 봉봉</v>
      </c>
      <c r="B275" s="5" t="str">
        <f>IFERROR(__xludf.DUMMYFUNCTION("""COMPUTED_VALUE"""),"혼합")</f>
        <v>혼합</v>
      </c>
      <c r="C275" s="5" t="str">
        <f>IFERROR(__xludf.DUMMYFUNCTION("""COMPUTED_VALUE"""),"블렌딩 or 쉐이킹")</f>
        <v>블렌딩 or 쉐이킹</v>
      </c>
      <c r="D275" s="8">
        <f>IFERROR(__xludf.DUMMYFUNCTION("""COMPUTED_VALUE"""),0.0)</f>
        <v>0</v>
      </c>
      <c r="E275" s="5" t="str">
        <f>IFERROR(__xludf.DUMMYFUNCTION("""COMPUTED_VALUE"""),"보드카 30ml, 크렘 드 카카오 화이트 30ml, 오렌지 주스 30ml, 오렌지 큐라소 15ml, 크러쉬드 아이스 1~2스쿱(블렌딩), 오렌지 조각 1개")</f>
        <v>보드카 30ml, 크렘 드 카카오 화이트 30ml, 오렌지 주스 30ml, 오렌지 큐라소 15ml, 크러쉬드 아이스 1~2스쿱(블렌딩), 오렌지 조각 1개</v>
      </c>
      <c r="F275" s="5"/>
    </row>
    <row r="276">
      <c r="A276" s="5" t="str">
        <f>IFERROR(__xludf.DUMMYFUNCTION("""COMPUTED_VALUE"""),"오렌지 블라썸")</f>
        <v>오렌지 블라썸</v>
      </c>
      <c r="B276" s="5" t="str">
        <f>IFERROR(__xludf.DUMMYFUNCTION("""COMPUTED_VALUE"""),"진")</f>
        <v>진</v>
      </c>
      <c r="C276" s="5" t="str">
        <f>IFERROR(__xludf.DUMMYFUNCTION("""COMPUTED_VALUE"""),"빌드")</f>
        <v>빌드</v>
      </c>
      <c r="D276" s="8">
        <f>IFERROR(__xludf.DUMMYFUNCTION("""COMPUTED_VALUE"""),0.0)</f>
        <v>0</v>
      </c>
      <c r="E276" s="5" t="str">
        <f>IFERROR(__xludf.DUMMYFUNCTION("""COMPUTED_VALUE"""),"드라이진 45ml, 오렌지 주스 90ml, 오렌지 1조각")</f>
        <v>드라이진 45ml, 오렌지 주스 90ml, 오렌지 1조각</v>
      </c>
      <c r="F276" s="5"/>
    </row>
    <row r="277">
      <c r="A277" s="5" t="str">
        <f>IFERROR(__xludf.DUMMYFUNCTION("""COMPUTED_VALUE"""),"오렌지 피즈")</f>
        <v>오렌지 피즈</v>
      </c>
      <c r="B277" s="5" t="str">
        <f>IFERROR(__xludf.DUMMYFUNCTION("""COMPUTED_VALUE"""),"진")</f>
        <v>진</v>
      </c>
      <c r="C277" s="5" t="str">
        <f>IFERROR(__xludf.DUMMYFUNCTION("""COMPUTED_VALUE"""),"쉐이킹")</f>
        <v>쉐이킹</v>
      </c>
      <c r="D277" s="8">
        <f>IFERROR(__xludf.DUMMYFUNCTION("""COMPUTED_VALUE"""),0.0)</f>
        <v>0</v>
      </c>
      <c r="E277" s="5" t="str">
        <f>IFERROR(__xludf.DUMMYFUNCTION("""COMPUTED_VALUE"""),"진 45ml, 오렌지 주스 30ml, 레몬즙 15ml, 심플시럽 10ml, 쉐이킹 후 탄산수 풀업")</f>
        <v>진 45ml, 오렌지 주스 30ml, 레몬즙 15ml, 심플시럽 10ml, 쉐이킹 후 탄산수 풀업</v>
      </c>
      <c r="F277" s="5"/>
    </row>
    <row r="278">
      <c r="A278" s="5" t="str">
        <f>IFERROR(__xludf.DUMMYFUNCTION("""COMPUTED_VALUE"""),"오르가즘")</f>
        <v>오르가즘</v>
      </c>
      <c r="B278" s="5" t="str">
        <f>IFERROR(__xludf.DUMMYFUNCTION("""COMPUTED_VALUE"""),"혼합")</f>
        <v>혼합</v>
      </c>
      <c r="C278" s="5" t="str">
        <f>IFERROR(__xludf.DUMMYFUNCTION("""COMPUTED_VALUE"""),"쉐이킹")</f>
        <v>쉐이킹</v>
      </c>
      <c r="D278" s="8">
        <f>IFERROR(__xludf.DUMMYFUNCTION("""COMPUTED_VALUE"""),0.0)</f>
        <v>0</v>
      </c>
      <c r="E278" s="5" t="str">
        <f>IFERROR(__xludf.DUMMYFUNCTION("""COMPUTED_VALUE"""),"깔루아 30ml, 아마레또 30ml, 베일리스 30ml, 체리 1조각")</f>
        <v>깔루아 30ml, 아마레또 30ml, 베일리스 30ml, 체리 1조각</v>
      </c>
      <c r="F278" s="5"/>
    </row>
    <row r="279">
      <c r="A279" s="5" t="str">
        <f>IFERROR(__xludf.DUMMYFUNCTION("""COMPUTED_VALUE"""),"옥보단")</f>
        <v>옥보단</v>
      </c>
      <c r="B279" s="5" t="str">
        <f>IFERROR(__xludf.DUMMYFUNCTION("""COMPUTED_VALUE"""),"피치트리")</f>
        <v>피치트리</v>
      </c>
      <c r="C279" s="5" t="str">
        <f>IFERROR(__xludf.DUMMYFUNCTION("""COMPUTED_VALUE"""),"쉐이킹")</f>
        <v>쉐이킹</v>
      </c>
      <c r="D279" s="8">
        <f>IFERROR(__xludf.DUMMYFUNCTION("""COMPUTED_VALUE"""),7.0)</f>
        <v>7</v>
      </c>
      <c r="E279" s="5" t="str">
        <f>IFERROR(__xludf.DUMMYFUNCTION("""COMPUTED_VALUE"""),"피치트리 20ml, 말리부 20ml, 사워믹스 20ml, 라임즙 10ml, 오렌지 주스 30ml, 그레나딘 시럽 1티스푼(쉐이킹 후)")</f>
        <v>피치트리 20ml, 말리부 20ml, 사워믹스 20ml, 라임즙 10ml, 오렌지 주스 30ml, 그레나딘 시럽 1티스푼(쉐이킹 후)</v>
      </c>
      <c r="F279" s="5" t="str">
        <f>IFERROR(__xludf.DUMMYFUNCTION("""COMPUTED_VALUE"""),"상당히 달콤")</f>
        <v>상당히 달콤</v>
      </c>
    </row>
    <row r="280">
      <c r="A280" s="5" t="str">
        <f>IFERROR(__xludf.DUMMYFUNCTION("""COMPUTED_VALUE"""),"올드패션드")</f>
        <v>올드패션드</v>
      </c>
      <c r="B280" s="5" t="str">
        <f>IFERROR(__xludf.DUMMYFUNCTION("""COMPUTED_VALUE"""),"버번")</f>
        <v>버번</v>
      </c>
      <c r="C280" s="5" t="str">
        <f>IFERROR(__xludf.DUMMYFUNCTION("""COMPUTED_VALUE"""),"스터")</f>
        <v>스터</v>
      </c>
      <c r="D280" s="8">
        <f>IFERROR(__xludf.DUMMYFUNCTION("""COMPUTED_VALUE"""),0.0)</f>
        <v>0</v>
      </c>
      <c r="E280" s="5" t="str">
        <f>IFERROR(__xludf.DUMMYFUNCTION("""COMPUTED_VALUE"""),"설탕 1티스푼, 비터 4대쉬, 탄산수 10ml를 넣고 스터해준다. 그 위에 버번 위스키 45ml를 넣고 스터, 그 후 큰 얼음을 넣고 30초간 스터")</f>
        <v>설탕 1티스푼, 비터 4대쉬, 탄산수 10ml를 넣고 스터해준다. 그 위에 버번 위스키 45ml를 넣고 스터, 그 후 큰 얼음을 넣고 30초간 스터</v>
      </c>
      <c r="F280" s="5"/>
    </row>
    <row r="281">
      <c r="A281" s="5" t="str">
        <f>IFERROR(__xludf.DUMMYFUNCTION("""COMPUTED_VALUE"""),"올드패션드2")</f>
        <v>올드패션드2</v>
      </c>
      <c r="B281" s="5" t="str">
        <f>IFERROR(__xludf.DUMMYFUNCTION("""COMPUTED_VALUE"""),"버번")</f>
        <v>버번</v>
      </c>
      <c r="C281" s="5" t="str">
        <f>IFERROR(__xludf.DUMMYFUNCTION("""COMPUTED_VALUE"""),"스터")</f>
        <v>스터</v>
      </c>
      <c r="D281" s="8">
        <f>IFERROR(__xludf.DUMMYFUNCTION("""COMPUTED_VALUE"""),0.0)</f>
        <v>0</v>
      </c>
      <c r="E281" s="5" t="str">
        <f>IFERROR(__xludf.DUMMYFUNCTION("""COMPUTED_VALUE"""),"각설탕 1개, 탄산수 15ml, 버번 위스키 45ml, 비터 1대쉬")</f>
        <v>각설탕 1개, 탄산수 15ml, 버번 위스키 45ml, 비터 1대쉬</v>
      </c>
      <c r="F281" s="5"/>
    </row>
    <row r="282">
      <c r="A282" s="5" t="str">
        <f>IFERROR(__xludf.DUMMYFUNCTION("""COMPUTED_VALUE"""),"올림픽")</f>
        <v>올림픽</v>
      </c>
      <c r="B282" s="5" t="str">
        <f>IFERROR(__xludf.DUMMYFUNCTION("""COMPUTED_VALUE"""),"브랜디")</f>
        <v>브랜디</v>
      </c>
      <c r="C282" s="5" t="str">
        <f>IFERROR(__xludf.DUMMYFUNCTION("""COMPUTED_VALUE"""),"쉐이킹")</f>
        <v>쉐이킹</v>
      </c>
      <c r="D282" s="8">
        <f>IFERROR(__xludf.DUMMYFUNCTION("""COMPUTED_VALUE"""),0.0)</f>
        <v>0</v>
      </c>
      <c r="E282" s="5" t="str">
        <f>IFERROR(__xludf.DUMMYFUNCTION("""COMPUTED_VALUE"""),"브랜디 25ml, 오렌지 큐라소 10ml, 오렌지 주스 10ml")</f>
        <v>브랜디 25ml, 오렌지 큐라소 10ml, 오렌지 주스 10ml</v>
      </c>
      <c r="F282" s="5"/>
    </row>
    <row r="283">
      <c r="A283" s="5" t="str">
        <f>IFERROR(__xludf.DUMMYFUNCTION("""COMPUTED_VALUE"""),"올림픽2")</f>
        <v>올림픽2</v>
      </c>
      <c r="B283" s="5" t="str">
        <f>IFERROR(__xludf.DUMMYFUNCTION("""COMPUTED_VALUE"""),"브랜디")</f>
        <v>브랜디</v>
      </c>
      <c r="C283" s="5" t="str">
        <f>IFERROR(__xludf.DUMMYFUNCTION("""COMPUTED_VALUE"""),"쉐이킹")</f>
        <v>쉐이킹</v>
      </c>
      <c r="D283" s="8">
        <f>IFERROR(__xludf.DUMMYFUNCTION("""COMPUTED_VALUE"""),0.0)</f>
        <v>0</v>
      </c>
      <c r="E283" s="5" t="str">
        <f>IFERROR(__xludf.DUMMYFUNCTION("""COMPUTED_VALUE"""),"브랜디 30ml, 트리플 섹 30ml, 오렌지 주스 30ml")</f>
        <v>브랜디 30ml, 트리플 섹 30ml, 오렌지 주스 30ml</v>
      </c>
      <c r="F283" s="5"/>
    </row>
    <row r="284">
      <c r="A284" s="5" t="str">
        <f>IFERROR(__xludf.DUMMYFUNCTION("""COMPUTED_VALUE"""),"왱왱")</f>
        <v>왱왱</v>
      </c>
      <c r="B284" s="5" t="str">
        <f>IFERROR(__xludf.DUMMYFUNCTION("""COMPUTED_VALUE"""),"혼합")</f>
        <v>혼합</v>
      </c>
      <c r="C284" s="5" t="str">
        <f>IFERROR(__xludf.DUMMYFUNCTION("""COMPUTED_VALUE"""),"빌드")</f>
        <v>빌드</v>
      </c>
      <c r="D284" s="8">
        <f>IFERROR(__xludf.DUMMYFUNCTION("""COMPUTED_VALUE"""),0.0)</f>
        <v>0</v>
      </c>
      <c r="E284" s="5" t="str">
        <f>IFERROR(__xludf.DUMMYFUNCTION("""COMPUTED_VALUE"""),"브랜디, 럼, 데낄라, 보드카, 버번, 스카치 23ml씩, 오렌지 60ml, 파인애플 60ml, 그레나딘 시럽 약간")</f>
        <v>브랜디, 럼, 데낄라, 보드카, 버번, 스카치 23ml씩, 오렌지 60ml, 파인애플 60ml, 그레나딘 시럽 약간</v>
      </c>
      <c r="F284" s="5"/>
    </row>
    <row r="285">
      <c r="A285" s="5" t="str">
        <f>IFERROR(__xludf.DUMMYFUNCTION("""COMPUTED_VALUE"""),"우우(Woo Woo)")</f>
        <v>우우(Woo Woo)</v>
      </c>
      <c r="B285" s="5" t="str">
        <f>IFERROR(__xludf.DUMMYFUNCTION("""COMPUTED_VALUE"""),"보드카")</f>
        <v>보드카</v>
      </c>
      <c r="C285" s="5" t="str">
        <f>IFERROR(__xludf.DUMMYFUNCTION("""COMPUTED_VALUE"""),"빌드")</f>
        <v>빌드</v>
      </c>
      <c r="D285" s="8">
        <f>IFERROR(__xludf.DUMMYFUNCTION("""COMPUTED_VALUE"""),0.0)</f>
        <v>0</v>
      </c>
      <c r="E285" s="5" t="str">
        <f>IFERROR(__xludf.DUMMYFUNCTION("""COMPUTED_VALUE"""),"피치트리 15ml, 보드카 30ml, 크렌베리 주스 필업")</f>
        <v>피치트리 15ml, 보드카 30ml, 크렌베리 주스 필업</v>
      </c>
      <c r="F285" s="5"/>
    </row>
    <row r="286">
      <c r="A286" s="5" t="str">
        <f>IFERROR(__xludf.DUMMYFUNCTION("""COMPUTED_VALUE"""),"워싱턴 애플")</f>
        <v>워싱턴 애플</v>
      </c>
      <c r="B286" s="5" t="str">
        <f>IFERROR(__xludf.DUMMYFUNCTION("""COMPUTED_VALUE"""),"버번")</f>
        <v>버번</v>
      </c>
      <c r="C286" s="5" t="str">
        <f>IFERROR(__xludf.DUMMYFUNCTION("""COMPUTED_VALUE"""),"쉐이킹")</f>
        <v>쉐이킹</v>
      </c>
      <c r="D286" s="8">
        <f>IFERROR(__xludf.DUMMYFUNCTION("""COMPUTED_VALUE"""),0.0)</f>
        <v>0</v>
      </c>
      <c r="E286" s="5" t="str">
        <f>IFERROR(__xludf.DUMMYFUNCTION("""COMPUTED_VALUE"""),"버번 위스키 30ml, 애플퍼커 30ml, 크렌베리 30ml")</f>
        <v>버번 위스키 30ml, 애플퍼커 30ml, 크렌베리 30ml</v>
      </c>
      <c r="F286" s="5"/>
    </row>
    <row r="287">
      <c r="A287" s="5" t="str">
        <f>IFERROR(__xludf.DUMMYFUNCTION("""COMPUTED_VALUE"""),"웨어울프")</f>
        <v>웨어울프</v>
      </c>
      <c r="B287" s="5" t="str">
        <f>IFERROR(__xludf.DUMMYFUNCTION("""COMPUTED_VALUE"""),"위스키")</f>
        <v>위스키</v>
      </c>
      <c r="C287" s="5" t="str">
        <f>IFERROR(__xludf.DUMMYFUNCTION("""COMPUTED_VALUE"""),"쉐이킹")</f>
        <v>쉐이킹</v>
      </c>
      <c r="D287" s="8">
        <f>IFERROR(__xludf.DUMMYFUNCTION("""COMPUTED_VALUE"""),0.0)</f>
        <v>0</v>
      </c>
      <c r="E287" s="5" t="str">
        <f>IFERROR(__xludf.DUMMYFUNCTION("""COMPUTED_VALUE"""),"스카치 위스키 30ml, 드람부이 15ml")</f>
        <v>스카치 위스키 30ml, 드람부이 15ml</v>
      </c>
      <c r="F287" s="5"/>
    </row>
    <row r="288">
      <c r="A288" s="5" t="str">
        <f>IFERROR(__xludf.DUMMYFUNCTION("""COMPUTED_VALUE"""),"위스키 리키")</f>
        <v>위스키 리키</v>
      </c>
      <c r="B288" s="5" t="str">
        <f>IFERROR(__xludf.DUMMYFUNCTION("""COMPUTED_VALUE"""),"위스키")</f>
        <v>위스키</v>
      </c>
      <c r="C288" s="5" t="str">
        <f>IFERROR(__xludf.DUMMYFUNCTION("""COMPUTED_VALUE"""),"빌드")</f>
        <v>빌드</v>
      </c>
      <c r="D288" s="8">
        <f>IFERROR(__xludf.DUMMYFUNCTION("""COMPUTED_VALUE"""),0.0)</f>
        <v>0</v>
      </c>
      <c r="E288" s="5" t="str">
        <f>IFERROR(__xludf.DUMMYFUNCTION("""COMPUTED_VALUE"""),"위스키 60ml, 라임즙 15ml, 탄산수 120ml")</f>
        <v>위스키 60ml, 라임즙 15ml, 탄산수 120ml</v>
      </c>
      <c r="F288" s="5"/>
    </row>
    <row r="289">
      <c r="A289" s="5" t="str">
        <f>IFERROR(__xludf.DUMMYFUNCTION("""COMPUTED_VALUE"""),"위스키 사워")</f>
        <v>위스키 사워</v>
      </c>
      <c r="B289" s="5" t="str">
        <f>IFERROR(__xludf.DUMMYFUNCTION("""COMPUTED_VALUE"""),"위스키")</f>
        <v>위스키</v>
      </c>
      <c r="C289" s="5" t="str">
        <f>IFERROR(__xludf.DUMMYFUNCTION("""COMPUTED_VALUE"""),"쉐이킹")</f>
        <v>쉐이킹</v>
      </c>
      <c r="D289" s="8">
        <f>IFERROR(__xludf.DUMMYFUNCTION("""COMPUTED_VALUE"""),0.0)</f>
        <v>0</v>
      </c>
      <c r="E289" s="5" t="str">
        <f>IFERROR(__xludf.DUMMYFUNCTION("""COMPUTED_VALUE"""),"위스키 60ml, 레몬즙 23ml, 시럽 15ml, 계란 흰자 1개")</f>
        <v>위스키 60ml, 레몬즙 23ml, 시럽 15ml, 계란 흰자 1개</v>
      </c>
      <c r="F289" s="5"/>
    </row>
    <row r="290">
      <c r="A290" s="5" t="str">
        <f>IFERROR(__xludf.DUMMYFUNCTION("""COMPUTED_VALUE"""),"이탈리안75")</f>
        <v>이탈리안75</v>
      </c>
      <c r="B290" s="5" t="str">
        <f>IFERROR(__xludf.DUMMYFUNCTION("""COMPUTED_VALUE"""),"혼합")</f>
        <v>혼합</v>
      </c>
      <c r="C290" s="5" t="str">
        <f>IFERROR(__xludf.DUMMYFUNCTION("""COMPUTED_VALUE"""),"빌드")</f>
        <v>빌드</v>
      </c>
      <c r="D290" s="8">
        <f>IFERROR(__xludf.DUMMYFUNCTION("""COMPUTED_VALUE"""),0.0)</f>
        <v>0</v>
      </c>
      <c r="E290" s="5" t="str">
        <f>IFERROR(__xludf.DUMMYFUNCTION("""COMPUTED_VALUE"""),"진 22.5ml, 레몬라임 소다 3부, 스파클링 화이트 와인 3부, 가니쉬 레몬 트위스트")</f>
        <v>진 22.5ml, 레몬라임 소다 3부, 스파클링 화이트 와인 3부, 가니쉬 레몬 트위스트</v>
      </c>
      <c r="F290" s="5"/>
    </row>
    <row r="291">
      <c r="A291" s="5" t="str">
        <f>IFERROR(__xludf.DUMMYFUNCTION("""COMPUTED_VALUE"""),"자라나")</f>
        <v>자라나</v>
      </c>
      <c r="B291" s="5" t="str">
        <f>IFERROR(__xludf.DUMMYFUNCTION("""COMPUTED_VALUE"""),"데낄라")</f>
        <v>데낄라</v>
      </c>
      <c r="C291" s="5" t="str">
        <f>IFERROR(__xludf.DUMMYFUNCTION("""COMPUTED_VALUE"""),"빌드")</f>
        <v>빌드</v>
      </c>
      <c r="D291" s="8">
        <f>IFERROR(__xludf.DUMMYFUNCTION("""COMPUTED_VALUE"""),0.0)</f>
        <v>0</v>
      </c>
      <c r="E291" s="5" t="str">
        <f>IFERROR(__xludf.DUMMYFUNCTION("""COMPUTED_VALUE"""),"데낄라 45ml, 파인애플 주스 120ml, 설탕 시럽 2티스푼")</f>
        <v>데낄라 45ml, 파인애플 주스 120ml, 설탕 시럽 2티스푼</v>
      </c>
      <c r="F291" s="5"/>
    </row>
    <row r="292">
      <c r="A292" s="5" t="str">
        <f>IFERROR(__xludf.DUMMYFUNCTION("""COMPUTED_VALUE"""),"자메이카 10단")</f>
        <v>자메이카 10단</v>
      </c>
      <c r="B292" s="5" t="str">
        <f>IFERROR(__xludf.DUMMYFUNCTION("""COMPUTED_VALUE"""),"혼합")</f>
        <v>혼합</v>
      </c>
      <c r="C292" s="5" t="str">
        <f>IFERROR(__xludf.DUMMYFUNCTION("""COMPUTED_VALUE"""),"쉐이킹")</f>
        <v>쉐이킹</v>
      </c>
      <c r="D292" s="8">
        <f>IFERROR(__xludf.DUMMYFUNCTION("""COMPUTED_VALUE"""),0.0)</f>
        <v>0</v>
      </c>
      <c r="E292" s="5" t="str">
        <f>IFERROR(__xludf.DUMMYFUNCTION("""COMPUTED_VALUE"""),"화이트 럼 or 보드카 30ml, 멜론 리큐르 22.5ml, 바나나 리큐르 7.5ml, 말리부 7.5ml, 크림 15ml")</f>
        <v>화이트 럼 or 보드카 30ml, 멜론 리큐르 22.5ml, 바나나 리큐르 7.5ml, 말리부 7.5ml, 크림 15ml</v>
      </c>
      <c r="F292" s="5"/>
    </row>
    <row r="293">
      <c r="A293" s="5" t="str">
        <f>IFERROR(__xludf.DUMMYFUNCTION("""COMPUTED_VALUE"""),"자키 클럽")</f>
        <v>자키 클럽</v>
      </c>
      <c r="B293" s="5" t="str">
        <f>IFERROR(__xludf.DUMMYFUNCTION("""COMPUTED_VALUE"""),"진")</f>
        <v>진</v>
      </c>
      <c r="C293" s="5" t="str">
        <f>IFERROR(__xludf.DUMMYFUNCTION("""COMPUTED_VALUE"""),"쉐이킹")</f>
        <v>쉐이킹</v>
      </c>
      <c r="D293" s="8">
        <f>IFERROR(__xludf.DUMMYFUNCTION("""COMPUTED_VALUE"""),0.0)</f>
        <v>0</v>
      </c>
      <c r="E293" s="5" t="str">
        <f>IFERROR(__xludf.DUMMYFUNCTION("""COMPUTED_VALUE"""),"진 60ml, 아마레또 22.5ml, 레몬즙 22.5ml, 앙고스투라 비터 2대쉬")</f>
        <v>진 60ml, 아마레또 22.5ml, 레몬즙 22.5ml, 앙고스투라 비터 2대쉬</v>
      </c>
      <c r="F293" s="5"/>
    </row>
    <row r="294">
      <c r="A294" s="5" t="str">
        <f>IFERROR(__xludf.DUMMYFUNCTION("""COMPUTED_VALUE"""),"재패니스")</f>
        <v>재패니스</v>
      </c>
      <c r="B294" s="5" t="str">
        <f>IFERROR(__xludf.DUMMYFUNCTION("""COMPUTED_VALUE"""),"꼬냑 or 브랜디")</f>
        <v>꼬냑 or 브랜디</v>
      </c>
      <c r="C294" s="5" t="str">
        <f>IFERROR(__xludf.DUMMYFUNCTION("""COMPUTED_VALUE"""),"스터")</f>
        <v>스터</v>
      </c>
      <c r="D294" s="8">
        <f>IFERROR(__xludf.DUMMYFUNCTION("""COMPUTED_VALUE"""),0.0)</f>
        <v>0</v>
      </c>
      <c r="E294" s="5" t="str">
        <f>IFERROR(__xludf.DUMMYFUNCTION("""COMPUTED_VALUE"""),"꼬냑 or 브랜디 60ml, 애프리콧 브랜디 15ml, 앙고스투라 비터 3대쉬")</f>
        <v>꼬냑 or 브랜디 60ml, 애프리콧 브랜디 15ml, 앙고스투라 비터 3대쉬</v>
      </c>
      <c r="F294" s="5"/>
    </row>
    <row r="295">
      <c r="A295" s="5" t="str">
        <f>IFERROR(__xludf.DUMMYFUNCTION("""COMPUTED_VALUE"""),"재패니즈 슬리퍼")</f>
        <v>재패니즈 슬리퍼</v>
      </c>
      <c r="B295" s="5" t="str">
        <f>IFERROR(__xludf.DUMMYFUNCTION("""COMPUTED_VALUE"""),"혼합")</f>
        <v>혼합</v>
      </c>
      <c r="C295" s="5" t="str">
        <f>IFERROR(__xludf.DUMMYFUNCTION("""COMPUTED_VALUE"""),"쉐이킹")</f>
        <v>쉐이킹</v>
      </c>
      <c r="D295" s="8">
        <f>IFERROR(__xludf.DUMMYFUNCTION("""COMPUTED_VALUE"""),0.0)</f>
        <v>0</v>
      </c>
      <c r="E295" s="5" t="str">
        <f>IFERROR(__xludf.DUMMYFUNCTION("""COMPUTED_VALUE"""),"체리 1조각, 멜론 리큐르 30ml, 트리플 섹 or 보드카 30ml, 레몬즙 30ml")</f>
        <v>체리 1조각, 멜론 리큐르 30ml, 트리플 섹 or 보드카 30ml, 레몬즙 30ml</v>
      </c>
      <c r="F295" s="5"/>
    </row>
    <row r="296">
      <c r="A296" s="5" t="str">
        <f>IFERROR(__xludf.DUMMYFUNCTION("""COMPUTED_VALUE"""),"잭 로즈")</f>
        <v>잭 로즈</v>
      </c>
      <c r="B296" s="5" t="str">
        <f>IFERROR(__xludf.DUMMYFUNCTION("""COMPUTED_VALUE"""),"브랜디")</f>
        <v>브랜디</v>
      </c>
      <c r="C296" s="5" t="str">
        <f>IFERROR(__xludf.DUMMYFUNCTION("""COMPUTED_VALUE"""),"쉐이킹")</f>
        <v>쉐이킹</v>
      </c>
      <c r="D296" s="8">
        <f>IFERROR(__xludf.DUMMYFUNCTION("""COMPUTED_VALUE"""),0.0)</f>
        <v>0</v>
      </c>
      <c r="E296" s="5" t="str">
        <f>IFERROR(__xludf.DUMMYFUNCTION("""COMPUTED_VALUE"""),"애플 잭 45ml, 라임즙 15ml, 그레나딘 시럽 7ml")</f>
        <v>애플 잭 45ml, 라임즙 15ml, 그레나딘 시럽 7ml</v>
      </c>
      <c r="F296" s="5"/>
    </row>
    <row r="297">
      <c r="A297" s="5" t="str">
        <f>IFERROR(__xludf.DUMMYFUNCTION("""COMPUTED_VALUE"""),"잭 인 더 박스")</f>
        <v>잭 인 더 박스</v>
      </c>
      <c r="B297" s="5" t="str">
        <f>IFERROR(__xludf.DUMMYFUNCTION("""COMPUTED_VALUE"""),"브랜디")</f>
        <v>브랜디</v>
      </c>
      <c r="C297" s="5" t="str">
        <f>IFERROR(__xludf.DUMMYFUNCTION("""COMPUTED_VALUE"""),"쉐이킹")</f>
        <v>쉐이킹</v>
      </c>
      <c r="D297" s="8">
        <f>IFERROR(__xludf.DUMMYFUNCTION("""COMPUTED_VALUE"""),0.0)</f>
        <v>0</v>
      </c>
      <c r="E297" s="5" t="str">
        <f>IFERROR(__xludf.DUMMYFUNCTION("""COMPUTED_VALUE"""),"애플 잭 45ml, 파인애플 주스 45ml, 앙고스투라 비터 2대쉬")</f>
        <v>애플 잭 45ml, 파인애플 주스 45ml, 앙고스투라 비터 2대쉬</v>
      </c>
      <c r="F297" s="5"/>
    </row>
    <row r="298">
      <c r="A298" s="5" t="str">
        <f>IFERROR(__xludf.DUMMYFUNCTION("""COMPUTED_VALUE"""),"쟈스민")</f>
        <v>쟈스민</v>
      </c>
      <c r="B298" s="5" t="str">
        <f>IFERROR(__xludf.DUMMYFUNCTION("""COMPUTED_VALUE"""),"진")</f>
        <v>진</v>
      </c>
      <c r="C298" s="5" t="str">
        <f>IFERROR(__xludf.DUMMYFUNCTION("""COMPUTED_VALUE"""),"쉐이킹")</f>
        <v>쉐이킹</v>
      </c>
      <c r="D298" s="8">
        <f>IFERROR(__xludf.DUMMYFUNCTION("""COMPUTED_VALUE"""),0.0)</f>
        <v>0</v>
      </c>
      <c r="E298" s="5" t="str">
        <f>IFERROR(__xludf.DUMMYFUNCTION("""COMPUTED_VALUE"""),"진 45ml, 레몬즙 22.5ml, 코앵트로 7.5ml, 캄파리 7.5ml, 가니쉬로 레몬껍질")</f>
        <v>진 45ml, 레몬즙 22.5ml, 코앵트로 7.5ml, 캄파리 7.5ml, 가니쉬로 레몬껍질</v>
      </c>
      <c r="F298" s="5"/>
    </row>
    <row r="299">
      <c r="A299" s="5" t="str">
        <f>IFERROR(__xludf.DUMMYFUNCTION("""COMPUTED_VALUE"""),"저글링 쥬스")</f>
        <v>저글링 쥬스</v>
      </c>
      <c r="B299" s="5" t="str">
        <f>IFERROR(__xludf.DUMMYFUNCTION("""COMPUTED_VALUE"""),"럼")</f>
        <v>럼</v>
      </c>
      <c r="C299" s="5" t="str">
        <f>IFERROR(__xludf.DUMMYFUNCTION("""COMPUTED_VALUE"""),"쉐이킹")</f>
        <v>쉐이킹</v>
      </c>
      <c r="D299" s="8">
        <f>IFERROR(__xludf.DUMMYFUNCTION("""COMPUTED_VALUE"""),0.0)</f>
        <v>0</v>
      </c>
      <c r="E299" s="5" t="str">
        <f>IFERROR(__xludf.DUMMYFUNCTION("""COMPUTED_VALUE"""),"화이트 럼 30ml, 바나나 리큐르 15ml, 레몬즙 15ml, 설탕 시럽 2티스푼")</f>
        <v>화이트 럼 30ml, 바나나 리큐르 15ml, 레몬즙 15ml, 설탕 시럽 2티스푼</v>
      </c>
      <c r="F299" s="5"/>
    </row>
    <row r="300">
      <c r="A300" s="5" t="str">
        <f>IFERROR(__xludf.DUMMYFUNCTION("""COMPUTED_VALUE"""),"정글 버드")</f>
        <v>정글 버드</v>
      </c>
      <c r="B300" s="5" t="str">
        <f>IFERROR(__xludf.DUMMYFUNCTION("""COMPUTED_VALUE"""),"다크럼")</f>
        <v>다크럼</v>
      </c>
      <c r="C300" s="5" t="str">
        <f>IFERROR(__xludf.DUMMYFUNCTION("""COMPUTED_VALUE"""),"쉐이킹")</f>
        <v>쉐이킹</v>
      </c>
      <c r="D300" s="8">
        <f>IFERROR(__xludf.DUMMYFUNCTION("""COMPUTED_VALUE"""),0.0)</f>
        <v>0</v>
      </c>
      <c r="E300" s="5" t="str">
        <f>IFERROR(__xludf.DUMMYFUNCTION("""COMPUTED_VALUE"""),"다크럼 45ml, 캄파리 23ml, 시럽 15ml, 파인애플 주스 45ml, 라임즙15ml")</f>
        <v>다크럼 45ml, 캄파리 23ml, 시럽 15ml, 파인애플 주스 45ml, 라임즙15ml</v>
      </c>
      <c r="F300" s="5"/>
    </row>
    <row r="301">
      <c r="A301" s="5" t="str">
        <f>IFERROR(__xludf.DUMMYFUNCTION("""COMPUTED_VALUE"""),"정복자")</f>
        <v>정복자</v>
      </c>
      <c r="B301" s="5" t="str">
        <f>IFERROR(__xludf.DUMMYFUNCTION("""COMPUTED_VALUE"""),"럼")</f>
        <v>럼</v>
      </c>
      <c r="C301" s="5" t="str">
        <f>IFERROR(__xludf.DUMMYFUNCTION("""COMPUTED_VALUE"""),"쉐이킹")</f>
        <v>쉐이킹</v>
      </c>
      <c r="D301" s="8">
        <f>IFERROR(__xludf.DUMMYFUNCTION("""COMPUTED_VALUE"""),0.0)</f>
        <v>0</v>
      </c>
      <c r="E301" s="5" t="str">
        <f>IFERROR(__xludf.DUMMYFUNCTION("""COMPUTED_VALUE"""),"숙성 럼주 30ml, 데낄라 블랑코 30ml, 심플시럽 15ml, 레몬즙 15ml, 라임즙 15ml, 오렌지 비터 2대쉬, 계란 흰자 1개, 드라이 쉐이킹 후 쉐이킹")</f>
        <v>숙성 럼주 30ml, 데낄라 블랑코 30ml, 심플시럽 15ml, 레몬즙 15ml, 라임즙 15ml, 오렌지 비터 2대쉬, 계란 흰자 1개, 드라이 쉐이킹 후 쉐이킹</v>
      </c>
      <c r="F301" s="5"/>
    </row>
    <row r="302">
      <c r="A302" s="5" t="str">
        <f>IFERROR(__xludf.DUMMYFUNCTION("""COMPUTED_VALUE"""),"제이크 반스")</f>
        <v>제이크 반스</v>
      </c>
      <c r="B302" s="5" t="str">
        <f>IFERROR(__xludf.DUMMYFUNCTION("""COMPUTED_VALUE"""),"애플 브랜디")</f>
        <v>애플 브랜디</v>
      </c>
      <c r="C302" s="5" t="str">
        <f>IFERROR(__xludf.DUMMYFUNCTION("""COMPUTED_VALUE"""),"쉐이킹")</f>
        <v>쉐이킹</v>
      </c>
      <c r="D302" s="8">
        <f>IFERROR(__xludf.DUMMYFUNCTION("""COMPUTED_VALUE"""),0.0)</f>
        <v>0</v>
      </c>
      <c r="E302" s="5" t="str">
        <f>IFERROR(__xludf.DUMMYFUNCTION("""COMPUTED_VALUE"""),"애플 브랜디 45ml, 레몬즙 15ml, 파인애플 주스 15ml, 그레나딘 시럽 15ml, 앙고스투라 비터 1대쉬")</f>
        <v>애플 브랜디 45ml, 레몬즙 15ml, 파인애플 주스 15ml, 그레나딘 시럽 15ml, 앙고스투라 비터 1대쉬</v>
      </c>
      <c r="F302" s="5"/>
    </row>
    <row r="303">
      <c r="A303" s="5" t="str">
        <f>IFERROR(__xludf.DUMMYFUNCTION("""COMPUTED_VALUE"""),"조 리키")</f>
        <v>조 리키</v>
      </c>
      <c r="B303" s="5" t="str">
        <f>IFERROR(__xludf.DUMMYFUNCTION("""COMPUTED_VALUE"""),"위스키")</f>
        <v>위스키</v>
      </c>
      <c r="C303" s="5" t="str">
        <f>IFERROR(__xludf.DUMMYFUNCTION("""COMPUTED_VALUE"""),"빌드")</f>
        <v>빌드</v>
      </c>
      <c r="D303" s="8">
        <f>IFERROR(__xludf.DUMMYFUNCTION("""COMPUTED_VALUE"""),0.0)</f>
        <v>0</v>
      </c>
      <c r="E303" s="5" t="str">
        <f>IFERROR(__xludf.DUMMYFUNCTION("""COMPUTED_VALUE"""),"버번 위스키 60ml, 라임 1/2개(즙과 라임 다 넣는다), 탄산수 필업")</f>
        <v>버번 위스키 60ml, 라임 1/2개(즙과 라임 다 넣는다), 탄산수 필업</v>
      </c>
      <c r="F303" s="5"/>
    </row>
    <row r="304">
      <c r="A304" s="5" t="str">
        <f>IFERROR(__xludf.DUMMYFUNCTION("""COMPUTED_VALUE"""),"조세핀 베이커")</f>
        <v>조세핀 베이커</v>
      </c>
      <c r="B304" s="5" t="str">
        <f>IFERROR(__xludf.DUMMYFUNCTION("""COMPUTED_VALUE"""),"꼬냑 or 브랜디")</f>
        <v>꼬냑 or 브랜디</v>
      </c>
      <c r="C304" s="5" t="str">
        <f>IFERROR(__xludf.DUMMYFUNCTION("""COMPUTED_VALUE"""),"쉐이킹")</f>
        <v>쉐이킹</v>
      </c>
      <c r="D304" s="8">
        <f>IFERROR(__xludf.DUMMYFUNCTION("""COMPUTED_VALUE"""),0.0)</f>
        <v>0</v>
      </c>
      <c r="E304" s="5" t="str">
        <f>IFERROR(__xludf.DUMMYFUNCTION("""COMPUTED_VALUE"""),"심플시럽 2티스푼, 계란 1개, 포트와인 45ml를 드라이 쉐이킹 후 꼬냑 or 브랜디 45ml, 애프리콧 브랜디 45ml를 쉐이킹, 레몬필")</f>
        <v>심플시럽 2티스푼, 계란 1개, 포트와인 45ml를 드라이 쉐이킹 후 꼬냑 or 브랜디 45ml, 애프리콧 브랜디 45ml를 쉐이킹, 레몬필</v>
      </c>
      <c r="F304" s="5"/>
    </row>
    <row r="305">
      <c r="A305" s="5" t="str">
        <f>IFERROR(__xludf.DUMMYFUNCTION("""COMPUTED_VALUE"""),"존 콜린스")</f>
        <v>존 콜린스</v>
      </c>
      <c r="B305" s="5" t="str">
        <f>IFERROR(__xludf.DUMMYFUNCTION("""COMPUTED_VALUE"""),"위스키")</f>
        <v>위스키</v>
      </c>
      <c r="C305" s="5" t="str">
        <f>IFERROR(__xludf.DUMMYFUNCTION("""COMPUTED_VALUE"""),"쉐이킹")</f>
        <v>쉐이킹</v>
      </c>
      <c r="D305" s="8">
        <f>IFERROR(__xludf.DUMMYFUNCTION("""COMPUTED_VALUE"""),0.0)</f>
        <v>0</v>
      </c>
      <c r="E305" s="5" t="str">
        <f>IFERROR(__xludf.DUMMYFUNCTION("""COMPUTED_VALUE"""),"위스키 60ml, 레몬즙 20ml, 설탕 1티스푼, 쉐이킹 후 탄산수 적당량, 레몬 슬라이스, 체리 1조각")</f>
        <v>위스키 60ml, 레몬즙 20ml, 설탕 1티스푼, 쉐이킹 후 탄산수 적당량, 레몬 슬라이스, 체리 1조각</v>
      </c>
      <c r="F305" s="5"/>
    </row>
    <row r="306">
      <c r="A306" s="5" t="str">
        <f>IFERROR(__xludf.DUMMYFUNCTION("""COMPUTED_VALUE"""),"좀비")</f>
        <v>좀비</v>
      </c>
      <c r="B306" s="5" t="str">
        <f>IFERROR(__xludf.DUMMYFUNCTION("""COMPUTED_VALUE"""),"다크럼")</f>
        <v>다크럼</v>
      </c>
      <c r="C306" s="5" t="str">
        <f>IFERROR(__xludf.DUMMYFUNCTION("""COMPUTED_VALUE"""),"쉐이킹")</f>
        <v>쉐이킹</v>
      </c>
      <c r="D306" s="8">
        <f>IFERROR(__xludf.DUMMYFUNCTION("""COMPUTED_VALUE"""),9.0)</f>
        <v>9</v>
      </c>
      <c r="E306" s="5" t="str">
        <f>IFERROR(__xludf.DUMMYFUNCTION("""COMPUTED_VALUE"""),"다크럼 30ml, 화이트 럼 15ml, 골드럼 15ml, 파인애플 주스 60ml, 오렌지 주스 30ml, 라임즙 15ml, 그레나딘 30ml")</f>
        <v>다크럼 30ml, 화이트 럼 15ml, 골드럼 15ml, 파인애플 주스 60ml, 오렌지 주스 30ml, 라임즙 15ml, 그레나딘 30ml</v>
      </c>
      <c r="F306" s="5" t="str">
        <f>IFERROR(__xludf.DUMMYFUNCTION("""COMPUTED_VALUE"""),"엘마리아치의 그 맛")</f>
        <v>엘마리아치의 그 맛</v>
      </c>
    </row>
    <row r="307">
      <c r="A307" s="5" t="str">
        <f>IFERROR(__xludf.DUMMYFUNCTION("""COMPUTED_VALUE"""),"주도")</f>
        <v>주도</v>
      </c>
      <c r="B307" s="5" t="str">
        <f>IFERROR(__xludf.DUMMYFUNCTION("""COMPUTED_VALUE"""),"리큐르")</f>
        <v>리큐르</v>
      </c>
      <c r="C307" s="5" t="str">
        <f>IFERROR(__xludf.DUMMYFUNCTION("""COMPUTED_VALUE"""),"쉐이킹")</f>
        <v>쉐이킹</v>
      </c>
      <c r="D307" s="8">
        <f>IFERROR(__xludf.DUMMYFUNCTION("""COMPUTED_VALUE"""),0.0)</f>
        <v>0</v>
      </c>
      <c r="E307" s="5" t="str">
        <f>IFERROR(__xludf.DUMMYFUNCTION("""COMPUTED_VALUE"""),"피치트리 30ml, 블루 큐라소 15ml, 레몬즙 15ml, 라임즙 30ml, 사과 주스 45ml, 설탕 시럽 2대쉬")</f>
        <v>피치트리 30ml, 블루 큐라소 15ml, 레몬즙 15ml, 라임즙 30ml, 사과 주스 45ml, 설탕 시럽 2대쉬</v>
      </c>
      <c r="F307" s="5"/>
    </row>
    <row r="308">
      <c r="A308" s="5" t="str">
        <f>IFERROR(__xludf.DUMMYFUNCTION("""COMPUTED_VALUE"""),"준 벅")</f>
        <v>준 벅</v>
      </c>
      <c r="B308" s="5" t="str">
        <f>IFERROR(__xludf.DUMMYFUNCTION("""COMPUTED_VALUE"""),"멜론 리큐르")</f>
        <v>멜론 리큐르</v>
      </c>
      <c r="C308" s="5" t="str">
        <f>IFERROR(__xludf.DUMMYFUNCTION("""COMPUTED_VALUE"""),"쉐이킹")</f>
        <v>쉐이킹</v>
      </c>
      <c r="D308" s="8">
        <f>IFERROR(__xludf.DUMMYFUNCTION("""COMPUTED_VALUE"""),0.0)</f>
        <v>0</v>
      </c>
      <c r="E308" s="5" t="str">
        <f>IFERROR(__xludf.DUMMYFUNCTION("""COMPUTED_VALUE"""),"멜론 리큐르 30ml, 말리부 15ml, 바나나 리큐르 15ml, 파인애플 주스 60ml, 사워믹스 60ml")</f>
        <v>멜론 리큐르 30ml, 말리부 15ml, 바나나 리큐르 15ml, 파인애플 주스 60ml, 사워믹스 60ml</v>
      </c>
      <c r="F308" s="5"/>
    </row>
    <row r="309">
      <c r="A309" s="5" t="str">
        <f>IFERROR(__xludf.DUMMYFUNCTION("""COMPUTED_VALUE"""),"준장")</f>
        <v>준장</v>
      </c>
      <c r="B309" s="5" t="str">
        <f>IFERROR(__xludf.DUMMYFUNCTION("""COMPUTED_VALUE"""),"위스키")</f>
        <v>위스키</v>
      </c>
      <c r="C309" s="5" t="str">
        <f>IFERROR(__xludf.DUMMYFUNCTION("""COMPUTED_VALUE"""),"쉐이킹")</f>
        <v>쉐이킹</v>
      </c>
      <c r="D309" s="8">
        <f>IFERROR(__xludf.DUMMYFUNCTION("""COMPUTED_VALUE"""),0.0)</f>
        <v>0</v>
      </c>
      <c r="E309" s="5" t="str">
        <f>IFERROR(__xludf.DUMMYFUNCTION("""COMPUTED_VALUE"""),"버번 or 라이 위스키 45ml, 크렘 드 카카오 15ml, 레몬즙 15ml, 그레나딘 시럽 1바스푼")</f>
        <v>버번 or 라이 위스키 45ml, 크렘 드 카카오 15ml, 레몬즙 15ml, 그레나딘 시럽 1바스푼</v>
      </c>
      <c r="F309" s="5"/>
    </row>
    <row r="310">
      <c r="A310" s="5" t="str">
        <f>IFERROR(__xludf.DUMMYFUNCTION("""COMPUTED_VALUE"""),"줄리엣")</f>
        <v>줄리엣</v>
      </c>
      <c r="B310" s="5" t="str">
        <f>IFERROR(__xludf.DUMMYFUNCTION("""COMPUTED_VALUE"""),"카시스")</f>
        <v>카시스</v>
      </c>
      <c r="C310" s="5" t="str">
        <f>IFERROR(__xludf.DUMMYFUNCTION("""COMPUTED_VALUE"""),"블렌딩")</f>
        <v>블렌딩</v>
      </c>
      <c r="D310" s="8">
        <f>IFERROR(__xludf.DUMMYFUNCTION("""COMPUTED_VALUE"""),0.0)</f>
        <v>0</v>
      </c>
      <c r="E310" s="5" t="str">
        <f>IFERROR(__xludf.DUMMYFUNCTION("""COMPUTED_VALUE"""),"카시스 30ml, 피치트리 15ml, 보드카 15ml, 그레나딘 시럽 15ml, 사워믹스 30ml, 사과주스 30ml, 크러쉬드 아이스 1스쿱")</f>
        <v>카시스 30ml, 피치트리 15ml, 보드카 15ml, 그레나딘 시럽 15ml, 사워믹스 30ml, 사과주스 30ml, 크러쉬드 아이스 1스쿱</v>
      </c>
      <c r="F310" s="5"/>
    </row>
    <row r="311">
      <c r="A311" s="5" t="str">
        <f>IFERROR(__xludf.DUMMYFUNCTION("""COMPUTED_VALUE"""),"진 리키")</f>
        <v>진 리키</v>
      </c>
      <c r="B311" s="5" t="str">
        <f>IFERROR(__xludf.DUMMYFUNCTION("""COMPUTED_VALUE"""),"진")</f>
        <v>진</v>
      </c>
      <c r="C311" s="5" t="str">
        <f>IFERROR(__xludf.DUMMYFUNCTION("""COMPUTED_VALUE"""),"빌드")</f>
        <v>빌드</v>
      </c>
      <c r="D311" s="8">
        <f>IFERROR(__xludf.DUMMYFUNCTION("""COMPUTED_VALUE"""),0.0)</f>
        <v>0</v>
      </c>
      <c r="E311" s="5" t="str">
        <f>IFERROR(__xludf.DUMMYFUNCTION("""COMPUTED_VALUE"""),"진 60ml, 라임 1/2개(즙과 라임 다 넣는다), 탄산수 필업")</f>
        <v>진 60ml, 라임 1/2개(즙과 라임 다 넣는다), 탄산수 필업</v>
      </c>
      <c r="F311" s="5"/>
    </row>
    <row r="312">
      <c r="A312" s="5" t="str">
        <f>IFERROR(__xludf.DUMMYFUNCTION("""COMPUTED_VALUE"""),"진 벅")</f>
        <v>진 벅</v>
      </c>
      <c r="B312" s="5" t="str">
        <f>IFERROR(__xludf.DUMMYFUNCTION("""COMPUTED_VALUE"""),"진")</f>
        <v>진</v>
      </c>
      <c r="C312" s="5" t="str">
        <f>IFERROR(__xludf.DUMMYFUNCTION("""COMPUTED_VALUE"""),"빌드")</f>
        <v>빌드</v>
      </c>
      <c r="D312" s="8">
        <f>IFERROR(__xludf.DUMMYFUNCTION("""COMPUTED_VALUE"""),0.0)</f>
        <v>0</v>
      </c>
      <c r="E312" s="5" t="str">
        <f>IFERROR(__xludf.DUMMYFUNCTION("""COMPUTED_VALUE"""),"드라이진 45ml, 레몬즙 20ml, 진저 에일 90ml")</f>
        <v>드라이진 45ml, 레몬즙 20ml, 진저 에일 90ml</v>
      </c>
      <c r="F312" s="5"/>
    </row>
    <row r="313">
      <c r="A313" s="5" t="str">
        <f>IFERROR(__xludf.DUMMYFUNCTION("""COMPUTED_VALUE"""),"진 벅2")</f>
        <v>진 벅2</v>
      </c>
      <c r="B313" s="5" t="str">
        <f>IFERROR(__xludf.DUMMYFUNCTION("""COMPUTED_VALUE"""),"진")</f>
        <v>진</v>
      </c>
      <c r="C313" s="5" t="str">
        <f>IFERROR(__xludf.DUMMYFUNCTION("""COMPUTED_VALUE"""),"빌드")</f>
        <v>빌드</v>
      </c>
      <c r="D313" s="8">
        <f>IFERROR(__xludf.DUMMYFUNCTION("""COMPUTED_VALUE"""),0.0)</f>
        <v>0</v>
      </c>
      <c r="E313" s="5" t="str">
        <f>IFERROR(__xludf.DUMMYFUNCTION("""COMPUTED_VALUE"""),"레몬 웻지 1조각, 진 60ml, 진저에일 90ml")</f>
        <v>레몬 웻지 1조각, 진 60ml, 진저에일 90ml</v>
      </c>
      <c r="F313" s="5"/>
    </row>
    <row r="314">
      <c r="A314" s="5" t="str">
        <f>IFERROR(__xludf.DUMMYFUNCTION("""COMPUTED_VALUE"""),"진 소닉")</f>
        <v>진 소닉</v>
      </c>
      <c r="B314" s="5" t="str">
        <f>IFERROR(__xludf.DUMMYFUNCTION("""COMPUTED_VALUE"""),"진")</f>
        <v>진</v>
      </c>
      <c r="C314" s="5" t="str">
        <f>IFERROR(__xludf.DUMMYFUNCTION("""COMPUTED_VALUE"""),"빌드")</f>
        <v>빌드</v>
      </c>
      <c r="D314" s="8">
        <f>IFERROR(__xludf.DUMMYFUNCTION("""COMPUTED_VALUE"""),0.0)</f>
        <v>0</v>
      </c>
      <c r="E314" s="5" t="str">
        <f>IFERROR(__xludf.DUMMYFUNCTION("""COMPUTED_VALUE"""),"진 45ml, 탄산수 50ml, 토닉워터 50ml")</f>
        <v>진 45ml, 탄산수 50ml, 토닉워터 50ml</v>
      </c>
      <c r="F314" s="5"/>
    </row>
    <row r="315">
      <c r="A315" s="5" t="str">
        <f>IFERROR(__xludf.DUMMYFUNCTION("""COMPUTED_VALUE"""),"진 슬링")</f>
        <v>진 슬링</v>
      </c>
      <c r="B315" s="5" t="str">
        <f>IFERROR(__xludf.DUMMYFUNCTION("""COMPUTED_VALUE"""),"진")</f>
        <v>진</v>
      </c>
      <c r="C315" s="5" t="str">
        <f>IFERROR(__xludf.DUMMYFUNCTION("""COMPUTED_VALUE"""),"쉐이킹")</f>
        <v>쉐이킹</v>
      </c>
      <c r="D315" s="8">
        <f>IFERROR(__xludf.DUMMYFUNCTION("""COMPUTED_VALUE"""),0.0)</f>
        <v>0</v>
      </c>
      <c r="E315" s="5" t="str">
        <f>IFERROR(__xludf.DUMMYFUNCTION("""COMPUTED_VALUE"""),"진 45ml, 스윗 베르뭇 30ml, 레몬즙 22.5ml, 심플시럽 30ml, 앙고스투라 비터 1대쉬, 쉐이킹 후 탄산수 90ml")</f>
        <v>진 45ml, 스윗 베르뭇 30ml, 레몬즙 22.5ml, 심플시럽 30ml, 앙고스투라 비터 1대쉬, 쉐이킹 후 탄산수 90ml</v>
      </c>
      <c r="F315" s="5"/>
    </row>
    <row r="316">
      <c r="A316" s="5" t="str">
        <f>IFERROR(__xludf.DUMMYFUNCTION("""COMPUTED_VALUE"""),"진-진 하이볼")</f>
        <v>진-진 하이볼</v>
      </c>
      <c r="B316" s="5" t="str">
        <f>IFERROR(__xludf.DUMMYFUNCTION("""COMPUTED_VALUE"""),"진")</f>
        <v>진</v>
      </c>
      <c r="C316" s="5" t="str">
        <f>IFERROR(__xludf.DUMMYFUNCTION("""COMPUTED_VALUE"""),"빌드")</f>
        <v>빌드</v>
      </c>
      <c r="D316" s="8">
        <f>IFERROR(__xludf.DUMMYFUNCTION("""COMPUTED_VALUE"""),0.0)</f>
        <v>0</v>
      </c>
      <c r="E316" s="5" t="str">
        <f>IFERROR(__xludf.DUMMYFUNCTION("""COMPUTED_VALUE"""),"진 45ml, 진저 에일 150ml, 앙고스투라 비터 2대쉬, 가니쉬 레몬 트위스트")</f>
        <v>진 45ml, 진저 에일 150ml, 앙고스투라 비터 2대쉬, 가니쉬 레몬 트위스트</v>
      </c>
      <c r="F316" s="5"/>
    </row>
    <row r="317">
      <c r="A317" s="5" t="str">
        <f>IFERROR(__xludf.DUMMYFUNCTION("""COMPUTED_VALUE"""),"진토닉")</f>
        <v>진토닉</v>
      </c>
      <c r="B317" s="5" t="str">
        <f>IFERROR(__xludf.DUMMYFUNCTION("""COMPUTED_VALUE"""),"진")</f>
        <v>진</v>
      </c>
      <c r="C317" s="5" t="str">
        <f>IFERROR(__xludf.DUMMYFUNCTION("""COMPUTED_VALUE"""),"빌드")</f>
        <v>빌드</v>
      </c>
      <c r="D317" s="8">
        <f>IFERROR(__xludf.DUMMYFUNCTION("""COMPUTED_VALUE"""),0.0)</f>
        <v>0</v>
      </c>
      <c r="E317" s="5" t="str">
        <f>IFERROR(__xludf.DUMMYFUNCTION("""COMPUTED_VALUE"""),"진 30~60ml, 토닉워터 필업, 레몬즙 약간, 레몬 슬라이스 1조각")</f>
        <v>진 30~60ml, 토닉워터 필업, 레몬즙 약간, 레몬 슬라이스 1조각</v>
      </c>
      <c r="F317" s="5"/>
    </row>
    <row r="318">
      <c r="A318" s="5" t="str">
        <f>IFERROR(__xludf.DUMMYFUNCTION("""COMPUTED_VALUE"""),"차이나블루")</f>
        <v>차이나블루</v>
      </c>
      <c r="B318" s="5" t="str">
        <f>IFERROR(__xludf.DUMMYFUNCTION("""COMPUTED_VALUE"""),"피치 리큐르")</f>
        <v>피치 리큐르</v>
      </c>
      <c r="C318" s="5" t="str">
        <f>IFERROR(__xludf.DUMMYFUNCTION("""COMPUTED_VALUE"""),"빌드")</f>
        <v>빌드</v>
      </c>
      <c r="D318" s="8">
        <f>IFERROR(__xludf.DUMMYFUNCTION("""COMPUTED_VALUE"""),0.0)</f>
        <v>0</v>
      </c>
      <c r="E318" s="5" t="str">
        <f>IFERROR(__xludf.DUMMYFUNCTION("""COMPUTED_VALUE"""),"리치 리큐르 30ml, 자몽 주스 45ml, 토닉워터 풀업, 블루 큐라소 7.5ml")</f>
        <v>리치 리큐르 30ml, 자몽 주스 45ml, 토닉워터 풀업, 블루 큐라소 7.5ml</v>
      </c>
      <c r="F318" s="5"/>
    </row>
    <row r="319">
      <c r="A319" s="5" t="str">
        <f>IFERROR(__xludf.DUMMYFUNCTION("""COMPUTED_VALUE"""),"차이니즈")</f>
        <v>차이니즈</v>
      </c>
      <c r="B319" s="5" t="str">
        <f>IFERROR(__xludf.DUMMYFUNCTION("""COMPUTED_VALUE"""),"다크럼")</f>
        <v>다크럼</v>
      </c>
      <c r="C319" s="5" t="str">
        <f>IFERROR(__xludf.DUMMYFUNCTION("""COMPUTED_VALUE"""),"쉐이킹")</f>
        <v>쉐이킹</v>
      </c>
      <c r="D319" s="8">
        <f>IFERROR(__xludf.DUMMYFUNCTION("""COMPUTED_VALUE"""),0.0)</f>
        <v>0</v>
      </c>
      <c r="E319" s="5" t="str">
        <f>IFERROR(__xludf.DUMMYFUNCTION("""COMPUTED_VALUE"""),"다크럼 45ml, 그레나딘 시럽 23ml, 마라스키노 3대쉬, 코앵트로 3대쉬, 비터 1대쉬")</f>
        <v>다크럼 45ml, 그레나딘 시럽 23ml, 마라스키노 3대쉬, 코앵트로 3대쉬, 비터 1대쉬</v>
      </c>
      <c r="F319" s="5"/>
    </row>
    <row r="320">
      <c r="A320" s="5" t="str">
        <f>IFERROR(__xludf.DUMMYFUNCTION("""COMPUTED_VALUE"""),"찰리 채플린")</f>
        <v>찰리 채플린</v>
      </c>
      <c r="B320" s="5" t="str">
        <f>IFERROR(__xludf.DUMMYFUNCTION("""COMPUTED_VALUE"""),"혼합")</f>
        <v>혼합</v>
      </c>
      <c r="C320" s="5" t="str">
        <f>IFERROR(__xludf.DUMMYFUNCTION("""COMPUTED_VALUE"""),"쉐이킹")</f>
        <v>쉐이킹</v>
      </c>
      <c r="D320" s="8">
        <f>IFERROR(__xludf.DUMMYFUNCTION("""COMPUTED_VALUE"""),0.0)</f>
        <v>0</v>
      </c>
      <c r="E320" s="5" t="str">
        <f>IFERROR(__xludf.DUMMYFUNCTION("""COMPUTED_VALUE"""),"애프리콧 브랜디 30ml, 슬로 진 30ml, 라임즙 30ml")</f>
        <v>애프리콧 브랜디 30ml, 슬로 진 30ml, 라임즙 30ml</v>
      </c>
      <c r="F320" s="5"/>
    </row>
    <row r="321">
      <c r="A321" s="5" t="str">
        <f>IFERROR(__xludf.DUMMYFUNCTION("""COMPUTED_VALUE"""),"처칠")</f>
        <v>처칠</v>
      </c>
      <c r="B321" s="5" t="str">
        <f>IFERROR(__xludf.DUMMYFUNCTION("""COMPUTED_VALUE"""),"위스키")</f>
        <v>위스키</v>
      </c>
      <c r="C321" s="5" t="str">
        <f>IFERROR(__xludf.DUMMYFUNCTION("""COMPUTED_VALUE"""),"쉐이킹")</f>
        <v>쉐이킹</v>
      </c>
      <c r="D321" s="8">
        <f>IFERROR(__xludf.DUMMYFUNCTION("""COMPUTED_VALUE"""),0.0)</f>
        <v>0</v>
      </c>
      <c r="E321" s="5" t="str">
        <f>IFERROR(__xludf.DUMMYFUNCTION("""COMPUTED_VALUE"""),"스카치 위스키 45ml, 스윗 베르뭇 15ml, 코앵트로 15ml, 라임즙 15ml")</f>
        <v>스카치 위스키 45ml, 스윗 베르뭇 15ml, 코앵트로 15ml, 라임즙 15ml</v>
      </c>
      <c r="F321" s="5"/>
    </row>
    <row r="322">
      <c r="A322" s="5" t="str">
        <f>IFERROR(__xludf.DUMMYFUNCTION("""COMPUTED_VALUE"""),"천사의 눈물")</f>
        <v>천사의 눈물</v>
      </c>
      <c r="B322" s="5" t="str">
        <f>IFERROR(__xludf.DUMMYFUNCTION("""COMPUTED_VALUE"""),"피치트리")</f>
        <v>피치트리</v>
      </c>
      <c r="C322" s="5" t="str">
        <f>IFERROR(__xludf.DUMMYFUNCTION("""COMPUTED_VALUE"""),"쉐이킹")</f>
        <v>쉐이킹</v>
      </c>
      <c r="D322" s="8">
        <f>IFERROR(__xludf.DUMMYFUNCTION("""COMPUTED_VALUE"""),0.0)</f>
        <v>0</v>
      </c>
      <c r="E322" s="5" t="str">
        <f>IFERROR(__xludf.DUMMYFUNCTION("""COMPUTED_VALUE"""),"피치트리 30ml, 사워믹스 90ml, 화이트 럼 15ml, 그레나딘 시럽 15ml(쉐이킹 전 or 후)")</f>
        <v>피치트리 30ml, 사워믹스 90ml, 화이트 럼 15ml, 그레나딘 시럽 15ml(쉐이킹 전 or 후)</v>
      </c>
      <c r="F322" s="5"/>
    </row>
    <row r="323">
      <c r="A323" s="5" t="str">
        <f>IFERROR(__xludf.DUMMYFUNCTION("""COMPUTED_VALUE"""),"천진난만한 소녀")</f>
        <v>천진난만한 소녀</v>
      </c>
      <c r="B323" s="5" t="str">
        <f>IFERROR(__xludf.DUMMYFUNCTION("""COMPUTED_VALUE"""),"꼬냑 or 브랜디")</f>
        <v>꼬냑 or 브랜디</v>
      </c>
      <c r="C323" s="5" t="str">
        <f>IFERROR(__xludf.DUMMYFUNCTION("""COMPUTED_VALUE"""),"스터")</f>
        <v>스터</v>
      </c>
      <c r="D323" s="8">
        <f>IFERROR(__xludf.DUMMYFUNCTION("""COMPUTED_VALUE"""),0.0)</f>
        <v>0</v>
      </c>
      <c r="E323" s="5" t="str">
        <f>IFERROR(__xludf.DUMMYFUNCTION("""COMPUTED_VALUE"""),"꼬냑 or 브랜디 60ml, 스윗 베르뭇 30ml, 계피시럽 1티스푼")</f>
        <v>꼬냑 or 브랜디 60ml, 스윗 베르뭇 30ml, 계피시럽 1티스푼</v>
      </c>
      <c r="F323" s="5"/>
    </row>
    <row r="324">
      <c r="A324" s="5" t="str">
        <f>IFERROR(__xludf.DUMMYFUNCTION("""COMPUTED_VALUE"""),"첫사랑")</f>
        <v>첫사랑</v>
      </c>
      <c r="B324" s="5" t="str">
        <f>IFERROR(__xludf.DUMMYFUNCTION("""COMPUTED_VALUE"""),"진")</f>
        <v>진</v>
      </c>
      <c r="C324" s="5" t="str">
        <f>IFERROR(__xludf.DUMMYFUNCTION("""COMPUTED_VALUE"""),"쉐이킹")</f>
        <v>쉐이킹</v>
      </c>
      <c r="D324" s="8">
        <f>IFERROR(__xludf.DUMMYFUNCTION("""COMPUTED_VALUE"""),0.0)</f>
        <v>0</v>
      </c>
      <c r="E324" s="5" t="str">
        <f>IFERROR(__xludf.DUMMYFUNCTION("""COMPUTED_VALUE"""),"커피 리밍, 진 22ml, 깔루아 22ml, 아마레또 1티스푼, 우유 22ml")</f>
        <v>커피 리밍, 진 22ml, 깔루아 22ml, 아마레또 1티스푼, 우유 22ml</v>
      </c>
      <c r="F324" s="5"/>
    </row>
    <row r="325">
      <c r="A325" s="5" t="str">
        <f>IFERROR(__xludf.DUMMYFUNCTION("""COMPUTED_VALUE"""),"체리 럼 콕")</f>
        <v>체리 럼 콕</v>
      </c>
      <c r="B325" s="5" t="str">
        <f>IFERROR(__xludf.DUMMYFUNCTION("""COMPUTED_VALUE"""),"럼")</f>
        <v>럼</v>
      </c>
      <c r="C325" s="5" t="str">
        <f>IFERROR(__xludf.DUMMYFUNCTION("""COMPUTED_VALUE"""),"빌드")</f>
        <v>빌드</v>
      </c>
      <c r="D325" s="8">
        <f>IFERROR(__xludf.DUMMYFUNCTION("""COMPUTED_VALUE"""),0.0)</f>
        <v>0</v>
      </c>
      <c r="E325" s="5" t="str">
        <f>IFERROR(__xludf.DUMMYFUNCTION("""COMPUTED_VALUE"""),"럼 30ml, 체리 브랜디 15ml, 콜라 필업")</f>
        <v>럼 30ml, 체리 브랜디 15ml, 콜라 필업</v>
      </c>
      <c r="F325" s="5"/>
    </row>
    <row r="326">
      <c r="A326" s="5" t="str">
        <f>IFERROR(__xludf.DUMMYFUNCTION("""COMPUTED_VALUE"""),"체리 럼 피즈")</f>
        <v>체리 럼 피즈</v>
      </c>
      <c r="B326" s="5" t="str">
        <f>IFERROR(__xludf.DUMMYFUNCTION("""COMPUTED_VALUE"""),"럼")</f>
        <v>럼</v>
      </c>
      <c r="C326" s="5" t="str">
        <f>IFERROR(__xludf.DUMMYFUNCTION("""COMPUTED_VALUE"""),"쉐이킹")</f>
        <v>쉐이킹</v>
      </c>
      <c r="D326" s="8">
        <f>IFERROR(__xludf.DUMMYFUNCTION("""COMPUTED_VALUE"""),0.0)</f>
        <v>0</v>
      </c>
      <c r="E326" s="5" t="str">
        <f>IFERROR(__xludf.DUMMYFUNCTION("""COMPUTED_VALUE"""),"럼 30ml, 체리 브랜디 15ml, 그레나딘 시럽 1티스푼, 카시스 10ml, 레몬즙 2티스푼, 크렌베리 주스 30ml, 쉐이킹 후 탄산수 20ml")</f>
        <v>럼 30ml, 체리 브랜디 15ml, 그레나딘 시럽 1티스푼, 카시스 10ml, 레몬즙 2티스푼, 크렌베리 주스 30ml, 쉐이킹 후 탄산수 20ml</v>
      </c>
      <c r="F326" s="5"/>
    </row>
    <row r="327">
      <c r="A327" s="5" t="str">
        <f>IFERROR(__xludf.DUMMYFUNCTION("""COMPUTED_VALUE"""),"체리 블라썸")</f>
        <v>체리 블라썸</v>
      </c>
      <c r="B327" s="5" t="str">
        <f>IFERROR(__xludf.DUMMYFUNCTION("""COMPUTED_VALUE"""),"브랜디")</f>
        <v>브랜디</v>
      </c>
      <c r="C327" s="5" t="str">
        <f>IFERROR(__xludf.DUMMYFUNCTION("""COMPUTED_VALUE"""),"쉐이킹")</f>
        <v>쉐이킹</v>
      </c>
      <c r="D327" s="8">
        <f>IFERROR(__xludf.DUMMYFUNCTION("""COMPUTED_VALUE"""),0.0)</f>
        <v>0</v>
      </c>
      <c r="E327" s="5" t="str">
        <f>IFERROR(__xludf.DUMMYFUNCTION("""COMPUTED_VALUE"""),"브랜디 or 꼬냑 30ml, 체리 브랜디 30ml, 트리플 섹 15ml, 레몬즙 15ml")</f>
        <v>브랜디 or 꼬냑 30ml, 체리 브랜디 30ml, 트리플 섹 15ml, 레몬즙 15ml</v>
      </c>
      <c r="F327" s="5"/>
    </row>
    <row r="328">
      <c r="A328" s="5" t="str">
        <f>IFERROR(__xludf.DUMMYFUNCTION("""COMPUTED_VALUE"""),"치치")</f>
        <v>치치</v>
      </c>
      <c r="B328" s="5" t="str">
        <f>IFERROR(__xludf.DUMMYFUNCTION("""COMPUTED_VALUE"""),"보드카")</f>
        <v>보드카</v>
      </c>
      <c r="C328" s="5" t="str">
        <f>IFERROR(__xludf.DUMMYFUNCTION("""COMPUTED_VALUE"""),"쉐이킹 or 블렌딩")</f>
        <v>쉐이킹 or 블렌딩</v>
      </c>
      <c r="D328" s="8">
        <f>IFERROR(__xludf.DUMMYFUNCTION("""COMPUTED_VALUE"""),0.0)</f>
        <v>0</v>
      </c>
      <c r="E328" s="5" t="str">
        <f>IFERROR(__xludf.DUMMYFUNCTION("""COMPUTED_VALUE"""),"보드카 30ml, 말리부 45ml, 파인애플 주스 80ml, 파인애플 웻지, 체리 조각")</f>
        <v>보드카 30ml, 말리부 45ml, 파인애플 주스 80ml, 파인애플 웻지, 체리 조각</v>
      </c>
      <c r="F328" s="5"/>
    </row>
    <row r="329">
      <c r="A329" s="5" t="str">
        <f>IFERROR(__xludf.DUMMYFUNCTION("""COMPUTED_VALUE"""),"카나발")</f>
        <v>카나발</v>
      </c>
      <c r="B329" s="5" t="str">
        <f>IFERROR(__xludf.DUMMYFUNCTION("""COMPUTED_VALUE"""),"럼")</f>
        <v>럼</v>
      </c>
      <c r="C329" s="5" t="str">
        <f>IFERROR(__xludf.DUMMYFUNCTION("""COMPUTED_VALUE"""),"블렌딩")</f>
        <v>블렌딩</v>
      </c>
      <c r="D329" s="8">
        <f>IFERROR(__xludf.DUMMYFUNCTION("""COMPUTED_VALUE"""),0.0)</f>
        <v>0</v>
      </c>
      <c r="E329" s="5" t="str">
        <f>IFERROR(__xludf.DUMMYFUNCTION("""COMPUTED_VALUE"""),"파인애플 100g, 딸기 2개, 오르쟈 시럽 15ml, 라임즙 20ml, 카샤사 럼 45~50ml, 크러쉬드 아이스 2스쿱")</f>
        <v>파인애플 100g, 딸기 2개, 오르쟈 시럽 15ml, 라임즙 20ml, 카샤사 럼 45~50ml, 크러쉬드 아이스 2스쿱</v>
      </c>
      <c r="F329" s="5"/>
    </row>
    <row r="330">
      <c r="A330" s="5" t="str">
        <f>IFERROR(__xludf.DUMMYFUNCTION("""COMPUTED_VALUE"""),"카리 오카")</f>
        <v>카리 오카</v>
      </c>
      <c r="B330" s="5" t="str">
        <f>IFERROR(__xludf.DUMMYFUNCTION("""COMPUTED_VALUE"""),"럼")</f>
        <v>럼</v>
      </c>
      <c r="C330" s="5" t="str">
        <f>IFERROR(__xludf.DUMMYFUNCTION("""COMPUTED_VALUE"""),"쉐이킹")</f>
        <v>쉐이킹</v>
      </c>
      <c r="D330" s="8">
        <f>IFERROR(__xludf.DUMMYFUNCTION("""COMPUTED_VALUE"""),0.0)</f>
        <v>0</v>
      </c>
      <c r="E330" s="5" t="str">
        <f>IFERROR(__xludf.DUMMYFUNCTION("""COMPUTED_VALUE"""),"숙성 럼주 45ml, 커피 리큐르 15ml, 크림 15ml, 달걀 노른자 1개, 드라이 쉐이킹 후 쉐이킹")</f>
        <v>숙성 럼주 45ml, 커피 리큐르 15ml, 크림 15ml, 달걀 노른자 1개, 드라이 쉐이킹 후 쉐이킹</v>
      </c>
      <c r="F330" s="5"/>
    </row>
    <row r="331">
      <c r="A331" s="5" t="str">
        <f>IFERROR(__xludf.DUMMYFUNCTION("""COMPUTED_VALUE"""),"카리 오카 하와이안")</f>
        <v>카리 오카 하와이안</v>
      </c>
      <c r="B331" s="5" t="str">
        <f>IFERROR(__xludf.DUMMYFUNCTION("""COMPUTED_VALUE"""),"럼")</f>
        <v>럼</v>
      </c>
      <c r="C331" s="5" t="str">
        <f>IFERROR(__xludf.DUMMYFUNCTION("""COMPUTED_VALUE"""),"쉐이킹")</f>
        <v>쉐이킹</v>
      </c>
      <c r="D331" s="8">
        <f>IFERROR(__xludf.DUMMYFUNCTION("""COMPUTED_VALUE"""),0.0)</f>
        <v>0</v>
      </c>
      <c r="E331" s="5" t="str">
        <f>IFERROR(__xludf.DUMMYFUNCTION("""COMPUTED_VALUE"""),"화이트 or 파인애플 럼 45ml, 파인애플 주스 30ml, 라임즙 15ml, 심플시럽 1티스푼, 앙고스투라 비터 1대쉬")</f>
        <v>화이트 or 파인애플 럼 45ml, 파인애플 주스 30ml, 라임즙 15ml, 심플시럽 1티스푼, 앙고스투라 비터 1대쉬</v>
      </c>
      <c r="F331" s="5"/>
    </row>
    <row r="332">
      <c r="A332" s="5" t="str">
        <f>IFERROR(__xludf.DUMMYFUNCTION("""COMPUTED_VALUE"""),"카리부 루")</f>
        <v>카리부 루</v>
      </c>
      <c r="B332" s="5" t="str">
        <f>IFERROR(__xludf.DUMMYFUNCTION("""COMPUTED_VALUE"""),"오버프루프 럼")</f>
        <v>오버프루프 럼</v>
      </c>
      <c r="C332" s="5" t="str">
        <f>IFERROR(__xludf.DUMMYFUNCTION("""COMPUTED_VALUE"""),"쉐이킹")</f>
        <v>쉐이킹</v>
      </c>
      <c r="D332" s="8">
        <f>IFERROR(__xludf.DUMMYFUNCTION("""COMPUTED_VALUE"""),0.0)</f>
        <v>0</v>
      </c>
      <c r="E332" s="5" t="str">
        <f>IFERROR(__xludf.DUMMYFUNCTION("""COMPUTED_VALUE"""),"151 45ml, 말리부 30ml, 파인애플 주스 120ml")</f>
        <v>151 45ml, 말리부 30ml, 파인애플 주스 120ml</v>
      </c>
      <c r="F332" s="5"/>
    </row>
    <row r="333">
      <c r="A333" s="5" t="str">
        <f>IFERROR(__xludf.DUMMYFUNCTION("""COMPUTED_VALUE"""),"카메론스 킥")</f>
        <v>카메론스 킥</v>
      </c>
      <c r="B333" s="5" t="str">
        <f>IFERROR(__xludf.DUMMYFUNCTION("""COMPUTED_VALUE"""),"위스키")</f>
        <v>위스키</v>
      </c>
      <c r="C333" s="5" t="str">
        <f>IFERROR(__xludf.DUMMYFUNCTION("""COMPUTED_VALUE"""),"쉐이킹")</f>
        <v>쉐이킹</v>
      </c>
      <c r="D333" s="8">
        <f>IFERROR(__xludf.DUMMYFUNCTION("""COMPUTED_VALUE"""),0.0)</f>
        <v>0</v>
      </c>
      <c r="E333" s="5" t="str">
        <f>IFERROR(__xludf.DUMMYFUNCTION("""COMPUTED_VALUE"""),"스카치 위스키 30ml, 아이리쉬 위스키 30ml, 레몬즙 22.5ml, 오르쟈 시럽 22.5ml, 레몬 트위스트")</f>
        <v>스카치 위스키 30ml, 아이리쉬 위스키 30ml, 레몬즙 22.5ml, 오르쟈 시럽 22.5ml, 레몬 트위스트</v>
      </c>
      <c r="F333" s="5"/>
    </row>
    <row r="334">
      <c r="A334" s="5" t="str">
        <f>IFERROR(__xludf.DUMMYFUNCTION("""COMPUTED_VALUE"""),"카미카제")</f>
        <v>카미카제</v>
      </c>
      <c r="B334" s="5" t="str">
        <f>IFERROR(__xludf.DUMMYFUNCTION("""COMPUTED_VALUE"""),"보드카")</f>
        <v>보드카</v>
      </c>
      <c r="C334" s="5" t="str">
        <f>IFERROR(__xludf.DUMMYFUNCTION("""COMPUTED_VALUE"""),"쉐이킹")</f>
        <v>쉐이킹</v>
      </c>
      <c r="D334" s="8">
        <f>IFERROR(__xludf.DUMMYFUNCTION("""COMPUTED_VALUE"""),0.0)</f>
        <v>0</v>
      </c>
      <c r="E334" s="5" t="str">
        <f>IFERROR(__xludf.DUMMYFUNCTION("""COMPUTED_VALUE"""),"보드카 30ml, 트리플섹 15ml, 라임즙 15ml, 레몬 웻지")</f>
        <v>보드카 30ml, 트리플섹 15ml, 라임즙 15ml, 레몬 웻지</v>
      </c>
      <c r="F334" s="5"/>
    </row>
    <row r="335">
      <c r="A335" s="5" t="str">
        <f>IFERROR(__xludf.DUMMYFUNCTION("""COMPUTED_VALUE"""),"카사 진저 민트 팔로마")</f>
        <v>카사 진저 민트 팔로마</v>
      </c>
      <c r="B335" s="5" t="str">
        <f>IFERROR(__xludf.DUMMYFUNCTION("""COMPUTED_VALUE"""),"데낄라")</f>
        <v>데낄라</v>
      </c>
      <c r="C335" s="5" t="str">
        <f>IFERROR(__xludf.DUMMYFUNCTION("""COMPUTED_VALUE"""),"쉐이킹")</f>
        <v>쉐이킹</v>
      </c>
      <c r="D335" s="8">
        <f>IFERROR(__xludf.DUMMYFUNCTION("""COMPUTED_VALUE"""),0.0)</f>
        <v>0</v>
      </c>
      <c r="E335" s="5" t="str">
        <f>IFERROR(__xludf.DUMMYFUNCTION("""COMPUTED_VALUE"""),"데낄라 60ml, 자몽주스 45ml, 라임즙 30ml, 시럽 15ml")</f>
        <v>데낄라 60ml, 자몽주스 45ml, 라임즙 30ml, 시럽 15ml</v>
      </c>
      <c r="F335" s="5"/>
    </row>
    <row r="336">
      <c r="A336" s="5" t="str">
        <f>IFERROR(__xludf.DUMMYFUNCTION("""COMPUTED_VALUE"""),"카시스 밀크")</f>
        <v>카시스 밀크</v>
      </c>
      <c r="B336" s="5" t="str">
        <f>IFERROR(__xludf.DUMMYFUNCTION("""COMPUTED_VALUE"""),"카시스")</f>
        <v>카시스</v>
      </c>
      <c r="C336" s="5" t="str">
        <f>IFERROR(__xludf.DUMMYFUNCTION("""COMPUTED_VALUE"""),"빌드")</f>
        <v>빌드</v>
      </c>
      <c r="D336" s="8">
        <f>IFERROR(__xludf.DUMMYFUNCTION("""COMPUTED_VALUE"""),0.0)</f>
        <v>0</v>
      </c>
      <c r="E336" s="5" t="str">
        <f>IFERROR(__xludf.DUMMYFUNCTION("""COMPUTED_VALUE"""),"카시스 1 : 우유 3")</f>
        <v>카시스 1 : 우유 3</v>
      </c>
      <c r="F336" s="5"/>
    </row>
    <row r="337">
      <c r="A337" s="5" t="str">
        <f>IFERROR(__xludf.DUMMYFUNCTION("""COMPUTED_VALUE"""),"카시스 소다")</f>
        <v>카시스 소다</v>
      </c>
      <c r="B337" s="5" t="str">
        <f>IFERROR(__xludf.DUMMYFUNCTION("""COMPUTED_VALUE"""),"카시스")</f>
        <v>카시스</v>
      </c>
      <c r="C337" s="5" t="str">
        <f>IFERROR(__xludf.DUMMYFUNCTION("""COMPUTED_VALUE"""),"빌드")</f>
        <v>빌드</v>
      </c>
      <c r="D337" s="8">
        <f>IFERROR(__xludf.DUMMYFUNCTION("""COMPUTED_VALUE"""),0.0)</f>
        <v>0</v>
      </c>
      <c r="E337" s="5" t="str">
        <f>IFERROR(__xludf.DUMMYFUNCTION("""COMPUTED_VALUE"""),"카시스 60ml, 레몬즙 10ml, 탄산수 필업")</f>
        <v>카시스 60ml, 레몬즙 10ml, 탄산수 필업</v>
      </c>
      <c r="F337" s="5"/>
    </row>
    <row r="338">
      <c r="A338" s="5" t="str">
        <f>IFERROR(__xludf.DUMMYFUNCTION("""COMPUTED_VALUE"""),"카시스 오렌지")</f>
        <v>카시스 오렌지</v>
      </c>
      <c r="B338" s="5" t="str">
        <f>IFERROR(__xludf.DUMMYFUNCTION("""COMPUTED_VALUE"""),"카시스")</f>
        <v>카시스</v>
      </c>
      <c r="C338" s="5" t="str">
        <f>IFERROR(__xludf.DUMMYFUNCTION("""COMPUTED_VALUE"""),"빌드")</f>
        <v>빌드</v>
      </c>
      <c r="D338" s="8">
        <f>IFERROR(__xludf.DUMMYFUNCTION("""COMPUTED_VALUE"""),0.0)</f>
        <v>0</v>
      </c>
      <c r="E338" s="5" t="str">
        <f>IFERROR(__xludf.DUMMYFUNCTION("""COMPUTED_VALUE"""),"카시스 60ml, 오렌지 주스 필업")</f>
        <v>카시스 60ml, 오렌지 주스 필업</v>
      </c>
      <c r="F338" s="5"/>
    </row>
    <row r="339">
      <c r="A339" s="5" t="str">
        <f>IFERROR(__xludf.DUMMYFUNCTION("""COMPUTED_VALUE"""),"카시스 프라페")</f>
        <v>카시스 프라페</v>
      </c>
      <c r="B339" s="5" t="str">
        <f>IFERROR(__xludf.DUMMYFUNCTION("""COMPUTED_VALUE"""),"카시스")</f>
        <v>카시스</v>
      </c>
      <c r="C339" s="5" t="str">
        <f>IFERROR(__xludf.DUMMYFUNCTION("""COMPUTED_VALUE"""),"쉐이킹")</f>
        <v>쉐이킹</v>
      </c>
      <c r="D339" s="8">
        <f>IFERROR(__xludf.DUMMYFUNCTION("""COMPUTED_VALUE"""),0.0)</f>
        <v>0</v>
      </c>
      <c r="E339" s="5" t="str">
        <f>IFERROR(__xludf.DUMMYFUNCTION("""COMPUTED_VALUE"""),"카시스 20~22ml, 피치트리 15ml, 말리부 15ml, 오렌지 주스 30ml, 사워믹스 30ml ")</f>
        <v>카시스 20~22ml, 피치트리 15ml, 말리부 15ml, 오렌지 주스 30ml, 사워믹스 30ml </v>
      </c>
      <c r="F339" s="5"/>
    </row>
    <row r="340">
      <c r="A340" s="5" t="str">
        <f>IFERROR(__xludf.DUMMYFUNCTION("""COMPUTED_VALUE"""),"카우보이")</f>
        <v>카우보이</v>
      </c>
      <c r="B340" s="5" t="str">
        <f>IFERROR(__xludf.DUMMYFUNCTION("""COMPUTED_VALUE"""),"위스키")</f>
        <v>위스키</v>
      </c>
      <c r="C340" s="5" t="str">
        <f>IFERROR(__xludf.DUMMYFUNCTION("""COMPUTED_VALUE"""),"빌드")</f>
        <v>빌드</v>
      </c>
      <c r="D340" s="8">
        <f>IFERROR(__xludf.DUMMYFUNCTION("""COMPUTED_VALUE"""),0.0)</f>
        <v>0</v>
      </c>
      <c r="E340" s="5" t="str">
        <f>IFERROR(__xludf.DUMMYFUNCTION("""COMPUTED_VALUE"""),"버번 위스키 30~45ml, 우유 취향껏")</f>
        <v>버번 위스키 30~45ml, 우유 취향껏</v>
      </c>
      <c r="F340" s="5"/>
    </row>
    <row r="341">
      <c r="A341" s="5" t="str">
        <f>IFERROR(__xludf.DUMMYFUNCTION("""COMPUTED_VALUE"""),"카이칸 피즈")</f>
        <v>카이칸 피즈</v>
      </c>
      <c r="B341" s="5" t="str">
        <f>IFERROR(__xludf.DUMMYFUNCTION("""COMPUTED_VALUE"""),"진")</f>
        <v>진</v>
      </c>
      <c r="C341" s="5" t="str">
        <f>IFERROR(__xludf.DUMMYFUNCTION("""COMPUTED_VALUE"""),"쉐이킹")</f>
        <v>쉐이킹</v>
      </c>
      <c r="D341" s="8">
        <f>IFERROR(__xludf.DUMMYFUNCTION("""COMPUTED_VALUE"""),0.0)</f>
        <v>0</v>
      </c>
      <c r="E341" s="5" t="str">
        <f>IFERROR(__xludf.DUMMYFUNCTION("""COMPUTED_VALUE"""),"진 45ml, 우유 30ml, 레몬즙 15ml, 시럽 1티스푼, 탄산수 필업(쉐이킹 후)")</f>
        <v>진 45ml, 우유 30ml, 레몬즙 15ml, 시럽 1티스푼, 탄산수 필업(쉐이킹 후)</v>
      </c>
      <c r="F341" s="5"/>
    </row>
    <row r="342">
      <c r="A342" s="5" t="str">
        <f>IFERROR(__xludf.DUMMYFUNCTION("""COMPUTED_VALUE"""),"카이피로스카")</f>
        <v>카이피로스카</v>
      </c>
      <c r="B342" s="5" t="str">
        <f>IFERROR(__xludf.DUMMYFUNCTION("""COMPUTED_VALUE"""),"보드카")</f>
        <v>보드카</v>
      </c>
      <c r="C342" s="5" t="str">
        <f>IFERROR(__xludf.DUMMYFUNCTION("""COMPUTED_VALUE"""),"쉐이킹")</f>
        <v>쉐이킹</v>
      </c>
      <c r="D342" s="8">
        <f>IFERROR(__xludf.DUMMYFUNCTION("""COMPUTED_VALUE"""),0.0)</f>
        <v>0</v>
      </c>
      <c r="E342" s="5" t="str">
        <f>IFERROR(__xludf.DUMMYFUNCTION("""COMPUTED_VALUE"""),"보드카 45ml, 다진 라임 1/6개, 설탕시럽 10ml, 탄산수 필업(쉐이킹 후)")</f>
        <v>보드카 45ml, 다진 라임 1/6개, 설탕시럽 10ml, 탄산수 필업(쉐이킹 후)</v>
      </c>
      <c r="F342" s="5"/>
    </row>
    <row r="343">
      <c r="A343" s="5" t="str">
        <f>IFERROR(__xludf.DUMMYFUNCTION("""COMPUTED_VALUE"""),"카카오 피즈")</f>
        <v>카카오 피즈</v>
      </c>
      <c r="B343" s="5" t="str">
        <f>IFERROR(__xludf.DUMMYFUNCTION("""COMPUTED_VALUE"""),"카카오 리큐르")</f>
        <v>카카오 리큐르</v>
      </c>
      <c r="C343" s="5" t="str">
        <f>IFERROR(__xludf.DUMMYFUNCTION("""COMPUTED_VALUE"""),"쉐이킹")</f>
        <v>쉐이킹</v>
      </c>
      <c r="D343" s="8">
        <f>IFERROR(__xludf.DUMMYFUNCTION("""COMPUTED_VALUE"""),0.0)</f>
        <v>0</v>
      </c>
      <c r="E343" s="5" t="str">
        <f>IFERROR(__xludf.DUMMYFUNCTION("""COMPUTED_VALUE"""),"카카오 리큐르 45ml, 라임즙 15ml, 설탕 1~2티스푼, 탄산수 필업(쉐이킹 후)")</f>
        <v>카카오 리큐르 45ml, 라임즙 15ml, 설탕 1~2티스푼, 탄산수 필업(쉐이킹 후)</v>
      </c>
      <c r="F343" s="5"/>
    </row>
    <row r="344">
      <c r="A344" s="5" t="str">
        <f>IFERROR(__xludf.DUMMYFUNCTION("""COMPUTED_VALUE"""),"카타르시스")</f>
        <v>카타르시스</v>
      </c>
      <c r="B344" s="5" t="str">
        <f>IFERROR(__xludf.DUMMYFUNCTION("""COMPUTED_VALUE"""),"오버프루프 럼")</f>
        <v>오버프루프 럼</v>
      </c>
      <c r="C344" s="5" t="str">
        <f>IFERROR(__xludf.DUMMYFUNCTION("""COMPUTED_VALUE"""),"빌드")</f>
        <v>빌드</v>
      </c>
      <c r="D344" s="8">
        <f>IFERROR(__xludf.DUMMYFUNCTION("""COMPUTED_VALUE"""),8.0)</f>
        <v>8</v>
      </c>
      <c r="E344" s="5" t="str">
        <f>IFERROR(__xludf.DUMMYFUNCTION("""COMPUTED_VALUE"""),"151 15ml, 깔루아 15ml, 아마레또 22.5ml")</f>
        <v>151 15ml, 깔루아 15ml, 아마레또 22.5ml</v>
      </c>
      <c r="F344" s="5"/>
    </row>
    <row r="345">
      <c r="A345" s="5" t="str">
        <f>IFERROR(__xludf.DUMMYFUNCTION("""COMPUTED_VALUE"""),"카페 로얄")</f>
        <v>카페 로얄</v>
      </c>
      <c r="B345" s="5"/>
      <c r="C345" s="5" t="str">
        <f>IFERROR(__xludf.DUMMYFUNCTION("""COMPUTED_VALUE"""),"빌드")</f>
        <v>빌드</v>
      </c>
      <c r="D345" s="8">
        <f>IFERROR(__xludf.DUMMYFUNCTION("""COMPUTED_VALUE"""),0.0)</f>
        <v>0</v>
      </c>
      <c r="E345" s="5" t="str">
        <f>IFERROR(__xludf.DUMMYFUNCTION("""COMPUTED_VALUE"""),"뜨거운 커피 1컵, 티스푼 위에 각설탕 1개, 각설탕 위에 브랜디를 소량 붓고 불붙이기(조명을 꺼주면 분위기 굳)")</f>
        <v>뜨거운 커피 1컵, 티스푼 위에 각설탕 1개, 각설탕 위에 브랜디를 소량 붓고 불붙이기(조명을 꺼주면 분위기 굳)</v>
      </c>
      <c r="F345" s="5"/>
    </row>
    <row r="346">
      <c r="A346" s="5" t="str">
        <f>IFERROR(__xludf.DUMMYFUNCTION("""COMPUTED_VALUE"""),"칸타리토")</f>
        <v>칸타리토</v>
      </c>
      <c r="B346" s="5" t="str">
        <f>IFERROR(__xludf.DUMMYFUNCTION("""COMPUTED_VALUE"""),"데낄라")</f>
        <v>데낄라</v>
      </c>
      <c r="C346" s="5" t="str">
        <f>IFERROR(__xludf.DUMMYFUNCTION("""COMPUTED_VALUE"""),"빌드")</f>
        <v>빌드</v>
      </c>
      <c r="D346" s="8">
        <f>IFERROR(__xludf.DUMMYFUNCTION("""COMPUTED_VALUE"""),0.0)</f>
        <v>0</v>
      </c>
      <c r="E346" s="5" t="str">
        <f>IFERROR(__xludf.DUMMYFUNCTION("""COMPUTED_VALUE"""),"블랑코 데낄라 45ml, 오렌지 주스 37.5ml, 자몽 주스 22.5ml, 라임즙 22.5ml, 자몽 소다 120ml, 소금 한꼬집")</f>
        <v>블랑코 데낄라 45ml, 오렌지 주스 37.5ml, 자몽 주스 22.5ml, 라임즙 22.5ml, 자몽 소다 120ml, 소금 한꼬집</v>
      </c>
      <c r="F346" s="5"/>
    </row>
    <row r="347">
      <c r="A347" s="5" t="str">
        <f>IFERROR(__xludf.DUMMYFUNCTION("""COMPUTED_VALUE"""),"칸타리토스")</f>
        <v>칸타리토스</v>
      </c>
      <c r="B347" s="5" t="str">
        <f>IFERROR(__xludf.DUMMYFUNCTION("""COMPUTED_VALUE"""),"데낄라")</f>
        <v>데낄라</v>
      </c>
      <c r="C347" s="5" t="str">
        <f>IFERROR(__xludf.DUMMYFUNCTION("""COMPUTED_VALUE"""),"빌드")</f>
        <v>빌드</v>
      </c>
      <c r="D347" s="8">
        <f>IFERROR(__xludf.DUMMYFUNCTION("""COMPUTED_VALUE"""),0.0)</f>
        <v>0</v>
      </c>
      <c r="E347" s="5" t="str">
        <f>IFERROR(__xludf.DUMMYFUNCTION("""COMPUTED_VALUE"""),"소금 리밍, 데낄라 45ml, 라임즙 15ml, 레몬즙 15ml, 오렌지 주스 15ml, 자몽소다 120ml, 오렌지 1조각")</f>
        <v>소금 리밍, 데낄라 45ml, 라임즙 15ml, 레몬즙 15ml, 오렌지 주스 15ml, 자몽소다 120ml, 오렌지 1조각</v>
      </c>
      <c r="F347" s="5"/>
    </row>
    <row r="348">
      <c r="A348" s="5" t="str">
        <f>IFERROR(__xludf.DUMMYFUNCTION("""COMPUTED_VALUE"""),"칼리모초")</f>
        <v>칼리모초</v>
      </c>
      <c r="B348" s="5"/>
      <c r="C348" s="5" t="str">
        <f>IFERROR(__xludf.DUMMYFUNCTION("""COMPUTED_VALUE"""),"빌드")</f>
        <v>빌드</v>
      </c>
      <c r="D348" s="8">
        <f>IFERROR(__xludf.DUMMYFUNCTION("""COMPUTED_VALUE"""),0.0)</f>
        <v>0</v>
      </c>
      <c r="E348" s="5" t="str">
        <f>IFERROR(__xludf.DUMMYFUNCTION("""COMPUTED_VALUE"""),"올드패션드 글라스, 레드 와인 30ml, 콜라 풀업, 가니쉬 레몬웻지")</f>
        <v>올드패션드 글라스, 레드 와인 30ml, 콜라 풀업, 가니쉬 레몬웻지</v>
      </c>
      <c r="F348" s="5"/>
    </row>
    <row r="349">
      <c r="A349" s="5" t="str">
        <f>IFERROR(__xludf.DUMMYFUNCTION("""COMPUTED_VALUE"""),"캔틴 마티니")</f>
        <v>캔틴 마티니</v>
      </c>
      <c r="B349" s="5" t="str">
        <f>IFERROR(__xludf.DUMMYFUNCTION("""COMPUTED_VALUE"""),"혼합")</f>
        <v>혼합</v>
      </c>
      <c r="C349" s="5" t="str">
        <f>IFERROR(__xludf.DUMMYFUNCTION("""COMPUTED_VALUE"""),"쉐이킹")</f>
        <v>쉐이킹</v>
      </c>
      <c r="D349" s="8">
        <f>IFERROR(__xludf.DUMMYFUNCTION("""COMPUTED_VALUE"""),0.0)</f>
        <v>0</v>
      </c>
      <c r="E349" s="5" t="str">
        <f>IFERROR(__xludf.DUMMYFUNCTION("""COMPUTED_VALUE"""),"화이트 럼 45ml, 셔던 컴포트 45ml, 아마레또 15ml, 라임즙 15ml")</f>
        <v>화이트 럼 45ml, 셔던 컴포트 45ml, 아마레또 15ml, 라임즙 15ml</v>
      </c>
      <c r="F349" s="5"/>
    </row>
    <row r="350">
      <c r="A350" s="5" t="str">
        <f>IFERROR(__xludf.DUMMYFUNCTION("""COMPUTED_VALUE"""),"캥거루")</f>
        <v>캥거루</v>
      </c>
      <c r="B350" s="5" t="str">
        <f>IFERROR(__xludf.DUMMYFUNCTION("""COMPUTED_VALUE"""),"보드카")</f>
        <v>보드카</v>
      </c>
      <c r="C350" s="5" t="str">
        <f>IFERROR(__xludf.DUMMYFUNCTION("""COMPUTED_VALUE"""),"스터")</f>
        <v>스터</v>
      </c>
      <c r="D350" s="8">
        <f>IFERROR(__xludf.DUMMYFUNCTION("""COMPUTED_VALUE"""),0.0)</f>
        <v>0</v>
      </c>
      <c r="E350" s="5" t="str">
        <f>IFERROR(__xludf.DUMMYFUNCTION("""COMPUTED_VALUE"""),"보드카 50ml, 드라이 베르뭇 22.5ml, 오렌지 비터 2대쉬, 레몬 트위스트")</f>
        <v>보드카 50ml, 드라이 베르뭇 22.5ml, 오렌지 비터 2대쉬, 레몬 트위스트</v>
      </c>
      <c r="F350" s="5"/>
    </row>
    <row r="351">
      <c r="A351" s="5" t="str">
        <f>IFERROR(__xludf.DUMMYFUNCTION("""COMPUTED_VALUE"""),"케이블카")</f>
        <v>케이블카</v>
      </c>
      <c r="B351" s="5" t="str">
        <f>IFERROR(__xludf.DUMMYFUNCTION("""COMPUTED_VALUE"""),"럼")</f>
        <v>럼</v>
      </c>
      <c r="C351" s="5" t="str">
        <f>IFERROR(__xludf.DUMMYFUNCTION("""COMPUTED_VALUE"""),"쉐이킹")</f>
        <v>쉐이킹</v>
      </c>
      <c r="D351" s="8">
        <f>IFERROR(__xludf.DUMMYFUNCTION("""COMPUTED_VALUE"""),0.0)</f>
        <v>0</v>
      </c>
      <c r="E351" s="5" t="str">
        <f>IFERROR(__xludf.DUMMYFUNCTION("""COMPUTED_VALUE"""),"설탕+계피가루 리밍, 시나몬 1대쉬, 스파이스드 럼 45ml, 오렌지 큐라소 22.5ml, 레몬즙 30ml, 심플시럽 15ml")</f>
        <v>설탕+계피가루 리밍, 시나몬 1대쉬, 스파이스드 럼 45ml, 오렌지 큐라소 22.5ml, 레몬즙 30ml, 심플시럽 15ml</v>
      </c>
      <c r="F351" s="5"/>
    </row>
    <row r="352">
      <c r="A352" s="5" t="str">
        <f>IFERROR(__xludf.DUMMYFUNCTION("""COMPUTED_VALUE"""),"케이프코더")</f>
        <v>케이프코더</v>
      </c>
      <c r="B352" s="5" t="str">
        <f>IFERROR(__xludf.DUMMYFUNCTION("""COMPUTED_VALUE"""),"보드카")</f>
        <v>보드카</v>
      </c>
      <c r="C352" s="5" t="str">
        <f>IFERROR(__xludf.DUMMYFUNCTION("""COMPUTED_VALUE"""),"빌드")</f>
        <v>빌드</v>
      </c>
      <c r="D352" s="8">
        <f>IFERROR(__xludf.DUMMYFUNCTION("""COMPUTED_VALUE"""),0.0)</f>
        <v>0</v>
      </c>
      <c r="E352" s="5" t="str">
        <f>IFERROR(__xludf.DUMMYFUNCTION("""COMPUTED_VALUE"""),"보드카 45ml, 크렌베리 주스 140ml, 라임 슬라이스")</f>
        <v>보드카 45ml, 크렌베리 주스 140ml, 라임 슬라이스</v>
      </c>
      <c r="F352" s="5"/>
    </row>
    <row r="353">
      <c r="A353" s="5" t="str">
        <f>IFERROR(__xludf.DUMMYFUNCTION("""COMPUTED_VALUE"""),"켄터키 벅")</f>
        <v>켄터키 벅</v>
      </c>
      <c r="B353" s="5" t="str">
        <f>IFERROR(__xludf.DUMMYFUNCTION("""COMPUTED_VALUE"""),"버번")</f>
        <v>버번</v>
      </c>
      <c r="C353" s="5" t="str">
        <f>IFERROR(__xludf.DUMMYFUNCTION("""COMPUTED_VALUE"""),"쉐이킹")</f>
        <v>쉐이킹</v>
      </c>
      <c r="D353" s="8">
        <f>IFERROR(__xludf.DUMMYFUNCTION("""COMPUTED_VALUE"""),0.0)</f>
        <v>0</v>
      </c>
      <c r="E353" s="5" t="str">
        <f>IFERROR(__xludf.DUMMYFUNCTION("""COMPUTED_VALUE"""),"버번 위스키 60ml, 레몬즙 22.5ml, 심플시럽 or 생강시럽 22.5ml, 비터 2대쉬, 쉐이킹 후 탄산수 or 진저에일 필업, 가니쉬 레몬웻지, 딸기 1조각")</f>
        <v>버번 위스키 60ml, 레몬즙 22.5ml, 심플시럽 or 생강시럽 22.5ml, 비터 2대쉬, 쉐이킹 후 탄산수 or 진저에일 필업, 가니쉬 레몬웻지, 딸기 1조각</v>
      </c>
      <c r="F353" s="5"/>
    </row>
    <row r="354">
      <c r="A354" s="5" t="str">
        <f>IFERROR(__xludf.DUMMYFUNCTION("""COMPUTED_VALUE"""),"코스모 폴리탄")</f>
        <v>코스모 폴리탄</v>
      </c>
      <c r="B354" s="5" t="str">
        <f>IFERROR(__xludf.DUMMYFUNCTION("""COMPUTED_VALUE"""),"보드카")</f>
        <v>보드카</v>
      </c>
      <c r="C354" s="5" t="str">
        <f>IFERROR(__xludf.DUMMYFUNCTION("""COMPUTED_VALUE"""),"쉐이킹")</f>
        <v>쉐이킹</v>
      </c>
      <c r="D354" s="8">
        <f>IFERROR(__xludf.DUMMYFUNCTION("""COMPUTED_VALUE"""),7.0)</f>
        <v>7</v>
      </c>
      <c r="E354" s="5" t="str">
        <f>IFERROR(__xludf.DUMMYFUNCTION("""COMPUTED_VALUE"""),"보드카 40ml, 크렌베리 주스 20ml, 라임즙 5ml, 트리플섹 5ml")</f>
        <v>보드카 40ml, 크렌베리 주스 20ml, 라임즙 5ml, 트리플섹 5ml</v>
      </c>
      <c r="F354" s="5" t="str">
        <f>IFERROR(__xludf.DUMMYFUNCTION("""COMPUTED_VALUE"""),"달콤함 성희픽")</f>
        <v>달콤함 성희픽</v>
      </c>
    </row>
    <row r="355">
      <c r="A355" s="5" t="str">
        <f>IFERROR(__xludf.DUMMYFUNCTION("""COMPUTED_VALUE"""),"코스모 폴리탄2")</f>
        <v>코스모 폴리탄2</v>
      </c>
      <c r="B355" s="5" t="str">
        <f>IFERROR(__xludf.DUMMYFUNCTION("""COMPUTED_VALUE"""),"보드카")</f>
        <v>보드카</v>
      </c>
      <c r="C355" s="5" t="str">
        <f>IFERROR(__xludf.DUMMYFUNCTION("""COMPUTED_VALUE"""),"쉐이킹")</f>
        <v>쉐이킹</v>
      </c>
      <c r="D355" s="8">
        <f>IFERROR(__xludf.DUMMYFUNCTION("""COMPUTED_VALUE"""),0.0)</f>
        <v>0</v>
      </c>
      <c r="E355" s="5" t="str">
        <f>IFERROR(__xludf.DUMMYFUNCTION("""COMPUTED_VALUE"""),"보드카 30ml, 코앵트로 15ml, 라임즙 15ml, 크렌베리 주스 15ml")</f>
        <v>보드카 30ml, 코앵트로 15ml, 라임즙 15ml, 크렌베리 주스 15ml</v>
      </c>
      <c r="F355" s="5"/>
    </row>
    <row r="356">
      <c r="A356" s="5" t="str">
        <f>IFERROR(__xludf.DUMMYFUNCTION("""COMPUTED_VALUE"""),"코코 로코")</f>
        <v>코코 로코</v>
      </c>
      <c r="B356" s="5" t="str">
        <f>IFERROR(__xludf.DUMMYFUNCTION("""COMPUTED_VALUE"""),"혼합")</f>
        <v>혼합</v>
      </c>
      <c r="C356" s="5" t="str">
        <f>IFERROR(__xludf.DUMMYFUNCTION("""COMPUTED_VALUE"""),"쉐이킹")</f>
        <v>쉐이킹</v>
      </c>
      <c r="D356" s="8">
        <f>IFERROR(__xludf.DUMMYFUNCTION("""COMPUTED_VALUE"""),0.0)</f>
        <v>0</v>
      </c>
      <c r="E356" s="5" t="str">
        <f>IFERROR(__xludf.DUMMYFUNCTION("""COMPUTED_VALUE"""),"럼 30ml, 보드카 30ml, 데낄라 30ml, 코코넛 워터 120ml, 코코넛 크림 240ml, 라임즙 45ml")</f>
        <v>럼 30ml, 보드카 30ml, 데낄라 30ml, 코코넛 워터 120ml, 코코넛 크림 240ml, 라임즙 45ml</v>
      </c>
      <c r="F356" s="5"/>
    </row>
    <row r="357">
      <c r="A357" s="5" t="str">
        <f>IFERROR(__xludf.DUMMYFUNCTION("""COMPUTED_VALUE"""),"코코넛 다이키리")</f>
        <v>코코넛 다이키리</v>
      </c>
      <c r="B357" s="5" t="str">
        <f>IFERROR(__xludf.DUMMYFUNCTION("""COMPUTED_VALUE"""),"럼")</f>
        <v>럼</v>
      </c>
      <c r="C357" s="5" t="str">
        <f>IFERROR(__xludf.DUMMYFUNCTION("""COMPUTED_VALUE"""),"블렌딩")</f>
        <v>블렌딩</v>
      </c>
      <c r="D357" s="8">
        <f>IFERROR(__xludf.DUMMYFUNCTION("""COMPUTED_VALUE"""),0.0)</f>
        <v>0</v>
      </c>
      <c r="E357" s="5" t="str">
        <f>IFERROR(__xludf.DUMMYFUNCTION("""COMPUTED_VALUE"""),"화이트 럼 60ml, 라임즙 30ml, 코코넛 밀크 30ml, 얼음 1/2스쿱")</f>
        <v>화이트 럼 60ml, 라임즙 30ml, 코코넛 밀크 30ml, 얼음 1/2스쿱</v>
      </c>
      <c r="F357" s="5"/>
    </row>
    <row r="358">
      <c r="A358" s="5" t="str">
        <f>IFERROR(__xludf.DUMMYFUNCTION("""COMPUTED_VALUE"""),"콜로라도 불독")</f>
        <v>콜로라도 불독</v>
      </c>
      <c r="B358" s="5" t="str">
        <f>IFERROR(__xludf.DUMMYFUNCTION("""COMPUTED_VALUE"""),"보드카")</f>
        <v>보드카</v>
      </c>
      <c r="C358" s="5" t="str">
        <f>IFERROR(__xludf.DUMMYFUNCTION("""COMPUTED_VALUE"""),"빌드 or 쉐이킹")</f>
        <v>빌드 or 쉐이킹</v>
      </c>
      <c r="D358" s="8">
        <f>IFERROR(__xludf.DUMMYFUNCTION("""COMPUTED_VALUE"""),0.0)</f>
        <v>0</v>
      </c>
      <c r="E358" s="5" t="str">
        <f>IFERROR(__xludf.DUMMYFUNCTION("""COMPUTED_VALUE"""),"보드카 30ml, 커피 리큐르 30ml, 콜라 필업, 휘핑크림 30ml, 가니쉬 체리")</f>
        <v>보드카 30ml, 커피 리큐르 30ml, 콜라 필업, 휘핑크림 30ml, 가니쉬 체리</v>
      </c>
      <c r="F358" s="5"/>
    </row>
    <row r="359">
      <c r="A359" s="5" t="str">
        <f>IFERROR(__xludf.DUMMYFUNCTION("""COMPUTED_VALUE"""),"쿠바 리브레")</f>
        <v>쿠바 리브레</v>
      </c>
      <c r="B359" s="5" t="str">
        <f>IFERROR(__xludf.DUMMYFUNCTION("""COMPUTED_VALUE"""),"럼")</f>
        <v>럼</v>
      </c>
      <c r="C359" s="5" t="str">
        <f>IFERROR(__xludf.DUMMYFUNCTION("""COMPUTED_VALUE"""),"빌드")</f>
        <v>빌드</v>
      </c>
      <c r="D359" s="8">
        <f>IFERROR(__xludf.DUMMYFUNCTION("""COMPUTED_VALUE"""),7.0)</f>
        <v>7</v>
      </c>
      <c r="E359" s="5" t="str">
        <f>IFERROR(__xludf.DUMMYFUNCTION("""COMPUTED_VALUE"""),"화이트 럼 45ml, 라임즙 10ml, 코카콜라 풀업")</f>
        <v>화이트 럼 45ml, 라임즙 10ml, 코카콜라 풀업</v>
      </c>
      <c r="F359" s="5" t="str">
        <f>IFERROR(__xludf.DUMMYFUNCTION("""COMPUTED_VALUE"""),"엠티 가성비 최고")</f>
        <v>엠티 가성비 최고</v>
      </c>
    </row>
    <row r="360">
      <c r="A360" s="5" t="str">
        <f>IFERROR(__xludf.DUMMYFUNCTION("""COMPUTED_VALUE"""),"퀸즈")</f>
        <v>퀸즈</v>
      </c>
      <c r="B360" s="5" t="str">
        <f>IFERROR(__xludf.DUMMYFUNCTION("""COMPUTED_VALUE"""),"진")</f>
        <v>진</v>
      </c>
      <c r="C360" s="5" t="str">
        <f>IFERROR(__xludf.DUMMYFUNCTION("""COMPUTED_VALUE"""),"쉐이킹")</f>
        <v>쉐이킹</v>
      </c>
      <c r="D360" s="8">
        <f>IFERROR(__xludf.DUMMYFUNCTION("""COMPUTED_VALUE"""),0.0)</f>
        <v>0</v>
      </c>
      <c r="E360" s="5" t="str">
        <f>IFERROR(__xludf.DUMMYFUNCTION("""COMPUTED_VALUE"""),"진 30ml, 드라이 베르뭇 15ml, 스윗 베르뭇 15ml, 파인애플 주스 15ml, 레몬 웻지")</f>
        <v>진 30ml, 드라이 베르뭇 15ml, 스윗 베르뭇 15ml, 파인애플 주스 15ml, 레몬 웻지</v>
      </c>
      <c r="F360" s="5"/>
    </row>
    <row r="361">
      <c r="A361" s="5" t="str">
        <f>IFERROR(__xludf.DUMMYFUNCTION("""COMPUTED_VALUE"""),"크레인 킥")</f>
        <v>크레인 킥</v>
      </c>
      <c r="B361" s="5" t="str">
        <f>IFERROR(__xludf.DUMMYFUNCTION("""COMPUTED_VALUE"""),"위스키")</f>
        <v>위스키</v>
      </c>
      <c r="C361" s="5" t="str">
        <f>IFERROR(__xludf.DUMMYFUNCTION("""COMPUTED_VALUE"""),"쉐이킹")</f>
        <v>쉐이킹</v>
      </c>
      <c r="D361" s="8">
        <f>IFERROR(__xludf.DUMMYFUNCTION("""COMPUTED_VALUE"""),0.0)</f>
        <v>0</v>
      </c>
      <c r="E361" s="5" t="str">
        <f>IFERROR(__xludf.DUMMYFUNCTION("""COMPUTED_VALUE"""),"일본 위스키 60ml, 말리부 2티스푼, 스카치 위스키 1티스푼, 오렌지 주스 30ml, 레몬즙 15ml, 오르쟈 시럽 15ml, 앙고스투라 비터 1대쉬")</f>
        <v>일본 위스키 60ml, 말리부 2티스푼, 스카치 위스키 1티스푼, 오렌지 주스 30ml, 레몬즙 15ml, 오르쟈 시럽 15ml, 앙고스투라 비터 1대쉬</v>
      </c>
      <c r="F361" s="5"/>
    </row>
    <row r="362">
      <c r="A362" s="5" t="str">
        <f>IFERROR(__xludf.DUMMYFUNCTION("""COMPUTED_VALUE"""),"크렌베리 네그로니")</f>
        <v>크렌베리 네그로니</v>
      </c>
      <c r="B362" s="5" t="str">
        <f>IFERROR(__xludf.DUMMYFUNCTION("""COMPUTED_VALUE"""),"혼합")</f>
        <v>혼합</v>
      </c>
      <c r="C362" s="5" t="str">
        <f>IFERROR(__xludf.DUMMYFUNCTION("""COMPUTED_VALUE"""),"쉐이킹")</f>
        <v>쉐이킹</v>
      </c>
      <c r="D362" s="8">
        <f>IFERROR(__xludf.DUMMYFUNCTION("""COMPUTED_VALUE"""),0.0)</f>
        <v>0</v>
      </c>
      <c r="E362" s="5" t="str">
        <f>IFERROR(__xludf.DUMMYFUNCTION("""COMPUTED_VALUE"""),"진 30ml, 드라이 베르뭇 30ml, 캄파리 30ml, 크렌베리 주스 30ml, 가니쉬로 레몬껍질")</f>
        <v>진 30ml, 드라이 베르뭇 30ml, 캄파리 30ml, 크렌베리 주스 30ml, 가니쉬로 레몬껍질</v>
      </c>
      <c r="F362" s="5"/>
    </row>
    <row r="363">
      <c r="A363" s="5" t="str">
        <f>IFERROR(__xludf.DUMMYFUNCTION("""COMPUTED_VALUE"""),"크림 케이크")</f>
        <v>크림 케이크</v>
      </c>
      <c r="B363" s="5" t="str">
        <f>IFERROR(__xludf.DUMMYFUNCTION("""COMPUTED_VALUE"""),"리큐르")</f>
        <v>리큐르</v>
      </c>
      <c r="C363" s="5" t="str">
        <f>IFERROR(__xludf.DUMMYFUNCTION("""COMPUTED_VALUE"""),"쉐이킹")</f>
        <v>쉐이킹</v>
      </c>
      <c r="D363" s="8">
        <f>IFERROR(__xludf.DUMMYFUNCTION("""COMPUTED_VALUE"""),0.0)</f>
        <v>0</v>
      </c>
      <c r="E363" s="5" t="str">
        <f>IFERROR(__xludf.DUMMYFUNCTION("""COMPUTED_VALUE"""),"베일리스 30ml, 아마레또 30ml, 피치 리큐르 30ml, 싱글 크림 30ml")</f>
        <v>베일리스 30ml, 아마레또 30ml, 피치 리큐르 30ml, 싱글 크림 30ml</v>
      </c>
      <c r="F363" s="5"/>
    </row>
    <row r="364">
      <c r="A364" s="5" t="str">
        <f>IFERROR(__xludf.DUMMYFUNCTION("""COMPUTED_VALUE"""),"크림슨 크레인")</f>
        <v>크림슨 크레인</v>
      </c>
      <c r="B364" s="5" t="str">
        <f>IFERROR(__xludf.DUMMYFUNCTION("""COMPUTED_VALUE"""),"위스키")</f>
        <v>위스키</v>
      </c>
      <c r="C364" s="5" t="str">
        <f>IFERROR(__xludf.DUMMYFUNCTION("""COMPUTED_VALUE"""),"스터")</f>
        <v>스터</v>
      </c>
      <c r="D364" s="8">
        <f>IFERROR(__xludf.DUMMYFUNCTION("""COMPUTED_VALUE"""),0.0)</f>
        <v>0</v>
      </c>
      <c r="E364" s="5" t="str">
        <f>IFERROR(__xludf.DUMMYFUNCTION("""COMPUTED_VALUE"""),"버번 or 라이 or 블렌디드 위스키 50ml, 크렘 드 카카오 15ml, 크렌베리 주스 22.5ml, 앙고스투라 비터 1대쉬, 오렌지 비터 1대쉬")</f>
        <v>버번 or 라이 or 블렌디드 위스키 50ml, 크렘 드 카카오 15ml, 크렌베리 주스 22.5ml, 앙고스투라 비터 1대쉬, 오렌지 비터 1대쉬</v>
      </c>
      <c r="F364" s="5"/>
    </row>
    <row r="365">
      <c r="A365" s="5" t="str">
        <f>IFERROR(__xludf.DUMMYFUNCTION("""COMPUTED_VALUE"""),"클래식")</f>
        <v>클래식</v>
      </c>
      <c r="B365" s="5" t="str">
        <f>IFERROR(__xludf.DUMMYFUNCTION("""COMPUTED_VALUE"""),"브랜디 or 꼬냑")</f>
        <v>브랜디 or 꼬냑</v>
      </c>
      <c r="C365" s="5" t="str">
        <f>IFERROR(__xludf.DUMMYFUNCTION("""COMPUTED_VALUE"""),"쉐이킹")</f>
        <v>쉐이킹</v>
      </c>
      <c r="D365" s="8">
        <f>IFERROR(__xludf.DUMMYFUNCTION("""COMPUTED_VALUE"""),0.0)</f>
        <v>0</v>
      </c>
      <c r="E365" s="5" t="str">
        <f>IFERROR(__xludf.DUMMYFUNCTION("""COMPUTED_VALUE"""),"설탕 리밍(선택), 브랜디 or 꼬냑 45ml, 오렌지 큐라소 15ml, 마라스키노 15ml, 레몬즙 15ml")</f>
        <v>설탕 리밍(선택), 브랜디 or 꼬냑 45ml, 오렌지 큐라소 15ml, 마라스키노 15ml, 레몬즙 15ml</v>
      </c>
      <c r="F365" s="5"/>
    </row>
    <row r="366">
      <c r="A366" s="5" t="str">
        <f>IFERROR(__xludf.DUMMYFUNCTION("""COMPUTED_VALUE"""),"클로버 클럽")</f>
        <v>클로버 클럽</v>
      </c>
      <c r="B366" s="5" t="str">
        <f>IFERROR(__xludf.DUMMYFUNCTION("""COMPUTED_VALUE"""),"진")</f>
        <v>진</v>
      </c>
      <c r="C366" s="5" t="str">
        <f>IFERROR(__xludf.DUMMYFUNCTION("""COMPUTED_VALUE"""),"쉐이킹")</f>
        <v>쉐이킹</v>
      </c>
      <c r="D366" s="8">
        <f>IFERROR(__xludf.DUMMYFUNCTION("""COMPUTED_VALUE"""),0.0)</f>
        <v>0</v>
      </c>
      <c r="E366" s="5" t="str">
        <f>IFERROR(__xludf.DUMMYFUNCTION("""COMPUTED_VALUE"""),"진 60ml, 레몬즙 30ml, 계란흰자 1개, 그레나딘 시럽 15ml")</f>
        <v>진 60ml, 레몬즙 30ml, 계란흰자 1개, 그레나딘 시럽 15ml</v>
      </c>
      <c r="F366" s="5"/>
    </row>
    <row r="367">
      <c r="A367" s="5" t="str">
        <f>IFERROR(__xludf.DUMMYFUNCTION("""COMPUTED_VALUE"""),"키르 로얄")</f>
        <v>키르 로얄</v>
      </c>
      <c r="B367" s="5" t="str">
        <f>IFERROR(__xludf.DUMMYFUNCTION("""COMPUTED_VALUE"""),"샴페인")</f>
        <v>샴페인</v>
      </c>
      <c r="C367" s="5" t="str">
        <f>IFERROR(__xludf.DUMMYFUNCTION("""COMPUTED_VALUE"""),"빌드")</f>
        <v>빌드</v>
      </c>
      <c r="D367" s="8">
        <f>IFERROR(__xludf.DUMMYFUNCTION("""COMPUTED_VALUE"""),0.0)</f>
        <v>0</v>
      </c>
      <c r="E367" s="5" t="str">
        <f>IFERROR(__xludf.DUMMYFUNCTION("""COMPUTED_VALUE"""),"샴페인 120ml, 카시스 20ml")</f>
        <v>샴페인 120ml, 카시스 20ml</v>
      </c>
      <c r="F367" s="5"/>
    </row>
    <row r="368">
      <c r="A368" s="5" t="str">
        <f>IFERROR(__xludf.DUMMYFUNCTION("""COMPUTED_VALUE"""),"키스 오브 파이어")</f>
        <v>키스 오브 파이어</v>
      </c>
      <c r="B368" s="5" t="str">
        <f>IFERROR(__xludf.DUMMYFUNCTION("""COMPUTED_VALUE"""),"보드카")</f>
        <v>보드카</v>
      </c>
      <c r="C368" s="5" t="str">
        <f>IFERROR(__xludf.DUMMYFUNCTION("""COMPUTED_VALUE"""),"쉐이킹")</f>
        <v>쉐이킹</v>
      </c>
      <c r="D368" s="8">
        <f>IFERROR(__xludf.DUMMYFUNCTION("""COMPUTED_VALUE"""),0.0)</f>
        <v>0</v>
      </c>
      <c r="E368" s="5" t="str">
        <f>IFERROR(__xludf.DUMMYFUNCTION("""COMPUTED_VALUE"""),"보드카 30ml, 진 15ml, 드라이 베르뭇 15ml, 레몬즙 15ml, 슈가 리밍")</f>
        <v>보드카 30ml, 진 15ml, 드라이 베르뭇 15ml, 레몬즙 15ml, 슈가 리밍</v>
      </c>
      <c r="F368" s="5"/>
    </row>
    <row r="369">
      <c r="A369" s="5" t="str">
        <f>IFERROR(__xludf.DUMMYFUNCTION("""COMPUTED_VALUE"""),"키스 인 더 다크")</f>
        <v>키스 인 더 다크</v>
      </c>
      <c r="B369" s="5" t="str">
        <f>IFERROR(__xludf.DUMMYFUNCTION("""COMPUTED_VALUE"""),"진")</f>
        <v>진</v>
      </c>
      <c r="C369" s="5" t="str">
        <f>IFERROR(__xludf.DUMMYFUNCTION("""COMPUTED_VALUE"""),"스터")</f>
        <v>스터</v>
      </c>
      <c r="D369" s="8">
        <f>IFERROR(__xludf.DUMMYFUNCTION("""COMPUTED_VALUE"""),0.0)</f>
        <v>0</v>
      </c>
      <c r="E369" s="5" t="str">
        <f>IFERROR(__xludf.DUMMYFUNCTION("""COMPUTED_VALUE"""),"진 30ml, 드라이 베르뭇 30ml. 체리 브랜디 30ml")</f>
        <v>진 30ml, 드라이 베르뭇 30ml. 체리 브랜디 30ml</v>
      </c>
      <c r="F369" s="5"/>
    </row>
    <row r="370">
      <c r="A370" s="5" t="str">
        <f>IFERROR(__xludf.DUMMYFUNCTION("""COMPUTED_VALUE"""),"킬(kir)")</f>
        <v>킬(kir)</v>
      </c>
      <c r="B370" s="5" t="str">
        <f>IFERROR(__xludf.DUMMYFUNCTION("""COMPUTED_VALUE"""),"와인")</f>
        <v>와인</v>
      </c>
      <c r="C370" s="5" t="str">
        <f>IFERROR(__xludf.DUMMYFUNCTION("""COMPUTED_VALUE"""),"빌드")</f>
        <v>빌드</v>
      </c>
      <c r="D370" s="8">
        <f>IFERROR(__xludf.DUMMYFUNCTION("""COMPUTED_VALUE"""),0.0)</f>
        <v>0</v>
      </c>
      <c r="E370" s="5" t="str">
        <f>IFERROR(__xludf.DUMMYFUNCTION("""COMPUTED_VALUE"""),"백포도주 120ml, 카시스 20ml")</f>
        <v>백포도주 120ml, 카시스 20ml</v>
      </c>
      <c r="F370" s="5"/>
    </row>
    <row r="371">
      <c r="A371" s="5" t="str">
        <f>IFERROR(__xludf.DUMMYFUNCTION("""COMPUTED_VALUE"""),"킬러펀치")</f>
        <v>킬러펀치</v>
      </c>
      <c r="B371" s="5" t="str">
        <f>IFERROR(__xludf.DUMMYFUNCTION("""COMPUTED_VALUE"""),"보드카")</f>
        <v>보드카</v>
      </c>
      <c r="C371" s="5" t="str">
        <f>IFERROR(__xludf.DUMMYFUNCTION("""COMPUTED_VALUE"""),"스터")</f>
        <v>스터</v>
      </c>
      <c r="D371" s="8">
        <f>IFERROR(__xludf.DUMMYFUNCTION("""COMPUTED_VALUE"""),0.0)</f>
        <v>0</v>
      </c>
      <c r="E371" s="5" t="str">
        <f>IFERROR(__xludf.DUMMYFUNCTION("""COMPUTED_VALUE"""),"보드카 45ml, 멜론 리큐르 15ml, 디사론노 15ml, 라임즙 10ml, 크렌베리 주스 적당량")</f>
        <v>보드카 45ml, 멜론 리큐르 15ml, 디사론노 15ml, 라임즙 10ml, 크렌베리 주스 적당량</v>
      </c>
      <c r="F371" s="5"/>
    </row>
    <row r="372">
      <c r="A372" s="5" t="str">
        <f>IFERROR(__xludf.DUMMYFUNCTION("""COMPUTED_VALUE"""),"킹스톤 네그로니")</f>
        <v>킹스톤 네그로니</v>
      </c>
      <c r="B372" s="5" t="str">
        <f>IFERROR(__xludf.DUMMYFUNCTION("""COMPUTED_VALUE"""),"다크럼")</f>
        <v>다크럼</v>
      </c>
      <c r="C372" s="5" t="str">
        <f>IFERROR(__xludf.DUMMYFUNCTION("""COMPUTED_VALUE"""),"스터")</f>
        <v>스터</v>
      </c>
      <c r="D372" s="8">
        <f>IFERROR(__xludf.DUMMYFUNCTION("""COMPUTED_VALUE"""),0.0)</f>
        <v>0</v>
      </c>
      <c r="E372" s="5" t="str">
        <f>IFERROR(__xludf.DUMMYFUNCTION("""COMPUTED_VALUE"""),"다크럼 30ml, 스윗 베르뭇 30ml, 캄파리 30ml")</f>
        <v>다크럼 30ml, 스윗 베르뭇 30ml, 캄파리 30ml</v>
      </c>
      <c r="F372" s="5"/>
    </row>
    <row r="373">
      <c r="A373" s="5" t="str">
        <f>IFERROR(__xludf.DUMMYFUNCTION("""COMPUTED_VALUE"""),"탄산 피스톤 슬링거")</f>
        <v>탄산 피스톤 슬링거</v>
      </c>
      <c r="B373" s="5" t="str">
        <f>IFERROR(__xludf.DUMMYFUNCTION("""COMPUTED_VALUE"""),"오버프루프 럼")</f>
        <v>오버프루프 럼</v>
      </c>
      <c r="C373" s="5" t="str">
        <f>IFERROR(__xludf.DUMMYFUNCTION("""COMPUTED_VALUE"""),"쉐이킹")</f>
        <v>쉐이킹</v>
      </c>
      <c r="D373" s="8">
        <f>IFERROR(__xludf.DUMMYFUNCTION("""COMPUTED_VALUE"""),0.0)</f>
        <v>0</v>
      </c>
      <c r="E373" s="5" t="str">
        <f>IFERROR(__xludf.DUMMYFUNCTION("""COMPUTED_VALUE"""),"오버프루프 럼 60ml, 슬로 진 22.5ml, 라임즙 22.5ml, 쉐이킹 후 탄산수 30ml")</f>
        <v>오버프루프 럼 60ml, 슬로 진 22.5ml, 라임즙 22.5ml, 쉐이킹 후 탄산수 30ml</v>
      </c>
      <c r="F373" s="5"/>
    </row>
    <row r="374">
      <c r="A374" s="5" t="str">
        <f>IFERROR(__xludf.DUMMYFUNCTION("""COMPUTED_VALUE"""),"탐 콜린스")</f>
        <v>탐 콜린스</v>
      </c>
      <c r="B374" s="5" t="str">
        <f>IFERROR(__xludf.DUMMYFUNCTION("""COMPUTED_VALUE"""),"진")</f>
        <v>진</v>
      </c>
      <c r="C374" s="5" t="str">
        <f>IFERROR(__xludf.DUMMYFUNCTION("""COMPUTED_VALUE"""),"쉐이킹")</f>
        <v>쉐이킹</v>
      </c>
      <c r="D374" s="8">
        <f>IFERROR(__xludf.DUMMYFUNCTION("""COMPUTED_VALUE"""),0.0)</f>
        <v>0</v>
      </c>
      <c r="E374" s="5" t="str">
        <f>IFERROR(__xludf.DUMMYFUNCTION("""COMPUTED_VALUE"""),"진(올드 톰) 60ml, 레몬즙 15ml, 설탕 1티스푼, 탄산수 풀업(쉐이킹 후)")</f>
        <v>진(올드 톰) 60ml, 레몬즙 15ml, 설탕 1티스푼, 탄산수 풀업(쉐이킹 후)</v>
      </c>
      <c r="F374" s="5"/>
    </row>
    <row r="375">
      <c r="A375" s="5" t="str">
        <f>IFERROR(__xludf.DUMMYFUNCTION("""COMPUTED_VALUE"""),"탑 바나나")</f>
        <v>탑 바나나</v>
      </c>
      <c r="B375" s="5" t="str">
        <f>IFERROR(__xludf.DUMMYFUNCTION("""COMPUTED_VALUE"""),"바나나 리큐르")</f>
        <v>바나나 리큐르</v>
      </c>
      <c r="C375" s="5" t="str">
        <f>IFERROR(__xludf.DUMMYFUNCTION("""COMPUTED_VALUE"""),"쉐이킹")</f>
        <v>쉐이킹</v>
      </c>
      <c r="D375" s="8">
        <f>IFERROR(__xludf.DUMMYFUNCTION("""COMPUTED_VALUE"""),0.0)</f>
        <v>0</v>
      </c>
      <c r="E375" s="5" t="str">
        <f>IFERROR(__xludf.DUMMYFUNCTION("""COMPUTED_VALUE"""),"럼 30ml, 바나나 리큐르 30ml, 파인애플 주스 120ml, 코코넛 밀크 30ml, 오렌지 주스 30ml, 가니쉬로 체리, 오렌지 조각")</f>
        <v>럼 30ml, 바나나 리큐르 30ml, 파인애플 주스 120ml, 코코넛 밀크 30ml, 오렌지 주스 30ml, 가니쉬로 체리, 오렌지 조각</v>
      </c>
      <c r="F375" s="5"/>
    </row>
    <row r="376">
      <c r="A376" s="5" t="str">
        <f>IFERROR(__xludf.DUMMYFUNCTION("""COMPUTED_VALUE"""),"탱고")</f>
        <v>탱고</v>
      </c>
      <c r="B376" s="5" t="str">
        <f>IFERROR(__xludf.DUMMYFUNCTION("""COMPUTED_VALUE"""),"진")</f>
        <v>진</v>
      </c>
      <c r="C376" s="5" t="str">
        <f>IFERROR(__xludf.DUMMYFUNCTION("""COMPUTED_VALUE"""),"쉐이킹")</f>
        <v>쉐이킹</v>
      </c>
      <c r="D376" s="8">
        <f>IFERROR(__xludf.DUMMYFUNCTION("""COMPUTED_VALUE"""),0.0)</f>
        <v>0</v>
      </c>
      <c r="E376" s="5" t="str">
        <f>IFERROR(__xludf.DUMMYFUNCTION("""COMPUTED_VALUE"""),"드라이 진 30ml, 트리플 섹 15ml, 드라이 베르뭇 15ml, 스윗 베르뭇 15ml, 오렌지 주스 15ml")</f>
        <v>드라이 진 30ml, 트리플 섹 15ml, 드라이 베르뭇 15ml, 스윗 베르뭇 15ml, 오렌지 주스 15ml</v>
      </c>
      <c r="F376" s="5"/>
    </row>
    <row r="377">
      <c r="A377" s="5" t="str">
        <f>IFERROR(__xludf.DUMMYFUNCTION("""COMPUTED_VALUE"""),"턱시도")</f>
        <v>턱시도</v>
      </c>
      <c r="B377" s="5" t="str">
        <f>IFERROR(__xludf.DUMMYFUNCTION("""COMPUTED_VALUE"""),"진")</f>
        <v>진</v>
      </c>
      <c r="C377" s="5" t="str">
        <f>IFERROR(__xludf.DUMMYFUNCTION("""COMPUTED_VALUE"""),"스터")</f>
        <v>스터</v>
      </c>
      <c r="D377" s="8">
        <f>IFERROR(__xludf.DUMMYFUNCTION("""COMPUTED_VALUE"""),0.0)</f>
        <v>0</v>
      </c>
      <c r="E377" s="5" t="str">
        <f>IFERROR(__xludf.DUMMYFUNCTION("""COMPUTED_VALUE"""),"진 60ml, 드라이 셰리 30ml, 오렌지 비터 2대쉬")</f>
        <v>진 60ml, 드라이 셰리 30ml, 오렌지 비터 2대쉬</v>
      </c>
      <c r="F377" s="5"/>
    </row>
    <row r="378">
      <c r="A378" s="5" t="str">
        <f>IFERROR(__xludf.DUMMYFUNCTION("""COMPUTED_VALUE"""),"테슬라")</f>
        <v>테슬라</v>
      </c>
      <c r="B378" s="5" t="str">
        <f>IFERROR(__xludf.DUMMYFUNCTION("""COMPUTED_VALUE"""),"테라")</f>
        <v>테라</v>
      </c>
      <c r="C378" s="5" t="str">
        <f>IFERROR(__xludf.DUMMYFUNCTION("""COMPUTED_VALUE"""),"빌드")</f>
        <v>빌드</v>
      </c>
      <c r="D378" s="8">
        <f>IFERROR(__xludf.DUMMYFUNCTION("""COMPUTED_VALUE"""),0.0)</f>
        <v>0</v>
      </c>
      <c r="E378" s="5" t="str">
        <f>IFERROR(__xludf.DUMMYFUNCTION("""COMPUTED_VALUE"""),"테라 3, 참이슬 1")</f>
        <v>테라 3, 참이슬 1</v>
      </c>
      <c r="F378" s="5"/>
    </row>
    <row r="379">
      <c r="A379" s="5" t="str">
        <f>IFERROR(__xludf.DUMMYFUNCTION("""COMPUTED_VALUE"""),"텍사스 아이스티")</f>
        <v>텍사스 아이스티</v>
      </c>
      <c r="B379" s="5" t="str">
        <f>IFERROR(__xludf.DUMMYFUNCTION("""COMPUTED_VALUE"""),"혼합")</f>
        <v>혼합</v>
      </c>
      <c r="C379" s="5" t="str">
        <f>IFERROR(__xludf.DUMMYFUNCTION("""COMPUTED_VALUE"""),"쉐이킹")</f>
        <v>쉐이킹</v>
      </c>
      <c r="D379" s="8">
        <f>IFERROR(__xludf.DUMMYFUNCTION("""COMPUTED_VALUE"""),0.0)</f>
        <v>0</v>
      </c>
      <c r="E379" s="5" t="str">
        <f>IFERROR(__xludf.DUMMYFUNCTION("""COMPUTED_VALUE"""),"럼 15ml, 진 15ml, 보드카 15ml, 데낄라 15ml, 트리플섹 15ml, 버번 위스키 15ml, 사워믹스 30ml, 코카콜라 풀업(쉐이킹 후)")</f>
        <v>럼 15ml, 진 15ml, 보드카 15ml, 데낄라 15ml, 트리플섹 15ml, 버번 위스키 15ml, 사워믹스 30ml, 코카콜라 풀업(쉐이킹 후)</v>
      </c>
      <c r="F379" s="5"/>
    </row>
    <row r="380">
      <c r="A380" s="5" t="str">
        <f>IFERROR(__xludf.DUMMYFUNCTION("""COMPUTED_VALUE"""),"텍사스 티키")</f>
        <v>텍사스 티키</v>
      </c>
      <c r="B380" s="5" t="str">
        <f>IFERROR(__xludf.DUMMYFUNCTION("""COMPUTED_VALUE"""),"보드카")</f>
        <v>보드카</v>
      </c>
      <c r="C380" s="5" t="str">
        <f>IFERROR(__xludf.DUMMYFUNCTION("""COMPUTED_VALUE"""),"쉐이킹")</f>
        <v>쉐이킹</v>
      </c>
      <c r="D380" s="8">
        <f>IFERROR(__xludf.DUMMYFUNCTION("""COMPUTED_VALUE"""),0.0)</f>
        <v>0</v>
      </c>
      <c r="E380" s="5" t="str">
        <f>IFERROR(__xludf.DUMMYFUNCTION("""COMPUTED_VALUE"""),"보드카 45ml, 레몬즙 15ml, 파인애플 주스 30ml, 블루 큐라소 22.5ml, 허니시럽 15ml, 아마레또 22.5ml")</f>
        <v>보드카 45ml, 레몬즙 15ml, 파인애플 주스 30ml, 블루 큐라소 22.5ml, 허니시럽 15ml, 아마레또 22.5ml</v>
      </c>
      <c r="F380" s="5"/>
    </row>
    <row r="381">
      <c r="A381" s="5" t="str">
        <f>IFERROR(__xludf.DUMMYFUNCTION("""COMPUTED_VALUE"""),"투 헤븐")</f>
        <v>투 헤븐</v>
      </c>
      <c r="B381" s="5" t="str">
        <f>IFERROR(__xludf.DUMMYFUNCTION("""COMPUTED_VALUE"""),"혼합")</f>
        <v>혼합</v>
      </c>
      <c r="C381" s="5" t="str">
        <f>IFERROR(__xludf.DUMMYFUNCTION("""COMPUTED_VALUE"""),"쉐이킹")</f>
        <v>쉐이킹</v>
      </c>
      <c r="D381" s="8">
        <f>IFERROR(__xludf.DUMMYFUNCTION("""COMPUTED_VALUE"""),0.0)</f>
        <v>0</v>
      </c>
      <c r="E381" s="5" t="str">
        <f>IFERROR(__xludf.DUMMYFUNCTION("""COMPUTED_VALUE"""),"슈가리밍, 말리부 15ml, 피치트리 15ml, 블루 큐라소 15ml, 라임즙 15ml, 설탕시럽 15ml")</f>
        <v>슈가리밍, 말리부 15ml, 피치트리 15ml, 블루 큐라소 15ml, 라임즙 15ml, 설탕시럽 15ml</v>
      </c>
      <c r="F381" s="5"/>
    </row>
    <row r="382">
      <c r="A382" s="5" t="str">
        <f>IFERROR(__xludf.DUMMYFUNCTION("""COMPUTED_VALUE"""),"트로피컬 머메이드")</f>
        <v>트로피컬 머메이드</v>
      </c>
      <c r="B382" s="5" t="str">
        <f>IFERROR(__xludf.DUMMYFUNCTION("""COMPUTED_VALUE"""),"럼")</f>
        <v>럼</v>
      </c>
      <c r="C382" s="5" t="str">
        <f>IFERROR(__xludf.DUMMYFUNCTION("""COMPUTED_VALUE"""),"스터 + 빌드")</f>
        <v>스터 + 빌드</v>
      </c>
      <c r="D382" s="8">
        <f>IFERROR(__xludf.DUMMYFUNCTION("""COMPUTED_VALUE"""),0.0)</f>
        <v>0</v>
      </c>
      <c r="E382" s="5" t="str">
        <f>IFERROR(__xludf.DUMMYFUNCTION("""COMPUTED_VALUE"""),"밀리부 30ml, 바나나 리큐르15ml, 파인애플 주스 60ml, 라임즙 7.5ml, 약간의 스터 후 블루 큐라소 7.5ml")</f>
        <v>밀리부 30ml, 바나나 리큐르15ml, 파인애플 주스 60ml, 라임즙 7.5ml, 약간의 스터 후 블루 큐라소 7.5ml</v>
      </c>
      <c r="F382" s="5"/>
    </row>
    <row r="383">
      <c r="A383" s="5" t="str">
        <f>IFERROR(__xludf.DUMMYFUNCTION("""COMPUTED_VALUE"""),"트로피컬 썬라이즈")</f>
        <v>트로피컬 썬라이즈</v>
      </c>
      <c r="B383" s="5" t="str">
        <f>IFERROR(__xludf.DUMMYFUNCTION("""COMPUTED_VALUE"""),"혼합")</f>
        <v>혼합</v>
      </c>
      <c r="C383" s="5" t="str">
        <f>IFERROR(__xludf.DUMMYFUNCTION("""COMPUTED_VALUE"""),"빌드 + 쉐이킹")</f>
        <v>빌드 + 쉐이킹</v>
      </c>
      <c r="D383" s="8">
        <f>IFERROR(__xludf.DUMMYFUNCTION("""COMPUTED_VALUE"""),0.0)</f>
        <v>0</v>
      </c>
      <c r="E383" s="5" t="str">
        <f>IFERROR(__xludf.DUMMYFUNCTION("""COMPUTED_VALUE"""),"얼음가득, 그레나딘 시럽 15ml, 오렌지 주스 120ml, [보드카 30ml, 멜론 리큐르 30ml 쉐이킹]")</f>
        <v>얼음가득, 그레나딘 시럽 15ml, 오렌지 주스 120ml, [보드카 30ml, 멜론 리큐르 30ml 쉐이킹]</v>
      </c>
      <c r="F383" s="5"/>
    </row>
    <row r="384">
      <c r="A384" s="5" t="str">
        <f>IFERROR(__xludf.DUMMYFUNCTION("""COMPUTED_VALUE"""),"트로피컬 파라다이스")</f>
        <v>트로피컬 파라다이스</v>
      </c>
      <c r="B384" s="5" t="str">
        <f>IFERROR(__xludf.DUMMYFUNCTION("""COMPUTED_VALUE"""),"럼")</f>
        <v>럼</v>
      </c>
      <c r="C384" s="5" t="str">
        <f>IFERROR(__xludf.DUMMYFUNCTION("""COMPUTED_VALUE"""),"빌드")</f>
        <v>빌드</v>
      </c>
      <c r="D384" s="8">
        <f>IFERROR(__xludf.DUMMYFUNCTION("""COMPUTED_VALUE"""),0.0)</f>
        <v>0</v>
      </c>
      <c r="E384" s="5" t="str">
        <f>IFERROR(__xludf.DUMMYFUNCTION("""COMPUTED_VALUE"""),"럼 15ml, 말리부 30ml, 바나나 리큐르 30ml, 크렌베리 주스 60ml, 파인애플 주스 60ml, 우산 가니쉬, 체리 1~2조각")</f>
        <v>럼 15ml, 말리부 30ml, 바나나 리큐르 30ml, 크렌베리 주스 60ml, 파인애플 주스 60ml, 우산 가니쉬, 체리 1~2조각</v>
      </c>
      <c r="F384" s="5"/>
    </row>
    <row r="385">
      <c r="A385" s="5" t="str">
        <f>IFERROR(__xludf.DUMMYFUNCTION("""COMPUTED_VALUE"""),"트리클")</f>
        <v>트리클</v>
      </c>
      <c r="B385" s="5" t="str">
        <f>IFERROR(__xludf.DUMMYFUNCTION("""COMPUTED_VALUE"""),"다크럼")</f>
        <v>다크럼</v>
      </c>
      <c r="C385" s="5" t="str">
        <f>IFERROR(__xludf.DUMMYFUNCTION("""COMPUTED_VALUE"""),"스터")</f>
        <v>스터</v>
      </c>
      <c r="D385" s="8">
        <f>IFERROR(__xludf.DUMMYFUNCTION("""COMPUTED_VALUE"""),0.0)</f>
        <v>0</v>
      </c>
      <c r="E385" s="5" t="str">
        <f>IFERROR(__xludf.DUMMYFUNCTION("""COMPUTED_VALUE"""),"다크럼 60ml, 시럽 8ml, 앙고스투라 비터 2대쉬, 사과주스 15ml")</f>
        <v>다크럼 60ml, 시럽 8ml, 앙고스투라 비터 2대쉬, 사과주스 15ml</v>
      </c>
      <c r="F385" s="5"/>
    </row>
    <row r="386">
      <c r="A386" s="5" t="str">
        <f>IFERROR(__xludf.DUMMYFUNCTION("""COMPUTED_VALUE"""),"트리클 넘버원")</f>
        <v>트리클 넘버원</v>
      </c>
      <c r="B386" s="5" t="str">
        <f>IFERROR(__xludf.DUMMYFUNCTION("""COMPUTED_VALUE"""),"오버프루프 럼")</f>
        <v>오버프루프 럼</v>
      </c>
      <c r="C386" s="5" t="str">
        <f>IFERROR(__xludf.DUMMYFUNCTION("""COMPUTED_VALUE"""),"스터")</f>
        <v>스터</v>
      </c>
      <c r="D386" s="8">
        <f>IFERROR(__xludf.DUMMYFUNCTION("""COMPUTED_VALUE"""),0.0)</f>
        <v>0</v>
      </c>
      <c r="E386" s="5" t="str">
        <f>IFERROR(__xludf.DUMMYFUNCTION("""COMPUTED_VALUE"""),"오버프루프 럼 30ml, 시럽 7.5ml, 앙고스투라 비터 2대쉬, 취향껏 스터 후 오버프루프 럼 30ml, 취향껏 스터 후 사과주스 15ml 플로팅")</f>
        <v>오버프루프 럼 30ml, 시럽 7.5ml, 앙고스투라 비터 2대쉬, 취향껏 스터 후 오버프루프 럼 30ml, 취향껏 스터 후 사과주스 15ml 플로팅</v>
      </c>
      <c r="F386" s="5"/>
    </row>
    <row r="387">
      <c r="A387" s="5" t="str">
        <f>IFERROR(__xludf.DUMMYFUNCTION("""COMPUTED_VALUE"""),"트웰브(12)")</f>
        <v>트웰브(12)</v>
      </c>
      <c r="B387" s="5" t="str">
        <f>IFERROR(__xludf.DUMMYFUNCTION("""COMPUTED_VALUE"""),"피치트리")</f>
        <v>피치트리</v>
      </c>
      <c r="C387" s="5" t="str">
        <f>IFERROR(__xludf.DUMMYFUNCTION("""COMPUTED_VALUE"""),"쉐이킹")</f>
        <v>쉐이킹</v>
      </c>
      <c r="D387" s="8">
        <f>IFERROR(__xludf.DUMMYFUNCTION("""COMPUTED_VALUE"""),0.0)</f>
        <v>0</v>
      </c>
      <c r="E387" s="5" t="str">
        <f>IFERROR(__xludf.DUMMYFUNCTION("""COMPUTED_VALUE"""),"피치트리 30ml, 트리플섹 20ml, 사워믹스 20ml, 라임즙 10ml, 사과주스 45ml, 그레나딘 시럽 2티스푼(쉐이킹 후)")</f>
        <v>피치트리 30ml, 트리플섹 20ml, 사워믹스 20ml, 라임즙 10ml, 사과주스 45ml, 그레나딘 시럽 2티스푼(쉐이킹 후)</v>
      </c>
      <c r="F387" s="5"/>
    </row>
    <row r="388">
      <c r="A388" s="5" t="str">
        <f>IFERROR(__xludf.DUMMYFUNCTION("""COMPUTED_VALUE"""),"티라미수")</f>
        <v>티라미수</v>
      </c>
      <c r="B388" s="5" t="str">
        <f>IFERROR(__xludf.DUMMYFUNCTION("""COMPUTED_VALUE"""),"보드카")</f>
        <v>보드카</v>
      </c>
      <c r="C388" s="5" t="str">
        <f>IFERROR(__xludf.DUMMYFUNCTION("""COMPUTED_VALUE"""),"쉐이킹")</f>
        <v>쉐이킹</v>
      </c>
      <c r="D388" s="8">
        <f>IFERROR(__xludf.DUMMYFUNCTION("""COMPUTED_VALUE"""),0.0)</f>
        <v>0</v>
      </c>
      <c r="E388" s="5" t="str">
        <f>IFERROR(__xludf.DUMMYFUNCTION("""COMPUTED_VALUE"""),"계란 노른자 1개, 디사론노 20ml, 오르쟈 시럽 20ml, 에스프레소 1잔, 보드카 60ml, 카카오가루 2티스푼, 크림 or 치즈 거품(쉐이킹 후)")</f>
        <v>계란 노른자 1개, 디사론노 20ml, 오르쟈 시럽 20ml, 에스프레소 1잔, 보드카 60ml, 카카오가루 2티스푼, 크림 or 치즈 거품(쉐이킹 후)</v>
      </c>
      <c r="F388" s="5"/>
    </row>
    <row r="389">
      <c r="A389" s="5" t="str">
        <f>IFERROR(__xludf.DUMMYFUNCTION("""COMPUTED_VALUE"""),"티라미수 마티니")</f>
        <v>티라미수 마티니</v>
      </c>
      <c r="B389" s="5" t="str">
        <f>IFERROR(__xludf.DUMMYFUNCTION("""COMPUTED_VALUE"""),"혼합")</f>
        <v>혼합</v>
      </c>
      <c r="C389" s="5" t="str">
        <f>IFERROR(__xludf.DUMMYFUNCTION("""COMPUTED_VALUE"""),"쉐이킹")</f>
        <v>쉐이킹</v>
      </c>
      <c r="D389" s="8">
        <f>IFERROR(__xludf.DUMMYFUNCTION("""COMPUTED_VALUE"""),0.0)</f>
        <v>0</v>
      </c>
      <c r="E389" s="5" t="str">
        <f>IFERROR(__xludf.DUMMYFUNCTION("""COMPUTED_VALUE"""),"커피 리큐르 30ml, 아마레또 30ml, 초콜릿 리큐르30ml, 생크림(쉐이킹 후)")</f>
        <v>커피 리큐르 30ml, 아마레또 30ml, 초콜릿 리큐르30ml, 생크림(쉐이킹 후)</v>
      </c>
      <c r="F389" s="5"/>
    </row>
    <row r="390">
      <c r="A390" s="5" t="str">
        <f>IFERROR(__xludf.DUMMYFUNCTION("""COMPUTED_VALUE"""),"티키 에스프레소 마티니")</f>
        <v>티키 에스프레소 마티니</v>
      </c>
      <c r="B390" s="5" t="str">
        <f>IFERROR(__xludf.DUMMYFUNCTION("""COMPUTED_VALUE"""),"말리부")</f>
        <v>말리부</v>
      </c>
      <c r="C390" s="5" t="str">
        <f>IFERROR(__xludf.DUMMYFUNCTION("""COMPUTED_VALUE"""),"쉐이킹")</f>
        <v>쉐이킹</v>
      </c>
      <c r="D390" s="8">
        <f>IFERROR(__xludf.DUMMYFUNCTION("""COMPUTED_VALUE"""),0.0)</f>
        <v>0</v>
      </c>
      <c r="E390" s="5" t="str">
        <f>IFERROR(__xludf.DUMMYFUNCTION("""COMPUTED_VALUE"""),"말리부 30ml, 콜드브루 커피 30ml, 에스프레소 10ml, 아마레또 15ml")</f>
        <v>말리부 30ml, 콜드브루 커피 30ml, 에스프레소 10ml, 아마레또 15ml</v>
      </c>
      <c r="F390" s="5"/>
    </row>
    <row r="391">
      <c r="A391" s="5" t="str">
        <f>IFERROR(__xludf.DUMMYFUNCTION("""COMPUTED_VALUE"""),"파나쉬")</f>
        <v>파나쉬</v>
      </c>
      <c r="B391" s="5" t="str">
        <f>IFERROR(__xludf.DUMMYFUNCTION("""COMPUTED_VALUE"""),"맥주")</f>
        <v>맥주</v>
      </c>
      <c r="C391" s="5" t="str">
        <f>IFERROR(__xludf.DUMMYFUNCTION("""COMPUTED_VALUE"""),"빌드")</f>
        <v>빌드</v>
      </c>
      <c r="D391" s="8">
        <f>IFERROR(__xludf.DUMMYFUNCTION("""COMPUTED_VALUE"""),0.0)</f>
        <v>0</v>
      </c>
      <c r="E391" s="5" t="str">
        <f>IFERROR(__xludf.DUMMYFUNCTION("""COMPUTED_VALUE"""),"맥주 90ml, 탄산수 90ml")</f>
        <v>맥주 90ml, 탄산수 90ml</v>
      </c>
      <c r="F391" s="5"/>
    </row>
    <row r="392">
      <c r="A392" s="5" t="str">
        <f>IFERROR(__xludf.DUMMYFUNCTION("""COMPUTED_VALUE"""),"파라다이스")</f>
        <v>파라다이스</v>
      </c>
      <c r="B392" s="5" t="str">
        <f>IFERROR(__xludf.DUMMYFUNCTION("""COMPUTED_VALUE"""),"혼합")</f>
        <v>혼합</v>
      </c>
      <c r="C392" s="5" t="str">
        <f>IFERROR(__xludf.DUMMYFUNCTION("""COMPUTED_VALUE"""),"플로팅")</f>
        <v>플로팅</v>
      </c>
      <c r="D392" s="8">
        <f>IFERROR(__xludf.DUMMYFUNCTION("""COMPUTED_VALUE"""),0.0)</f>
        <v>0</v>
      </c>
      <c r="E392" s="5" t="str">
        <f>IFERROR(__xludf.DUMMYFUNCTION("""COMPUTED_VALUE"""),"블루 큐라소 15ml, 물 30ml, 말리부 60ml, 파인애플 주스 120ml, 그레나딘 시럽 30ml, 순서대로!")</f>
        <v>블루 큐라소 15ml, 물 30ml, 말리부 60ml, 파인애플 주스 120ml, 그레나딘 시럽 30ml, 순서대로!</v>
      </c>
      <c r="F392" s="5"/>
    </row>
    <row r="393">
      <c r="A393" s="5" t="str">
        <f>IFERROR(__xludf.DUMMYFUNCTION("""COMPUTED_VALUE"""),"파라다이스2")</f>
        <v>파라다이스2</v>
      </c>
      <c r="B393" s="5" t="str">
        <f>IFERROR(__xludf.DUMMYFUNCTION("""COMPUTED_VALUE"""),"럼")</f>
        <v>럼</v>
      </c>
      <c r="C393" s="5" t="str">
        <f>IFERROR(__xludf.DUMMYFUNCTION("""COMPUTED_VALUE"""),"플로팅")</f>
        <v>플로팅</v>
      </c>
      <c r="D393" s="8">
        <f>IFERROR(__xludf.DUMMYFUNCTION("""COMPUTED_VALUE"""),0.0)</f>
        <v>0</v>
      </c>
      <c r="E393" s="5" t="str">
        <f>IFERROR(__xludf.DUMMYFUNCTION("""COMPUTED_VALUE"""),"그레나딘 시럽 15ml, 크러쉬드 아이스 가득, 말리부 30ml + 파인애플 주스 60+ (혼합), 물 30ml + 블루 큐라소 7.5ml")</f>
        <v>그레나딘 시럽 15ml, 크러쉬드 아이스 가득, 말리부 30ml + 파인애플 주스 60+ (혼합), 물 30ml + 블루 큐라소 7.5ml</v>
      </c>
      <c r="F393" s="5"/>
    </row>
    <row r="394">
      <c r="A394" s="5" t="str">
        <f>IFERROR(__xludf.DUMMYFUNCTION("""COMPUTED_VALUE"""),"파르마 네그로니")</f>
        <v>파르마 네그로니</v>
      </c>
      <c r="B394" s="5" t="str">
        <f>IFERROR(__xludf.DUMMYFUNCTION("""COMPUTED_VALUE"""),"혼합")</f>
        <v>혼합</v>
      </c>
      <c r="C394" s="5" t="str">
        <f>IFERROR(__xludf.DUMMYFUNCTION("""COMPUTED_VALUE"""),"쉐이킹")</f>
        <v>쉐이킹</v>
      </c>
      <c r="D394" s="8">
        <f>IFERROR(__xludf.DUMMYFUNCTION("""COMPUTED_VALUE"""),0.0)</f>
        <v>0</v>
      </c>
      <c r="E394" s="5" t="str">
        <f>IFERROR(__xludf.DUMMYFUNCTION("""COMPUTED_VALUE"""),"드라이진 30ml, 캄파리 30ml, 자몽주스 30ml, 설탕시럽 15ml, 앙고스투라 비터 2대쉬")</f>
        <v>드라이진 30ml, 캄파리 30ml, 자몽주스 30ml, 설탕시럽 15ml, 앙고스투라 비터 2대쉬</v>
      </c>
      <c r="F394" s="5"/>
    </row>
    <row r="395">
      <c r="A395" s="5" t="str">
        <f>IFERROR(__xludf.DUMMYFUNCTION("""COMPUTED_VALUE"""),"파리지앵")</f>
        <v>파리지앵</v>
      </c>
      <c r="B395" s="5" t="str">
        <f>IFERROR(__xludf.DUMMYFUNCTION("""COMPUTED_VALUE"""),"진")</f>
        <v>진</v>
      </c>
      <c r="C395" s="5" t="str">
        <f>IFERROR(__xludf.DUMMYFUNCTION("""COMPUTED_VALUE"""),"스터")</f>
        <v>스터</v>
      </c>
      <c r="D395" s="8">
        <f>IFERROR(__xludf.DUMMYFUNCTION("""COMPUTED_VALUE"""),0.0)</f>
        <v>0</v>
      </c>
      <c r="E395" s="5" t="str">
        <f>IFERROR(__xludf.DUMMYFUNCTION("""COMPUTED_VALUE"""),"진 30ml, 드라이 베르뭇 15ml, 카시스 15ml")</f>
        <v>진 30ml, 드라이 베르뭇 15ml, 카시스 15ml</v>
      </c>
      <c r="F395" s="5"/>
    </row>
    <row r="396">
      <c r="A396" s="5" t="str">
        <f>IFERROR(__xludf.DUMMYFUNCTION("""COMPUTED_VALUE"""),"파우스트")</f>
        <v>파우스트</v>
      </c>
      <c r="B396" s="5" t="str">
        <f>IFERROR(__xludf.DUMMYFUNCTION("""COMPUTED_VALUE"""),"오버프루프 럼")</f>
        <v>오버프루프 럼</v>
      </c>
      <c r="C396" s="5" t="str">
        <f>IFERROR(__xludf.DUMMYFUNCTION("""COMPUTED_VALUE"""),"빌드")</f>
        <v>빌드</v>
      </c>
      <c r="D396" s="8">
        <f>IFERROR(__xludf.DUMMYFUNCTION("""COMPUTED_VALUE"""),0.0)</f>
        <v>0</v>
      </c>
      <c r="E396" s="5" t="str">
        <f>IFERROR(__xludf.DUMMYFUNCTION("""COMPUTED_VALUE"""),"151 30ml, 화이트 럼 or 말리부 30ml, 카시스 15ml")</f>
        <v>151 30ml, 화이트 럼 or 말리부 30ml, 카시스 15ml</v>
      </c>
      <c r="F396" s="5"/>
    </row>
    <row r="397">
      <c r="A397" s="5" t="str">
        <f>IFERROR(__xludf.DUMMYFUNCTION("""COMPUTED_VALUE"""),"파우스트2")</f>
        <v>파우스트2</v>
      </c>
      <c r="B397" s="5" t="str">
        <f>IFERROR(__xludf.DUMMYFUNCTION("""COMPUTED_VALUE"""),"럼")</f>
        <v>럼</v>
      </c>
      <c r="C397" s="5" t="str">
        <f>IFERROR(__xludf.DUMMYFUNCTION("""COMPUTED_VALUE"""),"빌드")</f>
        <v>빌드</v>
      </c>
      <c r="D397" s="8">
        <f>IFERROR(__xludf.DUMMYFUNCTION("""COMPUTED_VALUE"""),0.0)</f>
        <v>0</v>
      </c>
      <c r="E397" s="5" t="str">
        <f>IFERROR(__xludf.DUMMYFUNCTION("""COMPUTED_VALUE"""),"화이트 럼 45ml, 카시스 15ml, 말리부 15ml")</f>
        <v>화이트 럼 45ml, 카시스 15ml, 말리부 15ml</v>
      </c>
      <c r="F397" s="5"/>
    </row>
    <row r="398">
      <c r="A398" s="5" t="str">
        <f>IFERROR(__xludf.DUMMYFUNCTION("""COMPUTED_VALUE"""),"파우스트3")</f>
        <v>파우스트3</v>
      </c>
      <c r="B398" s="5" t="str">
        <f>IFERROR(__xludf.DUMMYFUNCTION("""COMPUTED_VALUE"""),"오버프루프 럼")</f>
        <v>오버프루프 럼</v>
      </c>
      <c r="C398" s="5" t="str">
        <f>IFERROR(__xludf.DUMMYFUNCTION("""COMPUTED_VALUE"""),"빌드")</f>
        <v>빌드</v>
      </c>
      <c r="D398" s="8">
        <f>IFERROR(__xludf.DUMMYFUNCTION("""COMPUTED_VALUE"""),0.0)</f>
        <v>0</v>
      </c>
      <c r="E398" s="5" t="str">
        <f>IFERROR(__xludf.DUMMYFUNCTION("""COMPUTED_VALUE"""),"151 30ml, 말리부 30ml, 카시스 30ml")</f>
        <v>151 30ml, 말리부 30ml, 카시스 30ml</v>
      </c>
      <c r="F398" s="5"/>
    </row>
    <row r="399">
      <c r="A399" s="5" t="str">
        <f>IFERROR(__xludf.DUMMYFUNCTION("""COMPUTED_VALUE"""),"파인애플 피즈")</f>
        <v>파인애플 피즈</v>
      </c>
      <c r="B399" s="5" t="str">
        <f>IFERROR(__xludf.DUMMYFUNCTION("""COMPUTED_VALUE"""),"럼")</f>
        <v>럼</v>
      </c>
      <c r="C399" s="5" t="str">
        <f>IFERROR(__xludf.DUMMYFUNCTION("""COMPUTED_VALUE"""),"쉐이킹")</f>
        <v>쉐이킹</v>
      </c>
      <c r="D399" s="8">
        <f>IFERROR(__xludf.DUMMYFUNCTION("""COMPUTED_VALUE"""),0.0)</f>
        <v>0</v>
      </c>
      <c r="E399" s="5" t="str">
        <f>IFERROR(__xludf.DUMMYFUNCTION("""COMPUTED_VALUE"""),"화이트 럼 45ml, 골드 럼 15ml, 파인애플 주스 37.5ml, 시럽 10ml, 앙고스투라 비터 2대쉬, 쉐이킹 후 탄산수 필업")</f>
        <v>화이트 럼 45ml, 골드 럼 15ml, 파인애플 주스 37.5ml, 시럽 10ml, 앙고스투라 비터 2대쉬, 쉐이킹 후 탄산수 필업</v>
      </c>
      <c r="F399" s="5"/>
    </row>
    <row r="400">
      <c r="A400" s="5" t="str">
        <f>IFERROR(__xludf.DUMMYFUNCTION("""COMPUTED_VALUE"""),"파파 도블레")</f>
        <v>파파 도블레</v>
      </c>
      <c r="B400" s="5" t="str">
        <f>IFERROR(__xludf.DUMMYFUNCTION("""COMPUTED_VALUE"""),"럼")</f>
        <v>럼</v>
      </c>
      <c r="C400" s="5" t="str">
        <f>IFERROR(__xludf.DUMMYFUNCTION("""COMPUTED_VALUE"""),"쉐이킹")</f>
        <v>쉐이킹</v>
      </c>
      <c r="D400" s="8">
        <f>IFERROR(__xludf.DUMMYFUNCTION("""COMPUTED_VALUE"""),0.0)</f>
        <v>0</v>
      </c>
      <c r="E400" s="5" t="str">
        <f>IFERROR(__xludf.DUMMYFUNCTION("""COMPUTED_VALUE"""),"화이트 럼 60ml, 마라스키노 15ml, 라임즙 22.5ml, 자몽 주스 15ml, 가니쉬 라임 or 자몽 조각, 체리")</f>
        <v>화이트 럼 60ml, 마라스키노 15ml, 라임즙 22.5ml, 자몽 주스 15ml, 가니쉬 라임 or 자몽 조각, 체리</v>
      </c>
      <c r="F400" s="5"/>
    </row>
    <row r="401">
      <c r="A401" s="5" t="str">
        <f>IFERROR(__xludf.DUMMYFUNCTION("""COMPUTED_VALUE"""),"파파스머프")</f>
        <v>파파스머프</v>
      </c>
      <c r="B401" s="5" t="str">
        <f>IFERROR(__xludf.DUMMYFUNCTION("""COMPUTED_VALUE"""),"보드카")</f>
        <v>보드카</v>
      </c>
      <c r="C401" s="5" t="str">
        <f>IFERROR(__xludf.DUMMYFUNCTION("""COMPUTED_VALUE"""),"쉐이킹 or 빌드")</f>
        <v>쉐이킹 or 빌드</v>
      </c>
      <c r="D401" s="8">
        <f>IFERROR(__xludf.DUMMYFUNCTION("""COMPUTED_VALUE"""),0.0)</f>
        <v>0</v>
      </c>
      <c r="E401" s="5" t="str">
        <f>IFERROR(__xludf.DUMMYFUNCTION("""COMPUTED_VALUE"""),"말리부 30ml, 보드카 30ml, 블루 큐라소 15ml, 사워믹스 30ml, 라임즙 15ml, 사이다 풀업(쉐이킹 후)")</f>
        <v>말리부 30ml, 보드카 30ml, 블루 큐라소 15ml, 사워믹스 30ml, 라임즙 15ml, 사이다 풀업(쉐이킹 후)</v>
      </c>
      <c r="F401" s="5"/>
    </row>
    <row r="402">
      <c r="A402" s="5" t="str">
        <f>IFERROR(__xludf.DUMMYFUNCTION("""COMPUTED_VALUE"""),"퍼지 네이블")</f>
        <v>퍼지 네이블</v>
      </c>
      <c r="B402" s="5" t="str">
        <f>IFERROR(__xludf.DUMMYFUNCTION("""COMPUTED_VALUE"""),"피치트리")</f>
        <v>피치트리</v>
      </c>
      <c r="C402" s="5" t="str">
        <f>IFERROR(__xludf.DUMMYFUNCTION("""COMPUTED_VALUE"""),"빌드 or 쉐이킹")</f>
        <v>빌드 or 쉐이킹</v>
      </c>
      <c r="D402" s="8">
        <f>IFERROR(__xludf.DUMMYFUNCTION("""COMPUTED_VALUE"""),0.0)</f>
        <v>0</v>
      </c>
      <c r="E402" s="5" t="str">
        <f>IFERROR(__xludf.DUMMYFUNCTION("""COMPUTED_VALUE"""),"피치트리 45ml, 오렌지 주스 120ml, 오렌지 웨지")</f>
        <v>피치트리 45ml, 오렌지 주스 120ml, 오렌지 웨지</v>
      </c>
      <c r="F402" s="5"/>
    </row>
    <row r="403">
      <c r="A403" s="5" t="str">
        <f>IFERROR(__xludf.DUMMYFUNCTION("""COMPUTED_VALUE"""),"페인 킬러")</f>
        <v>페인 킬러</v>
      </c>
      <c r="B403" s="5" t="str">
        <f>IFERROR(__xludf.DUMMYFUNCTION("""COMPUTED_VALUE"""),"럼")</f>
        <v>럼</v>
      </c>
      <c r="C403" s="5" t="str">
        <f>IFERROR(__xludf.DUMMYFUNCTION("""COMPUTED_VALUE"""),"쉐이킹")</f>
        <v>쉐이킹</v>
      </c>
      <c r="D403" s="8">
        <f>IFERROR(__xludf.DUMMYFUNCTION("""COMPUTED_VALUE"""),0.0)</f>
        <v>0</v>
      </c>
      <c r="E403" s="5" t="str">
        <f>IFERROR(__xludf.DUMMYFUNCTION("""COMPUTED_VALUE"""),"화이트 럼 40ml, 파인애플 주스 90m, 오렌지 주스 30ml, 말리부 40ml")</f>
        <v>화이트 럼 40ml, 파인애플 주스 90m, 오렌지 주스 30ml, 말리부 40ml</v>
      </c>
      <c r="F403" s="5"/>
    </row>
    <row r="404">
      <c r="A404" s="5" t="str">
        <f>IFERROR(__xludf.DUMMYFUNCTION("""COMPUTED_VALUE"""),"페퍼민트 스틱")</f>
        <v>페퍼민트 스틱</v>
      </c>
      <c r="B404" s="5" t="str">
        <f>IFERROR(__xludf.DUMMYFUNCTION("""COMPUTED_VALUE"""),"리큐르")</f>
        <v>리큐르</v>
      </c>
      <c r="C404" s="5" t="str">
        <f>IFERROR(__xludf.DUMMYFUNCTION("""COMPUTED_VALUE"""),"쉐이킹")</f>
        <v>쉐이킹</v>
      </c>
      <c r="D404" s="8">
        <f>IFERROR(__xludf.DUMMYFUNCTION("""COMPUTED_VALUE"""),0.0)</f>
        <v>0</v>
      </c>
      <c r="E404" s="5" t="str">
        <f>IFERROR(__xludf.DUMMYFUNCTION("""COMPUTED_VALUE"""),"크렘 드 카카오 화이트 45ml, 크림 30ml, 크렘 드 민트 화이트 30ml")</f>
        <v>크렘 드 카카오 화이트 45ml, 크림 30ml, 크렘 드 민트 화이트 30ml</v>
      </c>
      <c r="F404" s="5"/>
    </row>
    <row r="405">
      <c r="A405" s="5" t="str">
        <f>IFERROR(__xludf.DUMMYFUNCTION("""COMPUTED_VALUE"""),"폴라 숏컷")</f>
        <v>폴라 숏컷</v>
      </c>
      <c r="B405" s="5" t="str">
        <f>IFERROR(__xludf.DUMMYFUNCTION("""COMPUTED_VALUE"""),"혼합")</f>
        <v>혼합</v>
      </c>
      <c r="C405" s="5" t="str">
        <f>IFERROR(__xludf.DUMMYFUNCTION("""COMPUTED_VALUE"""),"스터")</f>
        <v>스터</v>
      </c>
      <c r="D405" s="8">
        <f>IFERROR(__xludf.DUMMYFUNCTION("""COMPUTED_VALUE"""),0.0)</f>
        <v>0</v>
      </c>
      <c r="E405" s="5" t="str">
        <f>IFERROR(__xludf.DUMMYFUNCTION("""COMPUTED_VALUE"""),"다크럼 15ml, 코앵트로 15ml, 체리 브랜디 15ml, 드라이 베르뭇 15ml")</f>
        <v>다크럼 15ml, 코앵트로 15ml, 체리 브랜디 15ml, 드라이 베르뭇 15ml</v>
      </c>
      <c r="F405" s="5"/>
    </row>
    <row r="406">
      <c r="A406" s="5" t="str">
        <f>IFERROR(__xludf.DUMMYFUNCTION("""COMPUTED_VALUE"""),"푸스 카페")</f>
        <v>푸스 카페</v>
      </c>
      <c r="B406" s="5" t="str">
        <f>IFERROR(__xludf.DUMMYFUNCTION("""COMPUTED_VALUE"""),"리큐르")</f>
        <v>리큐르</v>
      </c>
      <c r="C406" s="5" t="str">
        <f>IFERROR(__xludf.DUMMYFUNCTION("""COMPUTED_VALUE"""),"플로팅")</f>
        <v>플로팅</v>
      </c>
      <c r="D406" s="8">
        <f>IFERROR(__xludf.DUMMYFUNCTION("""COMPUTED_VALUE"""),0.0)</f>
        <v>0</v>
      </c>
      <c r="E406" s="5" t="str">
        <f>IFERROR(__xludf.DUMMYFUNCTION("""COMPUTED_VALUE"""),"그레나딘 시럽 1/5, 깔루아 1/5, 크렘 드 민트 그린 1/5, 갈리아노 1/5, 블루 큐라소 1/5 순서대로 플로팅")</f>
        <v>그레나딘 시럽 1/5, 깔루아 1/5, 크렘 드 민트 그린 1/5, 갈리아노 1/5, 블루 큐라소 1/5 순서대로 플로팅</v>
      </c>
      <c r="F406" s="5"/>
    </row>
    <row r="407">
      <c r="A407" s="5" t="str">
        <f>IFERROR(__xludf.DUMMYFUNCTION("""COMPUTED_VALUE"""),"프라이드")</f>
        <v>프라이드</v>
      </c>
      <c r="B407" s="5" t="str">
        <f>IFERROR(__xludf.DUMMYFUNCTION("""COMPUTED_VALUE"""),"진")</f>
        <v>진</v>
      </c>
      <c r="C407" s="5" t="str">
        <f>IFERROR(__xludf.DUMMYFUNCTION("""COMPUTED_VALUE"""),"쉐이킹")</f>
        <v>쉐이킹</v>
      </c>
      <c r="D407" s="8">
        <f>IFERROR(__xludf.DUMMYFUNCTION("""COMPUTED_VALUE"""),0.0)</f>
        <v>0</v>
      </c>
      <c r="E407" s="5" t="str">
        <f>IFERROR(__xludf.DUMMYFUNCTION("""COMPUTED_VALUE"""),"진 45ml, 말리부 15ml, 그레나딘 시럽 15ml, 오렌지 주스 45ml, 사워믹스 45ml")</f>
        <v>진 45ml, 말리부 15ml, 그레나딘 시럽 15ml, 오렌지 주스 45ml, 사워믹스 45ml</v>
      </c>
      <c r="F407" s="5"/>
    </row>
    <row r="408">
      <c r="A408" s="5" t="str">
        <f>IFERROR(__xludf.DUMMYFUNCTION("""COMPUTED_VALUE"""),"프랑스 맨해튼")</f>
        <v>프랑스 맨해튼</v>
      </c>
      <c r="B408" s="5" t="str">
        <f>IFERROR(__xludf.DUMMYFUNCTION("""COMPUTED_VALUE"""),"꼬냑 or 브랜디")</f>
        <v>꼬냑 or 브랜디</v>
      </c>
      <c r="C408" s="5" t="str">
        <f>IFERROR(__xludf.DUMMYFUNCTION("""COMPUTED_VALUE"""),"스터")</f>
        <v>스터</v>
      </c>
      <c r="D408" s="8">
        <f>IFERROR(__xludf.DUMMYFUNCTION("""COMPUTED_VALUE"""),0.0)</f>
        <v>0</v>
      </c>
      <c r="E408" s="5" t="str">
        <f>IFERROR(__xludf.DUMMYFUNCTION("""COMPUTED_VALUE"""),"꼬냑 or 브랜디 45ml, 스윗 베르뭇 45ml, 오렌지 큐라소 7.5ml, 오렌지 비터 1~2대쉬")</f>
        <v>꼬냑 or 브랜디 45ml, 스윗 베르뭇 45ml, 오렌지 큐라소 7.5ml, 오렌지 비터 1~2대쉬</v>
      </c>
      <c r="F408" s="5"/>
    </row>
    <row r="409">
      <c r="A409" s="5" t="str">
        <f>IFERROR(__xludf.DUMMYFUNCTION("""COMPUTED_VALUE"""),"프레디 푸드 퍼커")</f>
        <v>프레디 푸드 퍼커</v>
      </c>
      <c r="B409" s="5" t="str">
        <f>IFERROR(__xludf.DUMMYFUNCTION("""COMPUTED_VALUE"""),"데낄라")</f>
        <v>데낄라</v>
      </c>
      <c r="C409" s="5" t="str">
        <f>IFERROR(__xludf.DUMMYFUNCTION("""COMPUTED_VALUE"""),"빌드")</f>
        <v>빌드</v>
      </c>
      <c r="D409" s="8">
        <f>IFERROR(__xludf.DUMMYFUNCTION("""COMPUTED_VALUE"""),0.0)</f>
        <v>0</v>
      </c>
      <c r="E409" s="5" t="str">
        <f>IFERROR(__xludf.DUMMYFUNCTION("""COMPUTED_VALUE"""),"블랑코 데낄라 60ml, 오렌지 주스 90ml, 갈리아노 or 삼부카 15ml")</f>
        <v>블랑코 데낄라 60ml, 오렌지 주스 90ml, 갈리아노 or 삼부카 15ml</v>
      </c>
      <c r="F409" s="5"/>
    </row>
    <row r="410">
      <c r="A410" s="5" t="str">
        <f>IFERROR(__xludf.DUMMYFUNCTION("""COMPUTED_VALUE"""),"프렌치 75")</f>
        <v>프렌치 75</v>
      </c>
      <c r="B410" s="5" t="str">
        <f>IFERROR(__xludf.DUMMYFUNCTION("""COMPUTED_VALUE"""),"진")</f>
        <v>진</v>
      </c>
      <c r="C410" s="5" t="str">
        <f>IFERROR(__xludf.DUMMYFUNCTION("""COMPUTED_VALUE"""),"쉐이킹")</f>
        <v>쉐이킹</v>
      </c>
      <c r="D410" s="8">
        <f>IFERROR(__xludf.DUMMYFUNCTION("""COMPUTED_VALUE"""),0.0)</f>
        <v>0</v>
      </c>
      <c r="E410" s="5" t="str">
        <f>IFERROR(__xludf.DUMMYFUNCTION("""COMPUTED_VALUE"""),"드라이 진 45ml, 레몬즙 22ml, 설탕시럽 15ml, 쉐이킹 후 샴페인 필업")</f>
        <v>드라이 진 45ml, 레몬즙 22ml, 설탕시럽 15ml, 쉐이킹 후 샴페인 필업</v>
      </c>
      <c r="F410" s="5"/>
    </row>
    <row r="411">
      <c r="A411" s="5" t="str">
        <f>IFERROR(__xludf.DUMMYFUNCTION("""COMPUTED_VALUE"""),"프렌치 키스")</f>
        <v>프렌치 키스</v>
      </c>
      <c r="B411" s="5" t="str">
        <f>IFERROR(__xludf.DUMMYFUNCTION("""COMPUTED_VALUE"""),"럼")</f>
        <v>럼</v>
      </c>
      <c r="C411" s="5" t="str">
        <f>IFERROR(__xludf.DUMMYFUNCTION("""COMPUTED_VALUE"""),"쉐이킹")</f>
        <v>쉐이킹</v>
      </c>
      <c r="D411" s="8">
        <f>IFERROR(__xludf.DUMMYFUNCTION("""COMPUTED_VALUE"""),0.0)</f>
        <v>0</v>
      </c>
      <c r="E411" s="5" t="str">
        <f>IFERROR(__xludf.DUMMYFUNCTION("""COMPUTED_VALUE"""),"화이트 럼 15ml, 피치트리 15ml, 말리부 15ml, 그레나딘 시럽 15ml, 사워믹스 45ml, 크렌베리 주스 45ml")</f>
        <v>화이트 럼 15ml, 피치트리 15ml, 말리부 15ml, 그레나딘 시럽 15ml, 사워믹스 45ml, 크렌베리 주스 45ml</v>
      </c>
      <c r="F411" s="5"/>
    </row>
    <row r="412">
      <c r="A412" s="5" t="str">
        <f>IFERROR(__xludf.DUMMYFUNCTION("""COMPUTED_VALUE"""),"프렌치 키스2")</f>
        <v>프렌치 키스2</v>
      </c>
      <c r="B412" s="5" t="str">
        <f>IFERROR(__xludf.DUMMYFUNCTION("""COMPUTED_VALUE"""),"X레이티드")</f>
        <v>X레이티드</v>
      </c>
      <c r="C412" s="5" t="str">
        <f>IFERROR(__xludf.DUMMYFUNCTION("""COMPUTED_VALUE"""),"쉐이킹")</f>
        <v>쉐이킹</v>
      </c>
      <c r="D412" s="8">
        <f>IFERROR(__xludf.DUMMYFUNCTION("""COMPUTED_VALUE"""),0.0)</f>
        <v>0</v>
      </c>
      <c r="E412" s="5" t="str">
        <f>IFERROR(__xludf.DUMMYFUNCTION("""COMPUTED_VALUE"""),"X레이티드 30ml, 보드카 30ml, 사워믹스 30ml")</f>
        <v>X레이티드 30ml, 보드카 30ml, 사워믹스 30ml</v>
      </c>
      <c r="F412" s="5"/>
    </row>
    <row r="413">
      <c r="A413" s="5" t="str">
        <f>IFERROR(__xludf.DUMMYFUNCTION("""COMPUTED_VALUE"""),"플라밍고")</f>
        <v>플라밍고</v>
      </c>
      <c r="B413" s="5" t="str">
        <f>IFERROR(__xludf.DUMMYFUNCTION("""COMPUTED_VALUE"""),"럼")</f>
        <v>럼</v>
      </c>
      <c r="C413" s="5" t="str">
        <f>IFERROR(__xludf.DUMMYFUNCTION("""COMPUTED_VALUE"""),"쉐이킹")</f>
        <v>쉐이킹</v>
      </c>
      <c r="D413" s="8">
        <f>IFERROR(__xludf.DUMMYFUNCTION("""COMPUTED_VALUE"""),0.0)</f>
        <v>0</v>
      </c>
      <c r="E413" s="5" t="str">
        <f>IFERROR(__xludf.DUMMYFUNCTION("""COMPUTED_VALUE"""),"화이트 럼 60ml, 라임즙 22.5ml, 쉐이킹 후 자몽 소다 90ml")</f>
        <v>화이트 럼 60ml, 라임즙 22.5ml, 쉐이킹 후 자몽 소다 90ml</v>
      </c>
      <c r="F413" s="5"/>
    </row>
    <row r="414">
      <c r="A414" s="5" t="str">
        <f>IFERROR(__xludf.DUMMYFUNCTION("""COMPUTED_VALUE"""),"피냐 콜라다")</f>
        <v>피냐 콜라다</v>
      </c>
      <c r="B414" s="5" t="str">
        <f>IFERROR(__xludf.DUMMYFUNCTION("""COMPUTED_VALUE"""),"럼")</f>
        <v>럼</v>
      </c>
      <c r="C414" s="5" t="str">
        <f>IFERROR(__xludf.DUMMYFUNCTION("""COMPUTED_VALUE"""),"쉐이킹")</f>
        <v>쉐이킹</v>
      </c>
      <c r="D414" s="8">
        <f>IFERROR(__xludf.DUMMYFUNCTION("""COMPUTED_VALUE"""),0.0)</f>
        <v>0</v>
      </c>
      <c r="E414" s="5" t="str">
        <f>IFERROR(__xludf.DUMMYFUNCTION("""COMPUTED_VALUE"""),"화이트 럼 40ml, 파인애플 주스 120ml, 말리부 or 코코넛 밀크 30ml, 설탕 2티스푼")</f>
        <v>화이트 럼 40ml, 파인애플 주스 120ml, 말리부 or 코코넛 밀크 30ml, 설탕 2티스푼</v>
      </c>
      <c r="F414" s="5"/>
    </row>
    <row r="415">
      <c r="A415" s="5" t="str">
        <f>IFERROR(__xludf.DUMMYFUNCTION("""COMPUTED_VALUE"""),"피냐 콜라다2")</f>
        <v>피냐 콜라다2</v>
      </c>
      <c r="B415" s="5" t="str">
        <f>IFERROR(__xludf.DUMMYFUNCTION("""COMPUTED_VALUE"""),"럼")</f>
        <v>럼</v>
      </c>
      <c r="C415" s="5" t="str">
        <f>IFERROR(__xludf.DUMMYFUNCTION("""COMPUTED_VALUE"""),"블렌딩")</f>
        <v>블렌딩</v>
      </c>
      <c r="D415" s="8">
        <f>IFERROR(__xludf.DUMMYFUNCTION("""COMPUTED_VALUE"""),0.0)</f>
        <v>0</v>
      </c>
      <c r="E415" s="5" t="str">
        <f>IFERROR(__xludf.DUMMYFUNCTION("""COMPUTED_VALUE"""),"파인애플 100g, 설탕 2대쉬, 화이트 럼 40ml, 골드or다크럼 20ml, 말리부 25ml, 레몬즙 약간, 코코넛 밀크 20~25ml")</f>
        <v>파인애플 100g, 설탕 2대쉬, 화이트 럼 40ml, 골드or다크럼 20ml, 말리부 25ml, 레몬즙 약간, 코코넛 밀크 20~25ml</v>
      </c>
      <c r="F415" s="5"/>
    </row>
    <row r="416">
      <c r="A416" s="5" t="str">
        <f>IFERROR(__xludf.DUMMYFUNCTION("""COMPUTED_VALUE"""),"피치 코코")</f>
        <v>피치 코코</v>
      </c>
      <c r="B416" s="5" t="str">
        <f>IFERROR(__xludf.DUMMYFUNCTION("""COMPUTED_VALUE"""),"피치트리")</f>
        <v>피치트리</v>
      </c>
      <c r="C416" s="5" t="str">
        <f>IFERROR(__xludf.DUMMYFUNCTION("""COMPUTED_VALUE"""),"쉐이킹")</f>
        <v>쉐이킹</v>
      </c>
      <c r="D416" s="8">
        <f>IFERROR(__xludf.DUMMYFUNCTION("""COMPUTED_VALUE"""),0.0)</f>
        <v>0</v>
      </c>
      <c r="E416" s="5" t="str">
        <f>IFERROR(__xludf.DUMMYFUNCTION("""COMPUTED_VALUE"""),"피치트리 30ml, 말리부 30ml, 크렌베리 주스 60ml, 오렌지 주스 60ml")</f>
        <v>피치트리 30ml, 말리부 30ml, 크렌베리 주스 60ml, 오렌지 주스 60ml</v>
      </c>
      <c r="F416" s="5"/>
    </row>
    <row r="417">
      <c r="A417" s="5" t="str">
        <f>IFERROR(__xludf.DUMMYFUNCTION("""COMPUTED_VALUE"""),"피치 크러쉬")</f>
        <v>피치 크러쉬</v>
      </c>
      <c r="B417" s="5" t="str">
        <f>IFERROR(__xludf.DUMMYFUNCTION("""COMPUTED_VALUE"""),"피치트리")</f>
        <v>피치트리</v>
      </c>
      <c r="C417" s="5" t="str">
        <f>IFERROR(__xludf.DUMMYFUNCTION("""COMPUTED_VALUE"""),"쉐이킹")</f>
        <v>쉐이킹</v>
      </c>
      <c r="D417" s="8">
        <f>IFERROR(__xludf.DUMMYFUNCTION("""COMPUTED_VALUE"""),8.0)</f>
        <v>8</v>
      </c>
      <c r="E417" s="5" t="str">
        <f>IFERROR(__xludf.DUMMYFUNCTION("""COMPUTED_VALUE"""),"피치트리 45ml, 레몬즙 15ml, 사워믹스 30ml, 크렌베리 주스 60ml ")</f>
        <v>피치트리 45ml, 레몬즙 15ml, 사워믹스 30ml, 크렌베리 주스 60ml </v>
      </c>
      <c r="F417" s="5" t="str">
        <f>IFERROR(__xludf.DUMMYFUNCTION("""COMPUTED_VALUE"""),"무난 스테디 셀러")</f>
        <v>무난 스테디 셀러</v>
      </c>
    </row>
    <row r="418">
      <c r="A418" s="5" t="str">
        <f>IFERROR(__xludf.DUMMYFUNCTION("""COMPUTED_VALUE"""),"피치 크러쉬2")</f>
        <v>피치 크러쉬2</v>
      </c>
      <c r="B418" s="5" t="str">
        <f>IFERROR(__xludf.DUMMYFUNCTION("""COMPUTED_VALUE"""),"피치트리")</f>
        <v>피치트리</v>
      </c>
      <c r="C418" s="5" t="str">
        <f>IFERROR(__xludf.DUMMYFUNCTION("""COMPUTED_VALUE"""),"빌드")</f>
        <v>빌드</v>
      </c>
      <c r="D418" s="8">
        <f>IFERROR(__xludf.DUMMYFUNCTION("""COMPUTED_VALUE"""),0.0)</f>
        <v>0</v>
      </c>
      <c r="E418" s="5" t="str">
        <f>IFERROR(__xludf.DUMMYFUNCTION("""COMPUTED_VALUE"""),"피치트리 30ml, 사워믹스 60ml, 크렌베리 주스 60ml, 체리 2조각, 레몬 슬라이스")</f>
        <v>피치트리 30ml, 사워믹스 60ml, 크렌베리 주스 60ml, 체리 2조각, 레몬 슬라이스</v>
      </c>
      <c r="F418" s="5"/>
    </row>
    <row r="419">
      <c r="A419" s="5" t="str">
        <f>IFERROR(__xludf.DUMMYFUNCTION("""COMPUTED_VALUE"""),"필리버스터")</f>
        <v>필리버스터</v>
      </c>
      <c r="B419" s="5" t="str">
        <f>IFERROR(__xludf.DUMMYFUNCTION("""COMPUTED_VALUE"""),"위스키")</f>
        <v>위스키</v>
      </c>
      <c r="C419" s="5" t="str">
        <f>IFERROR(__xludf.DUMMYFUNCTION("""COMPUTED_VALUE"""),"쉐이킹")</f>
        <v>쉐이킹</v>
      </c>
      <c r="D419" s="8">
        <f>IFERROR(__xludf.DUMMYFUNCTION("""COMPUTED_VALUE"""),0.0)</f>
        <v>0</v>
      </c>
      <c r="E419" s="5" t="str">
        <f>IFERROR(__xludf.DUMMYFUNCTION("""COMPUTED_VALUE"""),"라이 or 버번 위스키 60ml, 레몬즙 22.5ml, 메이플 시럽 15ml, 계란 흰자 1개, 비터 3대쉬, 드라이 쉐이킹 후 쉐이킹")</f>
        <v>라이 or 버번 위스키 60ml, 레몬즙 22.5ml, 메이플 시럽 15ml, 계란 흰자 1개, 비터 3대쉬, 드라이 쉐이킹 후 쉐이킹</v>
      </c>
      <c r="F419" s="5"/>
    </row>
    <row r="420">
      <c r="A420" s="5" t="str">
        <f>IFERROR(__xludf.DUMMYFUNCTION("""COMPUTED_VALUE"""),"핑크 레이디")</f>
        <v>핑크 레이디</v>
      </c>
      <c r="B420" s="5" t="str">
        <f>IFERROR(__xludf.DUMMYFUNCTION("""COMPUTED_VALUE"""),"진")</f>
        <v>진</v>
      </c>
      <c r="C420" s="5" t="str">
        <f>IFERROR(__xludf.DUMMYFUNCTION("""COMPUTED_VALUE"""),"쉐이킹")</f>
        <v>쉐이킹</v>
      </c>
      <c r="D420" s="8">
        <f>IFERROR(__xludf.DUMMYFUNCTION("""COMPUTED_VALUE"""),0.0)</f>
        <v>0</v>
      </c>
      <c r="E420" s="5" t="str">
        <f>IFERROR(__xludf.DUMMYFUNCTION("""COMPUTED_VALUE"""),"진 45ml, 그레나딘 시럽 23ml, 달걀 흰자 1개")</f>
        <v>진 45ml, 그레나딘 시럽 23ml, 달걀 흰자 1개</v>
      </c>
      <c r="F420" s="5"/>
    </row>
    <row r="421">
      <c r="A421" s="5" t="str">
        <f>IFERROR(__xludf.DUMMYFUNCTION("""COMPUTED_VALUE"""),"핑크 레이디2")</f>
        <v>핑크 레이디2</v>
      </c>
      <c r="B421" s="5" t="str">
        <f>IFERROR(__xludf.DUMMYFUNCTION("""COMPUTED_VALUE"""),"진")</f>
        <v>진</v>
      </c>
      <c r="C421" s="5" t="str">
        <f>IFERROR(__xludf.DUMMYFUNCTION("""COMPUTED_VALUE"""),"쉐이킹")</f>
        <v>쉐이킹</v>
      </c>
      <c r="D421" s="8">
        <f>IFERROR(__xludf.DUMMYFUNCTION("""COMPUTED_VALUE"""),0.0)</f>
        <v>0</v>
      </c>
      <c r="E421" s="5" t="str">
        <f>IFERROR(__xludf.DUMMYFUNCTION("""COMPUTED_VALUE"""),"드라이 진 30ml, 그레나딘 시럽 1티스푼, 우유 60ml")</f>
        <v>드라이 진 30ml, 그레나딘 시럽 1티스푼, 우유 60ml</v>
      </c>
      <c r="F421" s="5"/>
    </row>
    <row r="422">
      <c r="A422" s="5" t="str">
        <f>IFERROR(__xludf.DUMMYFUNCTION("""COMPUTED_VALUE"""),"핑크-A-콜라다")</f>
        <v>핑크-A-콜라다</v>
      </c>
      <c r="B422" s="5" t="str">
        <f>IFERROR(__xludf.DUMMYFUNCTION("""COMPUTED_VALUE"""),"럼")</f>
        <v>럼</v>
      </c>
      <c r="C422" s="5" t="str">
        <f>IFERROR(__xludf.DUMMYFUNCTION("""COMPUTED_VALUE"""),"쉐이킹")</f>
        <v>쉐이킹</v>
      </c>
      <c r="D422" s="8">
        <f>IFERROR(__xludf.DUMMYFUNCTION("""COMPUTED_VALUE"""),0.0)</f>
        <v>0</v>
      </c>
      <c r="E422" s="5" t="str">
        <f>IFERROR(__xludf.DUMMYFUNCTION("""COMPUTED_VALUE"""),"말리부 60ml, 코코넛 워터 60ml, 파인애플 주스 45ml, 크렌베리 주스 90ml")</f>
        <v>말리부 60ml, 코코넛 워터 60ml, 파인애플 주스 45ml, 크렌베리 주스 90ml</v>
      </c>
      <c r="F422" s="5"/>
    </row>
    <row r="423">
      <c r="A423" s="5" t="str">
        <f>IFERROR(__xludf.DUMMYFUNCTION("""COMPUTED_VALUE"""),"핑퐁")</f>
        <v>핑퐁</v>
      </c>
      <c r="B423" s="5" t="str">
        <f>IFERROR(__xludf.DUMMYFUNCTION("""COMPUTED_VALUE"""),"진")</f>
        <v>진</v>
      </c>
      <c r="C423" s="5" t="str">
        <f>IFERROR(__xludf.DUMMYFUNCTION("""COMPUTED_VALUE"""),"쉐이킹")</f>
        <v>쉐이킹</v>
      </c>
      <c r="D423" s="8">
        <f>IFERROR(__xludf.DUMMYFUNCTION("""COMPUTED_VALUE"""),0.0)</f>
        <v>0</v>
      </c>
      <c r="E423" s="5" t="str">
        <f>IFERROR(__xludf.DUMMYFUNCTION("""COMPUTED_VALUE"""),"진 30ml, 파르페 30ml, 레몬즙 15ml")</f>
        <v>진 30ml, 파르페 30ml, 레몬즙 15ml</v>
      </c>
      <c r="F423" s="5"/>
    </row>
    <row r="424">
      <c r="A424" s="5" t="str">
        <f>IFERROR(__xludf.DUMMYFUNCTION("""COMPUTED_VALUE"""),"하바나 비치")</f>
        <v>하바나 비치</v>
      </c>
      <c r="B424" s="5" t="str">
        <f>IFERROR(__xludf.DUMMYFUNCTION("""COMPUTED_VALUE"""),"럼")</f>
        <v>럼</v>
      </c>
      <c r="C424" s="5" t="str">
        <f>IFERROR(__xludf.DUMMYFUNCTION("""COMPUTED_VALUE"""),"블렌딩")</f>
        <v>블렌딩</v>
      </c>
      <c r="D424" s="8">
        <f>IFERROR(__xludf.DUMMYFUNCTION("""COMPUTED_VALUE"""),0.0)</f>
        <v>0</v>
      </c>
      <c r="E424" s="5" t="str">
        <f>IFERROR(__xludf.DUMMYFUNCTION("""COMPUTED_VALUE"""),"화이트 럼 30ml, 파인애플 주스 30ml, 시럽 15ml, 레몬즙 반개, 진저에일 필업(블렌딩 후)")</f>
        <v>화이트 럼 30ml, 파인애플 주스 30ml, 시럽 15ml, 레몬즙 반개, 진저에일 필업(블렌딩 후)</v>
      </c>
      <c r="F424" s="5"/>
    </row>
    <row r="425">
      <c r="A425" s="5" t="str">
        <f>IFERROR(__xludf.DUMMYFUNCTION("""COMPUTED_VALUE"""),"하베스트 문")</f>
        <v>하베스트 문</v>
      </c>
      <c r="B425" s="5" t="str">
        <f>IFERROR(__xludf.DUMMYFUNCTION("""COMPUTED_VALUE"""),"애플 브랜디")</f>
        <v>애플 브랜디</v>
      </c>
      <c r="C425" s="5" t="str">
        <f>IFERROR(__xludf.DUMMYFUNCTION("""COMPUTED_VALUE"""),"쉐이킹")</f>
        <v>쉐이킹</v>
      </c>
      <c r="D425" s="8">
        <f>IFERROR(__xludf.DUMMYFUNCTION("""COMPUTED_VALUE"""),0.0)</f>
        <v>0</v>
      </c>
      <c r="E425" s="5" t="str">
        <f>IFERROR(__xludf.DUMMYFUNCTION("""COMPUTED_VALUE"""),"애플 브랜디 45ml, 라임 or 레몬즙 15ml, 오르쟈 시럽 15ml")</f>
        <v>애플 브랜디 45ml, 라임 or 레몬즙 15ml, 오르쟈 시럽 15ml</v>
      </c>
      <c r="F425" s="5"/>
    </row>
    <row r="426">
      <c r="A426" s="5" t="str">
        <f>IFERROR(__xludf.DUMMYFUNCTION("""COMPUTED_VALUE"""),"하베스트 사워")</f>
        <v>하베스트 사워</v>
      </c>
      <c r="B426" s="5" t="str">
        <f>IFERROR(__xludf.DUMMYFUNCTION("""COMPUTED_VALUE"""),"혼합")</f>
        <v>혼합</v>
      </c>
      <c r="C426" s="5" t="str">
        <f>IFERROR(__xludf.DUMMYFUNCTION("""COMPUTED_VALUE"""),"쉐이킹")</f>
        <v>쉐이킹</v>
      </c>
      <c r="D426" s="8">
        <f>IFERROR(__xludf.DUMMYFUNCTION("""COMPUTED_VALUE"""),0.0)</f>
        <v>0</v>
      </c>
      <c r="E426" s="5" t="str">
        <f>IFERROR(__xludf.DUMMYFUNCTION("""COMPUTED_VALUE"""),"라이 위스키 30ml, 애플 브랜디 30ml, 레몬즙 22.5ml, 심플시럽 22.5ml, 계란 흰자 1개, 드라이 쉐이킹 후 쉐이킹, 가니쉬 계피가루 한꼬집")</f>
        <v>라이 위스키 30ml, 애플 브랜디 30ml, 레몬즙 22.5ml, 심플시럽 22.5ml, 계란 흰자 1개, 드라이 쉐이킹 후 쉐이킹, 가니쉬 계피가루 한꼬집</v>
      </c>
      <c r="F426" s="5"/>
    </row>
    <row r="427">
      <c r="A427" s="5" t="str">
        <f>IFERROR(__xludf.DUMMYFUNCTION("""COMPUTED_VALUE"""),"하비 월뱅어")</f>
        <v>하비 월뱅어</v>
      </c>
      <c r="B427" s="5" t="str">
        <f>IFERROR(__xludf.DUMMYFUNCTION("""COMPUTED_VALUE"""),"보드카")</f>
        <v>보드카</v>
      </c>
      <c r="C427" s="5" t="str">
        <f>IFERROR(__xludf.DUMMYFUNCTION("""COMPUTED_VALUE"""),"빌드")</f>
        <v>빌드</v>
      </c>
      <c r="D427" s="8">
        <f>IFERROR(__xludf.DUMMYFUNCTION("""COMPUTED_VALUE"""),0.0)</f>
        <v>0</v>
      </c>
      <c r="E427" s="5" t="str">
        <f>IFERROR(__xludf.DUMMYFUNCTION("""COMPUTED_VALUE"""),"보드카 60ml, 오렌지 주스 90ml, 갈리아노 15ml")</f>
        <v>보드카 60ml, 오렌지 주스 90ml, 갈리아노 15ml</v>
      </c>
      <c r="F427" s="5"/>
    </row>
    <row r="428">
      <c r="A428" s="5" t="str">
        <f>IFERROR(__xludf.DUMMYFUNCTION("""COMPUTED_VALUE"""),"하와이안 보드카")</f>
        <v>하와이안 보드카</v>
      </c>
      <c r="B428" s="5" t="str">
        <f>IFERROR(__xludf.DUMMYFUNCTION("""COMPUTED_VALUE"""),"보드카")</f>
        <v>보드카</v>
      </c>
      <c r="C428" s="5" t="str">
        <f>IFERROR(__xludf.DUMMYFUNCTION("""COMPUTED_VALUE"""),"쉐이킹")</f>
        <v>쉐이킹</v>
      </c>
      <c r="D428" s="8">
        <f>IFERROR(__xludf.DUMMYFUNCTION("""COMPUTED_VALUE"""),0.0)</f>
        <v>0</v>
      </c>
      <c r="E428" s="5" t="str">
        <f>IFERROR(__xludf.DUMMYFUNCTION("""COMPUTED_VALUE"""),"보드카 60 or 90ml, 오렌지 주스 30ml, 레몬즙 30ml, 파인애플 주스 30ml, 그레나딘 시럽 1티스푼")</f>
        <v>보드카 60 or 90ml, 오렌지 주스 30ml, 레몬즙 30ml, 파인애플 주스 30ml, 그레나딘 시럽 1티스푼</v>
      </c>
      <c r="F428" s="5"/>
    </row>
    <row r="429">
      <c r="A429" s="5" t="str">
        <f>IFERROR(__xludf.DUMMYFUNCTION("""COMPUTED_VALUE"""),"하와이안 선셋")</f>
        <v>하와이안 선셋</v>
      </c>
      <c r="B429" s="5" t="str">
        <f>IFERROR(__xludf.DUMMYFUNCTION("""COMPUTED_VALUE"""),"보드카")</f>
        <v>보드카</v>
      </c>
      <c r="C429" s="5" t="str">
        <f>IFERROR(__xludf.DUMMYFUNCTION("""COMPUTED_VALUE"""),"쉐이킹")</f>
        <v>쉐이킹</v>
      </c>
      <c r="D429" s="8">
        <f>IFERROR(__xludf.DUMMYFUNCTION("""COMPUTED_VALUE"""),0.0)</f>
        <v>0</v>
      </c>
      <c r="E429" s="5" t="str">
        <f>IFERROR(__xludf.DUMMYFUNCTION("""COMPUTED_VALUE"""),"보드카 45ml, 오르쟈 시럽 15ml, 레몬즙 15ml, 라임즙 15ml, 그레나딘 시럽 1티스푼, 라임웻지")</f>
        <v>보드카 45ml, 오르쟈 시럽 15ml, 레몬즙 15ml, 라임즙 15ml, 그레나딘 시럽 1티스푼, 라임웻지</v>
      </c>
      <c r="F429" s="5"/>
    </row>
    <row r="430">
      <c r="A430" s="5" t="str">
        <f>IFERROR(__xludf.DUMMYFUNCTION("""COMPUTED_VALUE"""),"하와이안 펀치")</f>
        <v>하와이안 펀치</v>
      </c>
      <c r="B430" s="5" t="str">
        <f>IFERROR(__xludf.DUMMYFUNCTION("""COMPUTED_VALUE"""),"혼합")</f>
        <v>혼합</v>
      </c>
      <c r="C430" s="5" t="str">
        <f>IFERROR(__xludf.DUMMYFUNCTION("""COMPUTED_VALUE"""),"쉐이킹")</f>
        <v>쉐이킹</v>
      </c>
      <c r="D430" s="8">
        <f>IFERROR(__xludf.DUMMYFUNCTION("""COMPUTED_VALUE"""),0.0)</f>
        <v>0</v>
      </c>
      <c r="E430" s="5" t="str">
        <f>IFERROR(__xludf.DUMMYFUNCTION("""COMPUTED_VALUE"""),"셔던 컴포트 30ml, 아마레또 15ml, 보드카 15ml, 그레나딘 시럽 20ml, 오렌지 주스 45ml, 파인애플 주스 45ml, 사워믹스 30ml")</f>
        <v>셔던 컴포트 30ml, 아마레또 15ml, 보드카 15ml, 그레나딘 시럽 20ml, 오렌지 주스 45ml, 파인애플 주스 45ml, 사워믹스 30ml</v>
      </c>
      <c r="F430" s="5"/>
    </row>
    <row r="431">
      <c r="A431" s="5" t="str">
        <f>IFERROR(__xludf.DUMMYFUNCTION("""COMPUTED_VALUE"""),"하이랜더")</f>
        <v>하이랜더</v>
      </c>
      <c r="B431" s="5" t="str">
        <f>IFERROR(__xludf.DUMMYFUNCTION("""COMPUTED_VALUE"""),"위스키")</f>
        <v>위스키</v>
      </c>
      <c r="C431" s="5" t="str">
        <f>IFERROR(__xludf.DUMMYFUNCTION("""COMPUTED_VALUE"""),"스터")</f>
        <v>스터</v>
      </c>
      <c r="D431" s="8">
        <f>IFERROR(__xludf.DUMMYFUNCTION("""COMPUTED_VALUE"""),0.0)</f>
        <v>0</v>
      </c>
      <c r="E431" s="5" t="str">
        <f>IFERROR(__xludf.DUMMYFUNCTION("""COMPUTED_VALUE"""),"스카치 위스키 60ml, 베네딕틴 15ml, 비터 1대쉬")</f>
        <v>스카치 위스키 60ml, 베네딕틴 15ml, 비터 1대쉬</v>
      </c>
      <c r="F431" s="5"/>
    </row>
    <row r="432">
      <c r="A432" s="5" t="str">
        <f>IFERROR(__xludf.DUMMYFUNCTION("""COMPUTED_VALUE"""),"하이랜드 쿨러")</f>
        <v>하이랜드 쿨러</v>
      </c>
      <c r="B432" s="5" t="str">
        <f>IFERROR(__xludf.DUMMYFUNCTION("""COMPUTED_VALUE"""),"위스키")</f>
        <v>위스키</v>
      </c>
      <c r="C432" s="5" t="str">
        <f>IFERROR(__xludf.DUMMYFUNCTION("""COMPUTED_VALUE"""),"쉐이킹")</f>
        <v>쉐이킹</v>
      </c>
      <c r="D432" s="8">
        <f>IFERROR(__xludf.DUMMYFUNCTION("""COMPUTED_VALUE"""),0.0)</f>
        <v>0</v>
      </c>
      <c r="E432" s="5" t="str">
        <f>IFERROR(__xludf.DUMMYFUNCTION("""COMPUTED_VALUE"""),"스카치 위스키 30ml, 레몬즙 15ml, 비터 2대쉬, 설탕 1티스푼, 진저에일 120ml(쉐이킹 후)")</f>
        <v>스카치 위스키 30ml, 레몬즙 15ml, 비터 2대쉬, 설탕 1티스푼, 진저에일 120ml(쉐이킹 후)</v>
      </c>
      <c r="F432" s="5"/>
    </row>
    <row r="433">
      <c r="A433" s="5" t="str">
        <f>IFERROR(__xludf.DUMMYFUNCTION("""COMPUTED_VALUE"""),"핫 그로그")</f>
        <v>핫 그로그</v>
      </c>
      <c r="B433" s="5" t="str">
        <f>IFERROR(__xludf.DUMMYFUNCTION("""COMPUTED_VALUE"""),"다크럼")</f>
        <v>다크럼</v>
      </c>
      <c r="C433" s="5" t="str">
        <f>IFERROR(__xludf.DUMMYFUNCTION("""COMPUTED_VALUE"""),"빌드")</f>
        <v>빌드</v>
      </c>
      <c r="D433" s="8">
        <f>IFERROR(__xludf.DUMMYFUNCTION("""COMPUTED_VALUE"""),0.0)</f>
        <v>0</v>
      </c>
      <c r="E433" s="5" t="str">
        <f>IFERROR(__xludf.DUMMYFUNCTION("""COMPUTED_VALUE"""),"골드or다크럼 45ml, 설탕 1~2티스푼, 뜨거운 물 적당량")</f>
        <v>골드or다크럼 45ml, 설탕 1~2티스푼, 뜨거운 물 적당량</v>
      </c>
      <c r="F433" s="5"/>
    </row>
    <row r="434">
      <c r="A434" s="5" t="str">
        <f>IFERROR(__xludf.DUMMYFUNCTION("""COMPUTED_VALUE"""),"핫 위스키 토디")</f>
        <v>핫 위스키 토디</v>
      </c>
      <c r="B434" s="5" t="str">
        <f>IFERROR(__xludf.DUMMYFUNCTION("""COMPUTED_VALUE"""),"위스키")</f>
        <v>위스키</v>
      </c>
      <c r="C434" s="5" t="str">
        <f>IFERROR(__xludf.DUMMYFUNCTION("""COMPUTED_VALUE"""),"빌드")</f>
        <v>빌드</v>
      </c>
      <c r="D434" s="8">
        <f>IFERROR(__xludf.DUMMYFUNCTION("""COMPUTED_VALUE"""),0.0)</f>
        <v>0</v>
      </c>
      <c r="E434" s="5" t="str">
        <f>IFERROR(__xludf.DUMMYFUNCTION("""COMPUTED_VALUE"""),"위스키 45ml, 설탕 약간, 뜨거운 물 필업, 레몬 슬라이스 1조각, 시나몬 스틱 1개")</f>
        <v>위스키 45ml, 설탕 약간, 뜨거운 물 필업, 레몬 슬라이스 1조각, 시나몬 스틱 1개</v>
      </c>
      <c r="F434" s="5"/>
    </row>
    <row r="435">
      <c r="A435" s="5" t="str">
        <f>IFERROR(__xludf.DUMMYFUNCTION("""COMPUTED_VALUE"""),"허니문")</f>
        <v>허니문</v>
      </c>
      <c r="B435" s="5" t="str">
        <f>IFERROR(__xludf.DUMMYFUNCTION("""COMPUTED_VALUE"""),"혼합")</f>
        <v>혼합</v>
      </c>
      <c r="C435" s="5" t="str">
        <f>IFERROR(__xludf.DUMMYFUNCTION("""COMPUTED_VALUE"""),"쉐이킹")</f>
        <v>쉐이킹</v>
      </c>
      <c r="D435" s="8">
        <f>IFERROR(__xludf.DUMMYFUNCTION("""COMPUTED_VALUE"""),0.0)</f>
        <v>0</v>
      </c>
      <c r="E435" s="5" t="str">
        <f>IFERROR(__xludf.DUMMYFUNCTION("""COMPUTED_VALUE"""),"애플 브랜디 30ml, 베네딕틴 30ml, 트리플 섹 1티스푼, 레몬즙 15ml")</f>
        <v>애플 브랜디 30ml, 베네딕틴 30ml, 트리플 섹 1티스푼, 레몬즙 15ml</v>
      </c>
      <c r="F435" s="5"/>
    </row>
    <row r="436">
      <c r="A436" s="5" t="str">
        <f>IFERROR(__xludf.DUMMYFUNCTION("""COMPUTED_VALUE"""),"허리케인")</f>
        <v>허리케인</v>
      </c>
      <c r="B436" s="5" t="str">
        <f>IFERROR(__xludf.DUMMYFUNCTION("""COMPUTED_VALUE"""),"럼")</f>
        <v>럼</v>
      </c>
      <c r="C436" s="5" t="str">
        <f>IFERROR(__xludf.DUMMYFUNCTION("""COMPUTED_VALUE"""),"쉐이킹")</f>
        <v>쉐이킹</v>
      </c>
      <c r="D436" s="8">
        <f>IFERROR(__xludf.DUMMYFUNCTION("""COMPUTED_VALUE"""),0.0)</f>
        <v>0</v>
      </c>
      <c r="E436" s="5" t="str">
        <f>IFERROR(__xludf.DUMMYFUNCTION("""COMPUTED_VALUE"""),"화이트 럼 30ml, 다크럼 30ml, 오렌지 주스 15ml, 파인애플 주스 10ml, 레몬즙 15ml, 쉐이킹 후 그레나딘 시럽 취향껏")</f>
        <v>화이트 럼 30ml, 다크럼 30ml, 오렌지 주스 15ml, 파인애플 주스 10ml, 레몬즙 15ml, 쉐이킹 후 그레나딘 시럽 취향껏</v>
      </c>
      <c r="F436" s="5"/>
    </row>
    <row r="437">
      <c r="A437" s="5" t="str">
        <f>IFERROR(__xludf.DUMMYFUNCTION("""COMPUTED_VALUE"""),"허리케인2")</f>
        <v>허리케인2</v>
      </c>
      <c r="B437" s="5" t="str">
        <f>IFERROR(__xludf.DUMMYFUNCTION("""COMPUTED_VALUE"""),"럼")</f>
        <v>럼</v>
      </c>
      <c r="C437" s="5" t="str">
        <f>IFERROR(__xludf.DUMMYFUNCTION("""COMPUTED_VALUE"""),"빌드")</f>
        <v>빌드</v>
      </c>
      <c r="D437" s="8">
        <f>IFERROR(__xludf.DUMMYFUNCTION("""COMPUTED_VALUE"""),0.0)</f>
        <v>0</v>
      </c>
      <c r="E437" s="5" t="str">
        <f>IFERROR(__xludf.DUMMYFUNCTION("""COMPUTED_VALUE"""),"럼 30ml, 레몬즙 10ml, 그레나딘 시럽 15ml, 파인애플 주스 필업")</f>
        <v>럼 30ml, 레몬즙 10ml, 그레나딘 시럽 15ml, 파인애플 주스 필업</v>
      </c>
      <c r="F437" s="5"/>
    </row>
    <row r="438">
      <c r="A438" s="5" t="str">
        <f>IFERROR(__xludf.DUMMYFUNCTION("""COMPUTED_VALUE"""),"헌터")</f>
        <v>헌터</v>
      </c>
      <c r="B438" s="5" t="str">
        <f>IFERROR(__xludf.DUMMYFUNCTION("""COMPUTED_VALUE"""),"위스키")</f>
        <v>위스키</v>
      </c>
      <c r="C438" s="5" t="str">
        <f>IFERROR(__xludf.DUMMYFUNCTION("""COMPUTED_VALUE"""),"스터")</f>
        <v>스터</v>
      </c>
      <c r="D438" s="8">
        <f>IFERROR(__xludf.DUMMYFUNCTION("""COMPUTED_VALUE"""),0.0)</f>
        <v>0</v>
      </c>
      <c r="E438" s="5" t="str">
        <f>IFERROR(__xludf.DUMMYFUNCTION("""COMPUTED_VALUE"""),"위스키 45ml, 체리 히링 15ml, 오렌지 필, 체리 1조각")</f>
        <v>위스키 45ml, 체리 히링 15ml, 오렌지 필, 체리 1조각</v>
      </c>
      <c r="F438" s="5"/>
    </row>
    <row r="439">
      <c r="A439" s="5" t="str">
        <f>IFERROR(__xludf.DUMMYFUNCTION("""COMPUTED_VALUE"""),"헤이지 제인")</f>
        <v>헤이지 제인</v>
      </c>
      <c r="B439" s="5" t="str">
        <f>IFERROR(__xludf.DUMMYFUNCTION("""COMPUTED_VALUE"""),"보드카")</f>
        <v>보드카</v>
      </c>
      <c r="C439" s="5" t="str">
        <f>IFERROR(__xludf.DUMMYFUNCTION("""COMPUTED_VALUE"""),"쉐이킹")</f>
        <v>쉐이킹</v>
      </c>
      <c r="D439" s="8">
        <f>IFERROR(__xludf.DUMMYFUNCTION("""COMPUTED_VALUE"""),0.0)</f>
        <v>0</v>
      </c>
      <c r="E439" s="5" t="str">
        <f>IFERROR(__xludf.DUMMYFUNCTION("""COMPUTED_VALUE"""),"보드카 45ml, 오르쟈 시럽 30ml, 레몬즙 15ml, 요거트 15ml, 가니쉬 오이 슬라이스")</f>
        <v>보드카 45ml, 오르쟈 시럽 30ml, 레몬즙 15ml, 요거트 15ml, 가니쉬 오이 슬라이스</v>
      </c>
      <c r="F439" s="5"/>
    </row>
    <row r="440">
      <c r="A440" s="5" t="str">
        <f>IFERROR(__xludf.DUMMYFUNCTION("""COMPUTED_VALUE"""),"혼슈 펀치")</f>
        <v>혼슈 펀치</v>
      </c>
      <c r="B440" s="5" t="str">
        <f>IFERROR(__xludf.DUMMYFUNCTION("""COMPUTED_VALUE"""),"위스키")</f>
        <v>위스키</v>
      </c>
      <c r="C440" s="5" t="str">
        <f>IFERROR(__xludf.DUMMYFUNCTION("""COMPUTED_VALUE"""),"쉐이킹")</f>
        <v>쉐이킹</v>
      </c>
      <c r="D440" s="8">
        <f>IFERROR(__xludf.DUMMYFUNCTION("""COMPUTED_VALUE"""),0.0)</f>
        <v>0</v>
      </c>
      <c r="E440" s="5" t="str">
        <f>IFERROR(__xludf.DUMMYFUNCTION("""COMPUTED_VALUE"""),"일본 위스키 60ml, 레몬즙 22.5ml, 파인애플 주스 15ml, 심플시럽 15ml, 앙고스투라 비터 4대쉬, 쉐이킹 후 탄산수 약간")</f>
        <v>일본 위스키 60ml, 레몬즙 22.5ml, 파인애플 주스 15ml, 심플시럽 15ml, 앙고스투라 비터 4대쉬, 쉐이킹 후 탄산수 약간</v>
      </c>
      <c r="F440" s="5"/>
    </row>
    <row r="441">
      <c r="A441" s="5" t="str">
        <f>IFERROR(__xludf.DUMMYFUNCTION("""COMPUTED_VALUE"""),"홀리워터")</f>
        <v>홀리워터</v>
      </c>
      <c r="B441" s="5" t="str">
        <f>IFERROR(__xludf.DUMMYFUNCTION("""COMPUTED_VALUE"""),"럼")</f>
        <v>럼</v>
      </c>
      <c r="C441" s="5" t="str">
        <f>IFERROR(__xludf.DUMMYFUNCTION("""COMPUTED_VALUE"""),"빌드")</f>
        <v>빌드</v>
      </c>
      <c r="D441" s="8">
        <f>IFERROR(__xludf.DUMMYFUNCTION("""COMPUTED_VALUE"""),0.0)</f>
        <v>0</v>
      </c>
      <c r="E441" s="5" t="str">
        <f>IFERROR(__xludf.DUMMYFUNCTION("""COMPUTED_VALUE"""),"화이트 럼 30ml, 블루 큐라소 30ml, 레몬즙 15ml, 사이다 풀업, 레몬 슬라이스")</f>
        <v>화이트 럼 30ml, 블루 큐라소 30ml, 레몬즙 15ml, 사이다 풀업, 레몬 슬라이스</v>
      </c>
      <c r="F441" s="5"/>
    </row>
    <row r="442">
      <c r="A442" s="5" t="str">
        <f>IFERROR(__xludf.DUMMYFUNCTION("""COMPUTED_VALUE"""),"홀스 페더")</f>
        <v>홀스 페더</v>
      </c>
      <c r="B442" s="5" t="str">
        <f>IFERROR(__xludf.DUMMYFUNCTION("""COMPUTED_VALUE"""),"위스키")</f>
        <v>위스키</v>
      </c>
      <c r="C442" s="5" t="str">
        <f>IFERROR(__xludf.DUMMYFUNCTION("""COMPUTED_VALUE"""),"빌드")</f>
        <v>빌드</v>
      </c>
      <c r="D442" s="8">
        <f>IFERROR(__xludf.DUMMYFUNCTION("""COMPUTED_VALUE"""),0.0)</f>
        <v>0</v>
      </c>
      <c r="E442" s="5" t="str">
        <f>IFERROR(__xludf.DUMMYFUNCTION("""COMPUTED_VALUE"""),"버번 or 라이 or 블렌디드 위스키 45ml, 진저비어 120ml, 앙고스투라 비터 4대쉬, 레몬웻지 1조각")</f>
        <v>버번 or 라이 or 블렌디드 위스키 45ml, 진저비어 120ml, 앙고스투라 비터 4대쉬, 레몬웻지 1조각</v>
      </c>
      <c r="F442" s="5"/>
    </row>
    <row r="443">
      <c r="A443" s="5" t="str">
        <f>IFERROR(__xludf.DUMMYFUNCTION("""COMPUTED_VALUE"""),"홀스넥")</f>
        <v>홀스넥</v>
      </c>
      <c r="B443" s="5" t="str">
        <f>IFERROR(__xludf.DUMMYFUNCTION("""COMPUTED_VALUE"""),"브랜디")</f>
        <v>브랜디</v>
      </c>
      <c r="C443" s="5" t="str">
        <f>IFERROR(__xludf.DUMMYFUNCTION("""COMPUTED_VALUE"""),"빌드")</f>
        <v>빌드</v>
      </c>
      <c r="D443" s="8">
        <f>IFERROR(__xludf.DUMMYFUNCTION("""COMPUTED_VALUE"""),0.0)</f>
        <v>0</v>
      </c>
      <c r="E443" s="5" t="str">
        <f>IFERROR(__xludf.DUMMYFUNCTION("""COMPUTED_VALUE"""),"브랜디 or 위스키 45ml, 비터 3대쉬, 진저에일 풀업")</f>
        <v>브랜디 or 위스키 45ml, 비터 3대쉬, 진저에일 풀업</v>
      </c>
      <c r="F443" s="5"/>
    </row>
    <row r="444">
      <c r="A444" s="5" t="str">
        <f>IFERROR(__xludf.DUMMYFUNCTION("""COMPUTED_VALUE"""),"홉 토드")</f>
        <v>홉 토드</v>
      </c>
      <c r="B444" s="5" t="str">
        <f>IFERROR(__xludf.DUMMYFUNCTION("""COMPUTED_VALUE"""),"다크 럼")</f>
        <v>다크 럼</v>
      </c>
      <c r="C444" s="5" t="str">
        <f>IFERROR(__xludf.DUMMYFUNCTION("""COMPUTED_VALUE"""),"쉐이킹")</f>
        <v>쉐이킹</v>
      </c>
      <c r="D444" s="8">
        <f>IFERROR(__xludf.DUMMYFUNCTION("""COMPUTED_VALUE"""),0.0)</f>
        <v>0</v>
      </c>
      <c r="E444" s="5" t="str">
        <f>IFERROR(__xludf.DUMMYFUNCTION("""COMPUTED_VALUE"""),"다크 럼 45ml, 애프리콧 브랜디 30ml, 라임즙 15ml, 앙고스투라 비터 2대쉬")</f>
        <v>다크 럼 45ml, 애프리콧 브랜디 30ml, 라임즙 15ml, 앙고스투라 비터 2대쉬</v>
      </c>
      <c r="F444" s="5"/>
    </row>
    <row r="445">
      <c r="A445" s="5" t="str">
        <f>IFERROR(__xludf.DUMMYFUNCTION("""COMPUTED_VALUE"""),"화이트 드래곤")</f>
        <v>화이트 드래곤</v>
      </c>
      <c r="B445" s="5" t="str">
        <f>IFERROR(__xludf.DUMMYFUNCTION("""COMPUTED_VALUE"""),"데낄라")</f>
        <v>데낄라</v>
      </c>
      <c r="C445" s="5" t="str">
        <f>IFERROR(__xludf.DUMMYFUNCTION("""COMPUTED_VALUE"""),"쉐이킹")</f>
        <v>쉐이킹</v>
      </c>
      <c r="D445" s="8">
        <f>IFERROR(__xludf.DUMMYFUNCTION("""COMPUTED_VALUE"""),0.0)</f>
        <v>0</v>
      </c>
      <c r="E445" s="5" t="str">
        <f>IFERROR(__xludf.DUMMYFUNCTION("""COMPUTED_VALUE"""),"데낄라 블랑코 53ml, 코앵트로 23ml, 레몬즙 23ml, 달걀 흰자 1개")</f>
        <v>데낄라 블랑코 53ml, 코앵트로 23ml, 레몬즙 23ml, 달걀 흰자 1개</v>
      </c>
      <c r="F445" s="5"/>
    </row>
    <row r="446">
      <c r="A446" s="5" t="str">
        <f>IFERROR(__xludf.DUMMYFUNCTION("""COMPUTED_VALUE"""),"화이트 러시안")</f>
        <v>화이트 러시안</v>
      </c>
      <c r="B446" s="5" t="str">
        <f>IFERROR(__xludf.DUMMYFUNCTION("""COMPUTED_VALUE"""),"깔루아")</f>
        <v>깔루아</v>
      </c>
      <c r="C446" s="5" t="str">
        <f>IFERROR(__xludf.DUMMYFUNCTION("""COMPUTED_VALUE"""),"빌드")</f>
        <v>빌드</v>
      </c>
      <c r="D446" s="8">
        <f>IFERROR(__xludf.DUMMYFUNCTION("""COMPUTED_VALUE"""),0.0)</f>
        <v>0</v>
      </c>
      <c r="E446" s="5" t="str">
        <f>IFERROR(__xludf.DUMMYFUNCTION("""COMPUTED_VALUE"""),"보드카 15ml, 깔루아 15ml, 우유or크림 30ml")</f>
        <v>보드카 15ml, 깔루아 15ml, 우유or크림 30ml</v>
      </c>
      <c r="F446" s="5"/>
    </row>
    <row r="447">
      <c r="A447" s="5" t="str">
        <f>IFERROR(__xludf.DUMMYFUNCTION("""COMPUTED_VALUE"""),"화이트 레이디")</f>
        <v>화이트 레이디</v>
      </c>
      <c r="B447" s="5" t="str">
        <f>IFERROR(__xludf.DUMMYFUNCTION("""COMPUTED_VALUE"""),"진")</f>
        <v>진</v>
      </c>
      <c r="C447" s="5" t="str">
        <f>IFERROR(__xludf.DUMMYFUNCTION("""COMPUTED_VALUE"""),"쉐이킹")</f>
        <v>쉐이킹</v>
      </c>
      <c r="D447" s="8">
        <f>IFERROR(__xludf.DUMMYFUNCTION("""COMPUTED_VALUE"""),0.0)</f>
        <v>0</v>
      </c>
      <c r="E447" s="5" t="str">
        <f>IFERROR(__xludf.DUMMYFUNCTION("""COMPUTED_VALUE"""),"진 60ml, 트리플섹 15ml, 레몬즙 30ml")</f>
        <v>진 60ml, 트리플섹 15ml, 레몬즙 30ml</v>
      </c>
      <c r="F447" s="5"/>
    </row>
    <row r="448">
      <c r="A448" s="5" t="str">
        <f>IFERROR(__xludf.DUMMYFUNCTION("""COMPUTED_VALUE"""),"히틀러의 불안")</f>
        <v>히틀러의 불안</v>
      </c>
      <c r="B448" s="5" t="str">
        <f>IFERROR(__xludf.DUMMYFUNCTION("""COMPUTED_VALUE"""),"럼")</f>
        <v>럼</v>
      </c>
      <c r="C448" s="5" t="str">
        <f>IFERROR(__xludf.DUMMYFUNCTION("""COMPUTED_VALUE"""),"쉐이킹")</f>
        <v>쉐이킹</v>
      </c>
      <c r="D448" s="8">
        <f>IFERROR(__xludf.DUMMYFUNCTION("""COMPUTED_VALUE"""),0.0)</f>
        <v>0</v>
      </c>
      <c r="E448" s="5" t="str">
        <f>IFERROR(__xludf.DUMMYFUNCTION("""COMPUTED_VALUE"""),"화이트 럼 90ml, 라임즙 30ml, 크렘 드 카카오 화이트 15ml, 심플시럽 15ml")</f>
        <v>화이트 럼 90ml, 라임즙 30ml, 크렘 드 카카오 화이트 15ml, 심플시럽 15ml</v>
      </c>
      <c r="F448" s="5"/>
    </row>
    <row r="449">
      <c r="A449" s="5" t="str">
        <f>IFERROR(__xludf.DUMMYFUNCTION("""COMPUTED_VALUE"""),"A Spirits In The Dark")</f>
        <v>A Spirits In The Dark</v>
      </c>
      <c r="B449" s="5" t="str">
        <f>IFERROR(__xludf.DUMMYFUNCTION("""COMPUTED_VALUE"""),"위스키")</f>
        <v>위스키</v>
      </c>
      <c r="C449" s="5" t="str">
        <f>IFERROR(__xludf.DUMMYFUNCTION("""COMPUTED_VALUE"""),"쉐이킹")</f>
        <v>쉐이킹</v>
      </c>
      <c r="D449" s="8">
        <f>IFERROR(__xludf.DUMMYFUNCTION("""COMPUTED_VALUE"""),0.0)</f>
        <v>0</v>
      </c>
      <c r="E449" s="5" t="str">
        <f>IFERROR(__xludf.DUMMYFUNCTION("""COMPUTED_VALUE"""),"라이 or 버번 or 블렌디드 위스키 60ml, 마라스키노 15ml, 크렘 드 카카오 15ml, 레몬즙 7.5ml, 비터 1대쉬, 쉐이킹 후 스파클링 와인 살짝 플로팅")</f>
        <v>라이 or 버번 or 블렌디드 위스키 60ml, 마라스키노 15ml, 크렘 드 카카오 15ml, 레몬즙 7.5ml, 비터 1대쉬, 쉐이킹 후 스파클링 와인 살짝 플로팅</v>
      </c>
      <c r="F449" s="5"/>
    </row>
    <row r="450">
      <c r="A450" s="5" t="str">
        <f>IFERROR(__xludf.DUMMYFUNCTION("""COMPUTED_VALUE"""),"ABC")</f>
        <v>ABC</v>
      </c>
      <c r="B450" s="5"/>
      <c r="C450" s="5" t="str">
        <f>IFERROR(__xludf.DUMMYFUNCTION("""COMPUTED_VALUE"""),"플로팅")</f>
        <v>플로팅</v>
      </c>
      <c r="D450" s="8">
        <f>IFERROR(__xludf.DUMMYFUNCTION("""COMPUTED_VALUE"""),0.0)</f>
        <v>0</v>
      </c>
      <c r="E450" s="5" t="str">
        <f>IFERROR(__xludf.DUMMYFUNCTION("""COMPUTED_VALUE"""),"디사론노 15ml, 베일리스 15ml, 꼬냑 15ml")</f>
        <v>디사론노 15ml, 베일리스 15ml, 꼬냑 15ml</v>
      </c>
      <c r="F450" s="5"/>
    </row>
    <row r="451">
      <c r="A451" s="5" t="str">
        <f>IFERROR(__xludf.DUMMYFUNCTION("""COMPUTED_VALUE"""),"Ace of spade")</f>
        <v>Ace of spade</v>
      </c>
      <c r="B451" s="5"/>
      <c r="C451" s="5" t="str">
        <f>IFERROR(__xludf.DUMMYFUNCTION("""COMPUTED_VALUE"""),"쉐이킹")</f>
        <v>쉐이킹</v>
      </c>
      <c r="D451" s="8">
        <f>IFERROR(__xludf.DUMMYFUNCTION("""COMPUTED_VALUE"""),0.0)</f>
        <v>0</v>
      </c>
      <c r="E451" s="5" t="str">
        <f>IFERROR(__xludf.DUMMYFUNCTION("""COMPUTED_VALUE"""),"라임즙 15ml, 레몬즙 15ml, 파인애플 주스 60ml, 화이트 럼 30ml, 멜론 리큐르 60ml, 오렌지 리큐르 30ml")</f>
        <v>라임즙 15ml, 레몬즙 15ml, 파인애플 주스 60ml, 화이트 럼 30ml, 멜론 리큐르 60ml, 오렌지 리큐르 30ml</v>
      </c>
      <c r="F451" s="5"/>
    </row>
    <row r="452">
      <c r="A452" s="5" t="str">
        <f>IFERROR(__xludf.DUMMYFUNCTION("""COMPUTED_VALUE"""),"Affinity")</f>
        <v>Affinity</v>
      </c>
      <c r="B452" s="5" t="str">
        <f>IFERROR(__xludf.DUMMYFUNCTION("""COMPUTED_VALUE"""),"위스키")</f>
        <v>위스키</v>
      </c>
      <c r="C452" s="5" t="str">
        <f>IFERROR(__xludf.DUMMYFUNCTION("""COMPUTED_VALUE"""),"스터")</f>
        <v>스터</v>
      </c>
      <c r="D452" s="8">
        <f>IFERROR(__xludf.DUMMYFUNCTION("""COMPUTED_VALUE"""),0.0)</f>
        <v>0</v>
      </c>
      <c r="E452" s="5" t="str">
        <f>IFERROR(__xludf.DUMMYFUNCTION("""COMPUTED_VALUE"""),"스카치 위스키 30ml, 드라이 베르뭇 30ml, 스윗 베르뭇 30ml, 앙고스투라 비터 2대쉬")</f>
        <v>스카치 위스키 30ml, 드라이 베르뭇 30ml, 스윗 베르뭇 30ml, 앙고스투라 비터 2대쉬</v>
      </c>
      <c r="F452" s="5"/>
    </row>
    <row r="453">
      <c r="A453" s="5" t="str">
        <f>IFERROR(__xludf.DUMMYFUNCTION("""COMPUTED_VALUE"""),"Alabazam")</f>
        <v>Alabazam</v>
      </c>
      <c r="B453" s="5" t="str">
        <f>IFERROR(__xludf.DUMMYFUNCTION("""COMPUTED_VALUE"""),"꼬냑 or 브랜디")</f>
        <v>꼬냑 or 브랜디</v>
      </c>
      <c r="C453" s="5" t="str">
        <f>IFERROR(__xludf.DUMMYFUNCTION("""COMPUTED_VALUE"""),"쉐이킹")</f>
        <v>쉐이킹</v>
      </c>
      <c r="D453" s="8">
        <f>IFERROR(__xludf.DUMMYFUNCTION("""COMPUTED_VALUE"""),0.0)</f>
        <v>0</v>
      </c>
      <c r="E453" s="5" t="str">
        <f>IFERROR(__xludf.DUMMYFUNCTION("""COMPUTED_VALUE"""),"꼬냑 or 브랜디 45ml, 트리플 섹 15ml, 앙고스투라 비터 4대쉬, 레몬즙 7.5ml, 심플시럽 7.5ml")</f>
        <v>꼬냑 or 브랜디 45ml, 트리플 섹 15ml, 앙고스투라 비터 4대쉬, 레몬즙 7.5ml, 심플시럽 7.5ml</v>
      </c>
      <c r="F453" s="5"/>
    </row>
    <row r="454">
      <c r="A454" s="5" t="str">
        <f>IFERROR(__xludf.DUMMYFUNCTION("""COMPUTED_VALUE"""),"Amber Load")</f>
        <v>Amber Load</v>
      </c>
      <c r="B454" s="5" t="str">
        <f>IFERROR(__xludf.DUMMYFUNCTION("""COMPUTED_VALUE"""),"혼합")</f>
        <v>혼합</v>
      </c>
      <c r="C454" s="5" t="str">
        <f>IFERROR(__xludf.DUMMYFUNCTION("""COMPUTED_VALUE"""),"쉐이킹")</f>
        <v>쉐이킹</v>
      </c>
      <c r="D454" s="8">
        <f>IFERROR(__xludf.DUMMYFUNCTION("""COMPUTED_VALUE"""),0.0)</f>
        <v>0</v>
      </c>
      <c r="E454" s="5" t="str">
        <f>IFERROR(__xludf.DUMMYFUNCTION("""COMPUTED_VALUE"""),"버번 or 라이 위스키 45ml, 캄파리 30ml, 레몬즙 15ml, 메이플 시럽 7.5ml, 쉐이킹 후 탄산수 60ml, 가니쉬 레몬휠")</f>
        <v>버번 or 라이 위스키 45ml, 캄파리 30ml, 레몬즙 15ml, 메이플 시럽 7.5ml, 쉐이킹 후 탄산수 60ml, 가니쉬 레몬휠</v>
      </c>
      <c r="F454" s="5"/>
    </row>
    <row r="455">
      <c r="A455" s="5" t="str">
        <f>IFERROR(__xludf.DUMMYFUNCTION("""COMPUTED_VALUE"""),"Applicious Quencher")</f>
        <v>Applicious Quencher</v>
      </c>
      <c r="B455" s="5" t="str">
        <f>IFERROR(__xludf.DUMMYFUNCTION("""COMPUTED_VALUE"""),"애플퍼커")</f>
        <v>애플퍼커</v>
      </c>
      <c r="C455" s="5" t="str">
        <f>IFERROR(__xludf.DUMMYFUNCTION("""COMPUTED_VALUE"""),"빌드")</f>
        <v>빌드</v>
      </c>
      <c r="D455" s="8">
        <f>IFERROR(__xludf.DUMMYFUNCTION("""COMPUTED_VALUE"""),0.0)</f>
        <v>0</v>
      </c>
      <c r="E455" s="5" t="str">
        <f>IFERROR(__xludf.DUMMYFUNCTION("""COMPUTED_VALUE"""),"애플퍼커 30ml, 트리플섹 30ml, 그레나딘 시럽 1대쉬, 스프라이트 풀업")</f>
        <v>애플퍼커 30ml, 트리플섹 30ml, 그레나딘 시럽 1대쉬, 스프라이트 풀업</v>
      </c>
      <c r="F455" s="5"/>
    </row>
    <row r="456">
      <c r="A456" s="5" t="str">
        <f>IFERROR(__xludf.DUMMYFUNCTION("""COMPUTED_VALUE"""),"Aquadisiac")</f>
        <v>Aquadisiac</v>
      </c>
      <c r="B456" s="5" t="str">
        <f>IFERROR(__xludf.DUMMYFUNCTION("""COMPUTED_VALUE"""),"럼")</f>
        <v>럼</v>
      </c>
      <c r="C456" s="5" t="str">
        <f>IFERROR(__xludf.DUMMYFUNCTION("""COMPUTED_VALUE"""),"쉐이킹")</f>
        <v>쉐이킹</v>
      </c>
      <c r="D456" s="8">
        <f>IFERROR(__xludf.DUMMYFUNCTION("""COMPUTED_VALUE"""),0.0)</f>
        <v>0</v>
      </c>
      <c r="E456" s="5" t="str">
        <f>IFERROR(__xludf.DUMMYFUNCTION("""COMPUTED_VALUE"""),"화이트 럼 60ml, 블루 큐라소 15ml, 레몬즙 30ml, 오르쟈 시럽 15ml")</f>
        <v>화이트 럼 60ml, 블루 큐라소 15ml, 레몬즙 30ml, 오르쟈 시럽 15ml</v>
      </c>
      <c r="F456" s="5"/>
    </row>
    <row r="457">
      <c r="A457" s="5" t="str">
        <f>IFERROR(__xludf.DUMMYFUNCTION("""COMPUTED_VALUE"""),"Army&amp;Navy")</f>
        <v>Army&amp;Navy</v>
      </c>
      <c r="B457" s="5" t="str">
        <f>IFERROR(__xludf.DUMMYFUNCTION("""COMPUTED_VALUE"""),"진")</f>
        <v>진</v>
      </c>
      <c r="C457" s="5" t="str">
        <f>IFERROR(__xludf.DUMMYFUNCTION("""COMPUTED_VALUE"""),"쉐이킹")</f>
        <v>쉐이킹</v>
      </c>
      <c r="D457" s="8">
        <f>IFERROR(__xludf.DUMMYFUNCTION("""COMPUTED_VALUE"""),0.0)</f>
        <v>0</v>
      </c>
      <c r="E457" s="5" t="str">
        <f>IFERROR(__xludf.DUMMYFUNCTION("""COMPUTED_VALUE"""),"진 60ml, 레몬즙 30ml, 오르쟈 시럽 22.5ml, 앙고스투라 비터 2대쉬")</f>
        <v>진 60ml, 레몬즙 30ml, 오르쟈 시럽 22.5ml, 앙고스투라 비터 2대쉬</v>
      </c>
      <c r="F457" s="5"/>
    </row>
    <row r="458">
      <c r="A458" s="5" t="str">
        <f>IFERROR(__xludf.DUMMYFUNCTION("""COMPUTED_VALUE"""),"Autumn Leaves")</f>
        <v>Autumn Leaves</v>
      </c>
      <c r="B458" s="5" t="str">
        <f>IFERROR(__xludf.DUMMYFUNCTION("""COMPUTED_VALUE"""),"위스키")</f>
        <v>위스키</v>
      </c>
      <c r="C458" s="5" t="str">
        <f>IFERROR(__xludf.DUMMYFUNCTION("""COMPUTED_VALUE"""),"빌드")</f>
        <v>빌드</v>
      </c>
      <c r="D458" s="8">
        <f>IFERROR(__xludf.DUMMYFUNCTION("""COMPUTED_VALUE"""),0.0)</f>
        <v>0</v>
      </c>
      <c r="E458" s="5" t="str">
        <f>IFERROR(__xludf.DUMMYFUNCTION("""COMPUTED_VALUE"""),"버번 위스키 40ml, 베네딕틴 20ml, 레몬 껍질 1개")</f>
        <v>버번 위스키 40ml, 베네딕틴 20ml, 레몬 껍질 1개</v>
      </c>
      <c r="F458" s="5"/>
    </row>
    <row r="459">
      <c r="A459" s="5" t="str">
        <f>IFERROR(__xludf.DUMMYFUNCTION("""COMPUTED_VALUE"""),"B-52")</f>
        <v>B-52</v>
      </c>
      <c r="B459" s="5"/>
      <c r="C459" s="5" t="str">
        <f>IFERROR(__xludf.DUMMYFUNCTION("""COMPUTED_VALUE"""),"플로팅")</f>
        <v>플로팅</v>
      </c>
      <c r="D459" s="8">
        <f>IFERROR(__xludf.DUMMYFUNCTION("""COMPUTED_VALUE"""),0.0)</f>
        <v>0</v>
      </c>
      <c r="E459" s="5" t="str">
        <f>IFERROR(__xludf.DUMMYFUNCTION("""COMPUTED_VALUE"""),"깔루아 7ml, 베일리스 15ml, 그랑 마르니엘 23ml, 151 소량(불이 붙도록 살짝 쌓아준다)")</f>
        <v>깔루아 7ml, 베일리스 15ml, 그랑 마르니엘 23ml, 151 소량(불이 붙도록 살짝 쌓아준다)</v>
      </c>
      <c r="F459" s="5"/>
    </row>
    <row r="460">
      <c r="A460" s="5" t="str">
        <f>IFERROR(__xludf.DUMMYFUNCTION("""COMPUTED_VALUE"""),"B&amp;B")</f>
        <v>B&amp;B</v>
      </c>
      <c r="B460" s="5" t="str">
        <f>IFERROR(__xludf.DUMMYFUNCTION("""COMPUTED_VALUE"""),"브랜디")</f>
        <v>브랜디</v>
      </c>
      <c r="C460" s="5" t="str">
        <f>IFERROR(__xludf.DUMMYFUNCTION("""COMPUTED_VALUE"""),"플로팅")</f>
        <v>플로팅</v>
      </c>
      <c r="D460" s="8">
        <f>IFERROR(__xludf.DUMMYFUNCTION("""COMPUTED_VALUE"""),0.0)</f>
        <v>0</v>
      </c>
      <c r="E460" s="5" t="str">
        <f>IFERROR(__xludf.DUMMYFUNCTION("""COMPUTED_VALUE"""),"브랜디 30ml, 베네딕틴 30ml")</f>
        <v>브랜디 30ml, 베네딕틴 30ml</v>
      </c>
      <c r="F460" s="5"/>
    </row>
    <row r="461">
      <c r="A461" s="5" t="str">
        <f>IFERROR(__xludf.DUMMYFUNCTION("""COMPUTED_VALUE"""),"BeachComber(큰 파도)")</f>
        <v>BeachComber(큰 파도)</v>
      </c>
      <c r="B461" s="5" t="str">
        <f>IFERROR(__xludf.DUMMYFUNCTION("""COMPUTED_VALUE"""),"럼")</f>
        <v>럼</v>
      </c>
      <c r="C461" s="5" t="str">
        <f>IFERROR(__xludf.DUMMYFUNCTION("""COMPUTED_VALUE"""),"쉐이킹")</f>
        <v>쉐이킹</v>
      </c>
      <c r="D461" s="8">
        <f>IFERROR(__xludf.DUMMYFUNCTION("""COMPUTED_VALUE"""),0.0)</f>
        <v>0</v>
      </c>
      <c r="E461" s="5" t="str">
        <f>IFERROR(__xludf.DUMMYFUNCTION("""COMPUTED_VALUE"""),"화이트 럼 60ml, 트리플 섹 22.5ml, 마라스키노 15ml, 라임즙 15ml")</f>
        <v>화이트 럼 60ml, 트리플 섹 22.5ml, 마라스키노 15ml, 라임즙 15ml</v>
      </c>
      <c r="F461" s="5"/>
    </row>
    <row r="462">
      <c r="A462" s="5" t="str">
        <f>IFERROR(__xludf.DUMMYFUNCTION("""COMPUTED_VALUE"""),"Bed of Rose")</f>
        <v>Bed of Rose</v>
      </c>
      <c r="B462" s="5" t="str">
        <f>IFERROR(__xludf.DUMMYFUNCTION("""COMPUTED_VALUE"""),"예거마이스터")</f>
        <v>예거마이스터</v>
      </c>
      <c r="C462" s="5" t="str">
        <f>IFERROR(__xludf.DUMMYFUNCTION("""COMPUTED_VALUE"""),"쉐이킹")</f>
        <v>쉐이킹</v>
      </c>
      <c r="D462" s="8">
        <f>IFERROR(__xludf.DUMMYFUNCTION("""COMPUTED_VALUE"""),0.0)</f>
        <v>0</v>
      </c>
      <c r="E462" s="5" t="str">
        <f>IFERROR(__xludf.DUMMYFUNCTION("""COMPUTED_VALUE"""),"예거마이스터 45ml, 레몬즙 30ml, 라임즙 15ml, 그레나딘 시럽 30ml")</f>
        <v>예거마이스터 45ml, 레몬즙 30ml, 라임즙 15ml, 그레나딘 시럽 30ml</v>
      </c>
      <c r="F462" s="5"/>
    </row>
    <row r="463">
      <c r="A463" s="5" t="str">
        <f>IFERROR(__xludf.DUMMYFUNCTION("""COMPUTED_VALUE"""),"Bizzy Izzy")</f>
        <v>Bizzy Izzy</v>
      </c>
      <c r="B463" s="5" t="str">
        <f>IFERROR(__xludf.DUMMYFUNCTION("""COMPUTED_VALUE"""),"혼합")</f>
        <v>혼합</v>
      </c>
      <c r="C463" s="5" t="str">
        <f>IFERROR(__xludf.DUMMYFUNCTION("""COMPUTED_VALUE"""),"쉐이킹")</f>
        <v>쉐이킹</v>
      </c>
      <c r="D463" s="8">
        <f>IFERROR(__xludf.DUMMYFUNCTION("""COMPUTED_VALUE"""),0.0)</f>
        <v>0</v>
      </c>
      <c r="E463" s="5" t="str">
        <f>IFERROR(__xludf.DUMMYFUNCTION("""COMPUTED_VALUE"""),"라이 위스키 30ml, 드라이 셰리 와인 30ml, 파인애플 주스 30ml, 레몬즙 22.5ml, 심플시럽 22.5ml, 비터 1대쉬, 쉐이킹 후 탄산수 필업")</f>
        <v>라이 위스키 30ml, 드라이 셰리 와인 30ml, 파인애플 주스 30ml, 레몬즙 22.5ml, 심플시럽 22.5ml, 비터 1대쉬, 쉐이킹 후 탄산수 필업</v>
      </c>
      <c r="F463" s="5"/>
    </row>
    <row r="464">
      <c r="A464" s="5" t="str">
        <f>IFERROR(__xludf.DUMMYFUNCTION("""COMPUTED_VALUE"""),"Blackthorn")</f>
        <v>Blackthorn</v>
      </c>
      <c r="B464" s="5" t="str">
        <f>IFERROR(__xludf.DUMMYFUNCTION("""COMPUTED_VALUE"""),"진")</f>
        <v>진</v>
      </c>
      <c r="C464" s="5" t="str">
        <f>IFERROR(__xludf.DUMMYFUNCTION("""COMPUTED_VALUE"""),"스터")</f>
        <v>스터</v>
      </c>
      <c r="D464" s="8">
        <f>IFERROR(__xludf.DUMMYFUNCTION("""COMPUTED_VALUE"""),0.0)</f>
        <v>0</v>
      </c>
      <c r="E464" s="5" t="str">
        <f>IFERROR(__xludf.DUMMYFUNCTION("""COMPUTED_VALUE"""),"슬로 진 60ml, 스윗베르뭇 30ml, 앙고스투라 비터 1대쉬, 가니쉬 레몬 필")</f>
        <v>슬로 진 60ml, 스윗베르뭇 30ml, 앙고스투라 비터 1대쉬, 가니쉬 레몬 필</v>
      </c>
      <c r="F464" s="5"/>
    </row>
    <row r="465">
      <c r="A465" s="5" t="str">
        <f>IFERROR(__xludf.DUMMYFUNCTION("""COMPUTED_VALUE"""),"Bosom Caresser")</f>
        <v>Bosom Caresser</v>
      </c>
      <c r="B465" s="5" t="str">
        <f>IFERROR(__xludf.DUMMYFUNCTION("""COMPUTED_VALUE"""),"브랜디")</f>
        <v>브랜디</v>
      </c>
      <c r="C465" s="5" t="str">
        <f>IFERROR(__xludf.DUMMYFUNCTION("""COMPUTED_VALUE"""),"쉐이킹")</f>
        <v>쉐이킹</v>
      </c>
      <c r="D465" s="8">
        <f>IFERROR(__xludf.DUMMYFUNCTION("""COMPUTED_VALUE"""),0.0)</f>
        <v>0</v>
      </c>
      <c r="E465" s="5" t="str">
        <f>IFERROR(__xludf.DUMMYFUNCTION("""COMPUTED_VALUE"""),"브랜디 30ml, 오렌지 큐라소 15ml, 그레나딘 시럽 1티스푼, 계란 노른자 1개")</f>
        <v>브랜디 30ml, 오렌지 큐라소 15ml, 그레나딘 시럽 1티스푼, 계란 노른자 1개</v>
      </c>
      <c r="F465" s="5"/>
    </row>
    <row r="466">
      <c r="A466" s="5" t="str">
        <f>IFERROR(__xludf.DUMMYFUNCTION("""COMPUTED_VALUE"""),"Chatham")</f>
        <v>Chatham</v>
      </c>
      <c r="B466" s="5" t="str">
        <f>IFERROR(__xludf.DUMMYFUNCTION("""COMPUTED_VALUE"""),"진")</f>
        <v>진</v>
      </c>
      <c r="C466" s="5" t="str">
        <f>IFERROR(__xludf.DUMMYFUNCTION("""COMPUTED_VALUE"""),"쉐이킹")</f>
        <v>쉐이킹</v>
      </c>
      <c r="D466" s="8">
        <f>IFERROR(__xludf.DUMMYFUNCTION("""COMPUTED_VALUE"""),0.0)</f>
        <v>0</v>
      </c>
      <c r="E466" s="5" t="str">
        <f>IFERROR(__xludf.DUMMYFUNCTION("""COMPUTED_VALUE"""),"진 60ml, 체리 브랜디 15ml, 레몬즙 15ml")</f>
        <v>진 60ml, 체리 브랜디 15ml, 레몬즙 15ml</v>
      </c>
      <c r="F466" s="5"/>
    </row>
    <row r="467">
      <c r="A467" s="5" t="str">
        <f>IFERROR(__xludf.DUMMYFUNCTION("""COMPUTED_VALUE"""),"chrysanthemum(국화)")</f>
        <v>chrysanthemum(국화)</v>
      </c>
      <c r="B467" s="5" t="str">
        <f>IFERROR(__xludf.DUMMYFUNCTION("""COMPUTED_VALUE"""),"리큐르")</f>
        <v>리큐르</v>
      </c>
      <c r="C467" s="5" t="str">
        <f>IFERROR(__xludf.DUMMYFUNCTION("""COMPUTED_VALUE"""),"스터")</f>
        <v>스터</v>
      </c>
      <c r="D467" s="8">
        <f>IFERROR(__xludf.DUMMYFUNCTION("""COMPUTED_VALUE"""),0.0)</f>
        <v>0</v>
      </c>
      <c r="E467" s="5" t="str">
        <f>IFERROR(__xludf.DUMMYFUNCTION("""COMPUTED_VALUE"""),"드라이 베르뭇 45ml, 베네딕틴 22.5ml, 압생트 2대쉬, 가니쉬 오렌지 필")</f>
        <v>드라이 베르뭇 45ml, 베네딕틴 22.5ml, 압생트 2대쉬, 가니쉬 오렌지 필</v>
      </c>
      <c r="F467" s="5"/>
    </row>
    <row r="468">
      <c r="A468" s="5" t="str">
        <f>IFERROR(__xludf.DUMMYFUNCTION("""COMPUTED_VALUE"""),"Cloudy Sky")</f>
        <v>Cloudy Sky</v>
      </c>
      <c r="B468" s="5" t="str">
        <f>IFERROR(__xludf.DUMMYFUNCTION("""COMPUTED_VALUE"""),"진")</f>
        <v>진</v>
      </c>
      <c r="C468" s="5" t="str">
        <f>IFERROR(__xludf.DUMMYFUNCTION("""COMPUTED_VALUE"""),"빌드")</f>
        <v>빌드</v>
      </c>
      <c r="D468" s="8">
        <f>IFERROR(__xludf.DUMMYFUNCTION("""COMPUTED_VALUE"""),0.0)</f>
        <v>0</v>
      </c>
      <c r="E468" s="5" t="str">
        <f>IFERROR(__xludf.DUMMYFUNCTION("""COMPUTED_VALUE"""),"슬로 진 60ml, 라임즙 30ml, 진저비어 60ml")</f>
        <v>슬로 진 60ml, 라임즙 30ml, 진저비어 60ml</v>
      </c>
      <c r="F468" s="5"/>
    </row>
    <row r="469">
      <c r="A469" s="5" t="str">
        <f>IFERROR(__xludf.DUMMYFUNCTION("""COMPUTED_VALUE"""),"Columba(콜룸바)")</f>
        <v>Columba(콜룸바)</v>
      </c>
      <c r="B469" s="5" t="str">
        <f>IFERROR(__xludf.DUMMYFUNCTION("""COMPUTED_VALUE"""),"캄파리")</f>
        <v>캄파리</v>
      </c>
      <c r="C469" s="5" t="str">
        <f>IFERROR(__xludf.DUMMYFUNCTION("""COMPUTED_VALUE"""),"빌드")</f>
        <v>빌드</v>
      </c>
      <c r="D469" s="8">
        <f>IFERROR(__xludf.DUMMYFUNCTION("""COMPUTED_VALUE"""),0.0)</f>
        <v>0</v>
      </c>
      <c r="E469" s="5" t="str">
        <f>IFERROR(__xludf.DUMMYFUNCTION("""COMPUTED_VALUE"""),"캄파리 60ml, 자몽소다 120ml")</f>
        <v>캄파리 60ml, 자몽소다 120ml</v>
      </c>
      <c r="F469" s="5"/>
    </row>
    <row r="470">
      <c r="A470" s="5" t="str">
        <f>IFERROR(__xludf.DUMMYFUNCTION("""COMPUTED_VALUE"""),"Cypriot 브랜디 사워")</f>
        <v>Cypriot 브랜디 사워</v>
      </c>
      <c r="B470" s="5" t="str">
        <f>IFERROR(__xludf.DUMMYFUNCTION("""COMPUTED_VALUE"""),"브랜디")</f>
        <v>브랜디</v>
      </c>
      <c r="C470" s="5" t="str">
        <f>IFERROR(__xludf.DUMMYFUNCTION("""COMPUTED_VALUE"""),"빌드")</f>
        <v>빌드</v>
      </c>
      <c r="D470" s="8">
        <f>IFERROR(__xludf.DUMMYFUNCTION("""COMPUTED_VALUE"""),0.0)</f>
        <v>0</v>
      </c>
      <c r="E470" s="5" t="str">
        <f>IFERROR(__xludf.DUMMYFUNCTION("""COMPUTED_VALUE"""),"브랜디 60ml, 앙고스투라 비터 1대쉬, 레몬 소다 120ml")</f>
        <v>브랜디 60ml, 앙고스투라 비터 1대쉬, 레몬 소다 120ml</v>
      </c>
      <c r="F470" s="5"/>
    </row>
    <row r="471">
      <c r="A471" s="5" t="str">
        <f>IFERROR(__xludf.DUMMYFUNCTION("""COMPUTED_VALUE"""),"Deauville")</f>
        <v>Deauville</v>
      </c>
      <c r="B471" s="5" t="str">
        <f>IFERROR(__xludf.DUMMYFUNCTION("""COMPUTED_VALUE"""),"브랜디")</f>
        <v>브랜디</v>
      </c>
      <c r="C471" s="5" t="str">
        <f>IFERROR(__xludf.DUMMYFUNCTION("""COMPUTED_VALUE"""),"쉐이킹")</f>
        <v>쉐이킹</v>
      </c>
      <c r="D471" s="8">
        <f>IFERROR(__xludf.DUMMYFUNCTION("""COMPUTED_VALUE"""),0.0)</f>
        <v>0</v>
      </c>
      <c r="E471" s="5" t="str">
        <f>IFERROR(__xludf.DUMMYFUNCTION("""COMPUTED_VALUE"""),"브랜디 or 꼬냑 30ml, 애플 브랜디 30ml, 트리플 섹 30ml, 레몬즙 30ml")</f>
        <v>브랜디 or 꼬냑 30ml, 애플 브랜디 30ml, 트리플 섹 30ml, 레몬즙 30ml</v>
      </c>
      <c r="F471" s="5"/>
    </row>
    <row r="472">
      <c r="A472" s="5" t="str">
        <f>IFERROR(__xludf.DUMMYFUNCTION("""COMPUTED_VALUE"""),"Dr.Melfi's Medicine")</f>
        <v>Dr.Melfi's Medicine</v>
      </c>
      <c r="B472" s="5" t="str">
        <f>IFERROR(__xludf.DUMMYFUNCTION("""COMPUTED_VALUE"""),"혼합")</f>
        <v>혼합</v>
      </c>
      <c r="C472" s="5" t="str">
        <f>IFERROR(__xludf.DUMMYFUNCTION("""COMPUTED_VALUE"""),"쉐이킹")</f>
        <v>쉐이킹</v>
      </c>
      <c r="D472" s="8">
        <f>IFERROR(__xludf.DUMMYFUNCTION("""COMPUTED_VALUE"""),0.0)</f>
        <v>0</v>
      </c>
      <c r="E472" s="5" t="str">
        <f>IFERROR(__xludf.DUMMYFUNCTION("""COMPUTED_VALUE"""),"진 15ml, 캄파리 15ml, 스윗 베르뭇 15ml, 레몬즙 22.5ml, 심플시럽 15ml, 오렌지 웻지")</f>
        <v>진 15ml, 캄파리 15ml, 스윗 베르뭇 15ml, 레몬즙 22.5ml, 심플시럽 15ml, 오렌지 웻지</v>
      </c>
      <c r="F472" s="5"/>
    </row>
    <row r="473">
      <c r="A473" s="5" t="str">
        <f>IFERROR(__xludf.DUMMYFUNCTION("""COMPUTED_VALUE"""),"El Floridita")</f>
        <v>El Floridita</v>
      </c>
      <c r="B473" s="5" t="str">
        <f>IFERROR(__xludf.DUMMYFUNCTION("""COMPUTED_VALUE"""),"럼")</f>
        <v>럼</v>
      </c>
      <c r="C473" s="5" t="str">
        <f>IFERROR(__xludf.DUMMYFUNCTION("""COMPUTED_VALUE"""),"쉐이킹")</f>
        <v>쉐이킹</v>
      </c>
      <c r="D473" s="8">
        <f>IFERROR(__xludf.DUMMYFUNCTION("""COMPUTED_VALUE"""),0.0)</f>
        <v>0</v>
      </c>
      <c r="E473" s="5" t="str">
        <f>IFERROR(__xludf.DUMMYFUNCTION("""COMPUTED_VALUE"""),"화이트 럼 45ml, 스윗 베르뭇 15ml, 라임즙 15ml, 크렘 드 카카오 7.5ml")</f>
        <v>화이트 럼 45ml, 스윗 베르뭇 15ml, 라임즙 15ml, 크렘 드 카카오 7.5ml</v>
      </c>
      <c r="F473" s="5"/>
    </row>
    <row r="474">
      <c r="A474" s="5" t="str">
        <f>IFERROR(__xludf.DUMMYFUNCTION("""COMPUTED_VALUE"""),"Feodora Cobbler")</f>
        <v>Feodora Cobbler</v>
      </c>
      <c r="B474" s="5" t="str">
        <f>IFERROR(__xludf.DUMMYFUNCTION("""COMPUTED_VALUE"""),"혼합")</f>
        <v>혼합</v>
      </c>
      <c r="C474" s="5" t="str">
        <f>IFERROR(__xludf.DUMMYFUNCTION("""COMPUTED_VALUE"""),"빌드")</f>
        <v>빌드</v>
      </c>
      <c r="D474" s="8">
        <f>IFERROR(__xludf.DUMMYFUNCTION("""COMPUTED_VALUE"""),0.0)</f>
        <v>0</v>
      </c>
      <c r="E474" s="5" t="str">
        <f>IFERROR(__xludf.DUMMYFUNCTION("""COMPUTED_VALUE"""),"럼 30ml, 꼬냑 22.5ml, 트리플섹 22.5ml, 탄산수 필업")</f>
        <v>럼 30ml, 꼬냑 22.5ml, 트리플섹 22.5ml, 탄산수 필업</v>
      </c>
      <c r="F474" s="5"/>
    </row>
    <row r="475">
      <c r="A475" s="5" t="str">
        <f>IFERROR(__xludf.DUMMYFUNCTION("""COMPUTED_VALUE"""),"Fifth Avenue")</f>
        <v>Fifth Avenue</v>
      </c>
      <c r="B475" s="5"/>
      <c r="C475" s="5" t="str">
        <f>IFERROR(__xludf.DUMMYFUNCTION("""COMPUTED_VALUE"""),"플로팅")</f>
        <v>플로팅</v>
      </c>
      <c r="D475" s="8">
        <f>IFERROR(__xludf.DUMMYFUNCTION("""COMPUTED_VALUE"""),0.0)</f>
        <v>0</v>
      </c>
      <c r="E475" s="5" t="str">
        <f>IFERROR(__xludf.DUMMYFUNCTION("""COMPUTED_VALUE"""),"크렘 드 카카오 화이트 10ml, 애프리콧 브랜디 10ml, 크림 10ml")</f>
        <v>크렘 드 카카오 화이트 10ml, 애프리콧 브랜디 10ml, 크림 10ml</v>
      </c>
      <c r="F475" s="5"/>
    </row>
    <row r="476">
      <c r="A476" s="5" t="str">
        <f>IFERROR(__xludf.DUMMYFUNCTION("""COMPUTED_VALUE"""),"Foghorn")</f>
        <v>Foghorn</v>
      </c>
      <c r="B476" s="5" t="str">
        <f>IFERROR(__xludf.DUMMYFUNCTION("""COMPUTED_VALUE"""),"진")</f>
        <v>진</v>
      </c>
      <c r="C476" s="5" t="str">
        <f>IFERROR(__xludf.DUMMYFUNCTION("""COMPUTED_VALUE"""),"빌드")</f>
        <v>빌드</v>
      </c>
      <c r="D476" s="8">
        <f>IFERROR(__xludf.DUMMYFUNCTION("""COMPUTED_VALUE"""),0.0)</f>
        <v>0</v>
      </c>
      <c r="E476" s="5" t="str">
        <f>IFERROR(__xludf.DUMMYFUNCTION("""COMPUTED_VALUE"""),"진 60ml, 라임즙 15ml, 진저비어 120ml, 가니쉬 라임 트위스트 or 휠 or 웻지")</f>
        <v>진 60ml, 라임즙 15ml, 진저비어 120ml, 가니쉬 라임 트위스트 or 휠 or 웻지</v>
      </c>
      <c r="F476" s="5"/>
    </row>
    <row r="477">
      <c r="A477" s="5" t="str">
        <f>IFERROR(__xludf.DUMMYFUNCTION("""COMPUTED_VALUE"""),"Kretchma(크렛 치마)")</f>
        <v>Kretchma(크렛 치마)</v>
      </c>
      <c r="B477" s="5" t="str">
        <f>IFERROR(__xludf.DUMMYFUNCTION("""COMPUTED_VALUE"""),"보드카")</f>
        <v>보드카</v>
      </c>
      <c r="C477" s="5" t="str">
        <f>IFERROR(__xludf.DUMMYFUNCTION("""COMPUTED_VALUE"""),"쉐이킹")</f>
        <v>쉐이킹</v>
      </c>
      <c r="D477" s="8">
        <f>IFERROR(__xludf.DUMMYFUNCTION("""COMPUTED_VALUE"""),0.0)</f>
        <v>0</v>
      </c>
      <c r="E477" s="5" t="str">
        <f>IFERROR(__xludf.DUMMYFUNCTION("""COMPUTED_VALUE"""),"보드카 60ml, 크렘 드 카카오 30ml, 레몬즙 22.5ml, 그레나딘 시럽 1바스푼")</f>
        <v>보드카 60ml, 크렘 드 카카오 30ml, 레몬즙 22.5ml, 그레나딘 시럽 1바스푼</v>
      </c>
      <c r="F477" s="5"/>
    </row>
    <row r="478">
      <c r="A478" s="5" t="str">
        <f>IFERROR(__xludf.DUMMYFUNCTION("""COMPUTED_VALUE"""),"Mr. bodi hai")</f>
        <v>Mr. bodi hai</v>
      </c>
      <c r="B478" s="5" t="str">
        <f>IFERROR(__xludf.DUMMYFUNCTION("""COMPUTED_VALUE"""),"럼")</f>
        <v>럼</v>
      </c>
      <c r="C478" s="5" t="str">
        <f>IFERROR(__xludf.DUMMYFUNCTION("""COMPUTED_VALUE"""),"쉐이킹")</f>
        <v>쉐이킹</v>
      </c>
      <c r="D478" s="8">
        <f>IFERROR(__xludf.DUMMYFUNCTION("""COMPUTED_VALUE"""),0.0)</f>
        <v>0</v>
      </c>
      <c r="E478" s="5" t="str">
        <f>IFERROR(__xludf.DUMMYFUNCTION("""COMPUTED_VALUE"""),"럼 45ml, 커피 리큐르 7.5ml, 바나나 리큐르 7.5ml, 파인애플 주스 45ml, 레몬즙 22.5ml, 오르쟈 시럽 15ml, 앙고스투라 비터 1대쉬")</f>
        <v>럼 45ml, 커피 리큐르 7.5ml, 바나나 리큐르 7.5ml, 파인애플 주스 45ml, 레몬즙 22.5ml, 오르쟈 시럽 15ml, 앙고스투라 비터 1대쉬</v>
      </c>
      <c r="F478" s="5"/>
    </row>
    <row r="479">
      <c r="A479" s="5" t="str">
        <f>IFERROR(__xludf.DUMMYFUNCTION("""COMPUTED_VALUE"""),"Nice(by Antibes)")</f>
        <v>Nice(by Antibes)</v>
      </c>
      <c r="B479" s="5" t="str">
        <f>IFERROR(__xludf.DUMMYFUNCTION("""COMPUTED_VALUE"""),"진")</f>
        <v>진</v>
      </c>
      <c r="C479" s="5" t="str">
        <f>IFERROR(__xludf.DUMMYFUNCTION("""COMPUTED_VALUE"""),"쉐이킹")</f>
        <v>쉐이킹</v>
      </c>
      <c r="D479" s="8">
        <f>IFERROR(__xludf.DUMMYFUNCTION("""COMPUTED_VALUE"""),0.0)</f>
        <v>0</v>
      </c>
      <c r="E479" s="5" t="str">
        <f>IFERROR(__xludf.DUMMYFUNCTION("""COMPUTED_VALUE"""),"진 60ml, 베네딕틴 30ml, 자몽주스 60ml, 쉐이킹 후 탄산수 필업")</f>
        <v>진 60ml, 베네딕틴 30ml, 자몽주스 60ml, 쉐이킹 후 탄산수 필업</v>
      </c>
      <c r="F479" s="5"/>
    </row>
    <row r="480">
      <c r="A480" s="5" t="str">
        <f>IFERROR(__xludf.DUMMYFUNCTION("""COMPUTED_VALUE"""),"Old pal")</f>
        <v>Old pal</v>
      </c>
      <c r="B480" s="5" t="str">
        <f>IFERROR(__xludf.DUMMYFUNCTION("""COMPUTED_VALUE"""),"위스키")</f>
        <v>위스키</v>
      </c>
      <c r="C480" s="5" t="str">
        <f>IFERROR(__xludf.DUMMYFUNCTION("""COMPUTED_VALUE"""),"쉐이킹")</f>
        <v>쉐이킹</v>
      </c>
      <c r="D480" s="8">
        <f>IFERROR(__xludf.DUMMYFUNCTION("""COMPUTED_VALUE"""),0.0)</f>
        <v>0</v>
      </c>
      <c r="E480" s="5" t="str">
        <f>IFERROR(__xludf.DUMMYFUNCTION("""COMPUTED_VALUE"""),"라이 위스키 30ml, 드라이 베르뭇 30ml, 캄파리 30ml, 오렌지 필(선택)")</f>
        <v>라이 위스키 30ml, 드라이 베르뭇 30ml, 캄파리 30ml, 오렌지 필(선택)</v>
      </c>
      <c r="F480" s="5"/>
    </row>
    <row r="481">
      <c r="A481" s="5" t="str">
        <f>IFERROR(__xludf.DUMMYFUNCTION("""COMPUTED_VALUE"""),"Otto's Grotto")</f>
        <v>Otto's Grotto</v>
      </c>
      <c r="B481" s="5" t="str">
        <f>IFERROR(__xludf.DUMMYFUNCTION("""COMPUTED_VALUE"""),"혼합")</f>
        <v>혼합</v>
      </c>
      <c r="C481" s="5" t="str">
        <f>IFERROR(__xludf.DUMMYFUNCTION("""COMPUTED_VALUE"""),"쉐이킹")</f>
        <v>쉐이킹</v>
      </c>
      <c r="D481" s="8">
        <f>IFERROR(__xludf.DUMMYFUNCTION("""COMPUTED_VALUE"""),0.0)</f>
        <v>0</v>
      </c>
      <c r="E481" s="5" t="str">
        <f>IFERROR(__xludf.DUMMYFUNCTION("""COMPUTED_VALUE"""),"아이스 커피 150ml, 화이트 럼 45ml, 커피 리큐르 22.5ml, 바닐라 리큐르 22.5ml, 쉐이킹 후 휘핑크림 취향껏")</f>
        <v>아이스 커피 150ml, 화이트 럼 45ml, 커피 리큐르 22.5ml, 바닐라 리큐르 22.5ml, 쉐이킹 후 휘핑크림 취향껏</v>
      </c>
      <c r="F481" s="5"/>
    </row>
    <row r="482">
      <c r="A482" s="5" t="str">
        <f>IFERROR(__xludf.DUMMYFUNCTION("""COMPUTED_VALUE"""),"P.S. I love you")</f>
        <v>P.S. I love you</v>
      </c>
      <c r="B482" s="5" t="str">
        <f>IFERROR(__xludf.DUMMYFUNCTION("""COMPUTED_VALUE"""),"다크럼")</f>
        <v>다크럼</v>
      </c>
      <c r="C482" s="5" t="str">
        <f>IFERROR(__xludf.DUMMYFUNCTION("""COMPUTED_VALUE"""),"쉐이킹")</f>
        <v>쉐이킹</v>
      </c>
      <c r="D482" s="8">
        <f>IFERROR(__xludf.DUMMYFUNCTION("""COMPUTED_VALUE"""),0.0)</f>
        <v>0</v>
      </c>
      <c r="E482" s="5" t="str">
        <f>IFERROR(__xludf.DUMMYFUNCTION("""COMPUTED_VALUE"""),"다크럼 15ml, 아마레또 30ml, 베일리스 45ml, 깔루아 30ml, 우유 30ml")</f>
        <v>다크럼 15ml, 아마레또 30ml, 베일리스 45ml, 깔루아 30ml, 우유 30ml</v>
      </c>
      <c r="F482" s="5"/>
    </row>
    <row r="483">
      <c r="A483" s="5" t="str">
        <f>IFERROR(__xludf.DUMMYFUNCTION("""COMPUTED_VALUE"""),"Pain in the ass")</f>
        <v>Pain in the ass</v>
      </c>
      <c r="B483" s="5" t="str">
        <f>IFERROR(__xludf.DUMMYFUNCTION("""COMPUTED_VALUE"""),"오버프루프 럼")</f>
        <v>오버프루프 럼</v>
      </c>
      <c r="C483" s="5" t="str">
        <f>IFERROR(__xludf.DUMMYFUNCTION("""COMPUTED_VALUE"""),"쉐이킹")</f>
        <v>쉐이킹</v>
      </c>
      <c r="D483" s="8">
        <f>IFERROR(__xludf.DUMMYFUNCTION("""COMPUTED_VALUE"""),0.0)</f>
        <v>0</v>
      </c>
      <c r="E483" s="5" t="str">
        <f>IFERROR(__xludf.DUMMYFUNCTION("""COMPUTED_VALUE"""),"멜론 리큐르 30ml, 151 15ml, 말리부 30ml, 애플퍼커 15ml, 파인애플 주스 60ml, 사이다 60ml(쉐이킹 후)")</f>
        <v>멜론 리큐르 30ml, 151 15ml, 말리부 30ml, 애플퍼커 15ml, 파인애플 주스 60ml, 사이다 60ml(쉐이킹 후)</v>
      </c>
      <c r="F483" s="5"/>
    </row>
    <row r="484">
      <c r="A484" s="5" t="str">
        <f>IFERROR(__xludf.DUMMYFUNCTION("""COMPUTED_VALUE"""),"Pan Am")</f>
        <v>Pan Am</v>
      </c>
      <c r="B484" s="5" t="str">
        <f>IFERROR(__xludf.DUMMYFUNCTION("""COMPUTED_VALUE"""),"럼")</f>
        <v>럼</v>
      </c>
      <c r="C484" s="5" t="str">
        <f>IFERROR(__xludf.DUMMYFUNCTION("""COMPUTED_VALUE"""),"쉐이킹")</f>
        <v>쉐이킹</v>
      </c>
      <c r="D484" s="8">
        <f>IFERROR(__xludf.DUMMYFUNCTION("""COMPUTED_VALUE"""),0.0)</f>
        <v>0</v>
      </c>
      <c r="E484" s="5" t="str">
        <f>IFERROR(__xludf.DUMMYFUNCTION("""COMPUTED_VALUE"""),"화이트 럼 45ml, 캄파리 15ml, 레몬즙 30ml, 오르쟈 시럽 15ml, 계란 흰자 1개, 드라이 쉐이킹 후 쉐이킹, 비터 4대쉬(비터 아트 만들기)")</f>
        <v>화이트 럼 45ml, 캄파리 15ml, 레몬즙 30ml, 오르쟈 시럽 15ml, 계란 흰자 1개, 드라이 쉐이킹 후 쉐이킹, 비터 4대쉬(비터 아트 만들기)</v>
      </c>
      <c r="F484" s="5"/>
    </row>
    <row r="485">
      <c r="A485" s="5" t="str">
        <f>IFERROR(__xludf.DUMMYFUNCTION("""COMPUTED_VALUE"""),"Park avenue")</f>
        <v>Park avenue</v>
      </c>
      <c r="B485" s="5" t="str">
        <f>IFERROR(__xludf.DUMMYFUNCTION("""COMPUTED_VALUE"""),"진")</f>
        <v>진</v>
      </c>
      <c r="C485" s="5" t="str">
        <f>IFERROR(__xludf.DUMMYFUNCTION("""COMPUTED_VALUE"""),"쉐이킹")</f>
        <v>쉐이킹</v>
      </c>
      <c r="D485" s="8">
        <f>IFERROR(__xludf.DUMMYFUNCTION("""COMPUTED_VALUE"""),0.0)</f>
        <v>0</v>
      </c>
      <c r="E485" s="5" t="str">
        <f>IFERROR(__xludf.DUMMYFUNCTION("""COMPUTED_VALUE"""),"드라이 진 50ml, 파인애플 주스 25ml, 스윗 베르뭇 15ml, 블루 큐라소 1바스푼")</f>
        <v>드라이 진 50ml, 파인애플 주스 25ml, 스윗 베르뭇 15ml, 블루 큐라소 1바스푼</v>
      </c>
      <c r="F485" s="5"/>
    </row>
    <row r="486">
      <c r="A486" s="5" t="str">
        <f>IFERROR(__xludf.DUMMYFUNCTION("""COMPUTED_VALUE"""),"Pompier(소방관)")</f>
        <v>Pompier(소방관)</v>
      </c>
      <c r="B486" s="5" t="str">
        <f>IFERROR(__xludf.DUMMYFUNCTION("""COMPUTED_VALUE"""),"리큐르")</f>
        <v>리큐르</v>
      </c>
      <c r="C486" s="5" t="str">
        <f>IFERROR(__xludf.DUMMYFUNCTION("""COMPUTED_VALUE"""),"빌드")</f>
        <v>빌드</v>
      </c>
      <c r="D486" s="8">
        <f>IFERROR(__xludf.DUMMYFUNCTION("""COMPUTED_VALUE"""),0.0)</f>
        <v>0</v>
      </c>
      <c r="E486" s="5" t="str">
        <f>IFERROR(__xludf.DUMMYFUNCTION("""COMPUTED_VALUE"""),"드라이 베르뭇 90ml, 카시스 15ml, 탄산수 120ml")</f>
        <v>드라이 베르뭇 90ml, 카시스 15ml, 탄산수 120ml</v>
      </c>
      <c r="F486" s="5"/>
    </row>
    <row r="487">
      <c r="A487" s="5" t="str">
        <f>IFERROR(__xludf.DUMMYFUNCTION("""COMPUTED_VALUE"""),"Presbyterian")</f>
        <v>Presbyterian</v>
      </c>
      <c r="B487" s="5" t="str">
        <f>IFERROR(__xludf.DUMMYFUNCTION("""COMPUTED_VALUE"""),"위스키")</f>
        <v>위스키</v>
      </c>
      <c r="C487" s="5" t="str">
        <f>IFERROR(__xludf.DUMMYFUNCTION("""COMPUTED_VALUE"""),"빌드")</f>
        <v>빌드</v>
      </c>
      <c r="D487" s="8">
        <f>IFERROR(__xludf.DUMMYFUNCTION("""COMPUTED_VALUE"""),0.0)</f>
        <v>0</v>
      </c>
      <c r="E487" s="5" t="str">
        <f>IFERROR(__xludf.DUMMYFUNCTION("""COMPUTED_VALUE"""),"위스키 60ml, 진저에일 45ml, 탄산수 45ml")</f>
        <v>위스키 60ml, 진저에일 45ml, 탄산수 45ml</v>
      </c>
      <c r="F487" s="5"/>
    </row>
    <row r="488">
      <c r="A488" s="5" t="str">
        <f>IFERROR(__xludf.DUMMYFUNCTION("""COMPUTED_VALUE"""),"Something Tropical")</f>
        <v>Something Tropical</v>
      </c>
      <c r="B488" s="5" t="str">
        <f>IFERROR(__xludf.DUMMYFUNCTION("""COMPUTED_VALUE"""),"다크럼")</f>
        <v>다크럼</v>
      </c>
      <c r="C488" s="5" t="str">
        <f>IFERROR(__xludf.DUMMYFUNCTION("""COMPUTED_VALUE"""),"쉐이킹")</f>
        <v>쉐이킹</v>
      </c>
      <c r="D488" s="8">
        <f>IFERROR(__xludf.DUMMYFUNCTION("""COMPUTED_VALUE"""),0.0)</f>
        <v>0</v>
      </c>
      <c r="E488" s="5" t="str">
        <f>IFERROR(__xludf.DUMMYFUNCTION("""COMPUTED_VALUE"""),"다크럼 60ml, 파인애플 주스 60ml, 설탕시럽 or 오르쟈 시럽 15ml, 라임즙 15ml, 피치 리큐르 7.5ml, 앙고스투라 비터 2대쉬, 레몬 슬라이스")</f>
        <v>다크럼 60ml, 파인애플 주스 60ml, 설탕시럽 or 오르쟈 시럽 15ml, 라임즙 15ml, 피치 리큐르 7.5ml, 앙고스투라 비터 2대쉬, 레몬 슬라이스</v>
      </c>
      <c r="F488" s="5"/>
    </row>
    <row r="489">
      <c r="A489" s="5" t="str">
        <f>IFERROR(__xludf.DUMMYFUNCTION("""COMPUTED_VALUE"""),"Suburban")</f>
        <v>Suburban</v>
      </c>
      <c r="B489" s="5" t="str">
        <f>IFERROR(__xludf.DUMMYFUNCTION("""COMPUTED_VALUE"""),"혼합")</f>
        <v>혼합</v>
      </c>
      <c r="C489" s="5" t="str">
        <f>IFERROR(__xludf.DUMMYFUNCTION("""COMPUTED_VALUE"""),"스터")</f>
        <v>스터</v>
      </c>
      <c r="D489" s="8">
        <f>IFERROR(__xludf.DUMMYFUNCTION("""COMPUTED_VALUE"""),0.0)</f>
        <v>0</v>
      </c>
      <c r="E489" s="5" t="str">
        <f>IFERROR(__xludf.DUMMYFUNCTION("""COMPUTED_VALUE"""),"라이 or 버번 or 블렌디드 위스키 45ml, 다크 럼 15ml, 포트와인 15ml, 앙고스투라 비터 1대쉬, 오렌지 비터 1대쉬")</f>
        <v>라이 or 버번 or 블렌디드 위스키 45ml, 다크 럼 15ml, 포트와인 15ml, 앙고스투라 비터 1대쉬, 오렌지 비터 1대쉬</v>
      </c>
      <c r="F489" s="5"/>
    </row>
    <row r="490">
      <c r="A490" s="5" t="str">
        <f>IFERROR(__xludf.DUMMYFUNCTION("""COMPUTED_VALUE"""),"The Rug")</f>
        <v>The Rug</v>
      </c>
      <c r="B490" s="5" t="str">
        <f>IFERROR(__xludf.DUMMYFUNCTION("""COMPUTED_VALUE"""),"버번")</f>
        <v>버번</v>
      </c>
      <c r="C490" s="5" t="str">
        <f>IFERROR(__xludf.DUMMYFUNCTION("""COMPUTED_VALUE"""),"스터")</f>
        <v>스터</v>
      </c>
      <c r="D490" s="8">
        <f>IFERROR(__xludf.DUMMYFUNCTION("""COMPUTED_VALUE"""),0.0)</f>
        <v>0</v>
      </c>
      <c r="E490" s="5" t="str">
        <f>IFERROR(__xludf.DUMMYFUNCTION("""COMPUTED_VALUE"""),"버번 위스키 30ml, 코코넛 크림 4티스푼, 커피 리큐르 4티스푼")</f>
        <v>버번 위스키 30ml, 코코넛 크림 4티스푼, 커피 리큐르 4티스푼</v>
      </c>
      <c r="F490" s="5"/>
    </row>
    <row r="491">
      <c r="A491" s="5" t="str">
        <f>IFERROR(__xludf.DUMMYFUNCTION("""COMPUTED_VALUE"""),"Tinto de Verano")</f>
        <v>Tinto de Verano</v>
      </c>
      <c r="B491" s="5" t="str">
        <f>IFERROR(__xludf.DUMMYFUNCTION("""COMPUTED_VALUE"""),"와인")</f>
        <v>와인</v>
      </c>
      <c r="C491" s="5" t="str">
        <f>IFERROR(__xludf.DUMMYFUNCTION("""COMPUTED_VALUE"""),"빌드")</f>
        <v>빌드</v>
      </c>
      <c r="D491" s="8">
        <f>IFERROR(__xludf.DUMMYFUNCTION("""COMPUTED_VALUE"""),0.0)</f>
        <v>0</v>
      </c>
      <c r="E491" s="5" t="str">
        <f>IFERROR(__xludf.DUMMYFUNCTION("""COMPUTED_VALUE"""),"레드 와인 90ml, 레몬 소다 90ml")</f>
        <v>레드 와인 90ml, 레몬 소다 90ml</v>
      </c>
      <c r="F491" s="5"/>
    </row>
    <row r="492">
      <c r="A492" s="5" t="str">
        <f>IFERROR(__xludf.DUMMYFUNCTION("""COMPUTED_VALUE"""),"Toasted Almond")</f>
        <v>Toasted Almond</v>
      </c>
      <c r="B492" s="5" t="str">
        <f>IFERROR(__xludf.DUMMYFUNCTION("""COMPUTED_VALUE"""),"리큐르")</f>
        <v>리큐르</v>
      </c>
      <c r="C492" s="5" t="str">
        <f>IFERROR(__xludf.DUMMYFUNCTION("""COMPUTED_VALUE"""),"쉐이킹")</f>
        <v>쉐이킹</v>
      </c>
      <c r="D492" s="8">
        <f>IFERROR(__xludf.DUMMYFUNCTION("""COMPUTED_VALUE"""),0.0)</f>
        <v>0</v>
      </c>
      <c r="E492" s="5" t="str">
        <f>IFERROR(__xludf.DUMMYFUNCTION("""COMPUTED_VALUE"""),"아마레또 45ml, 커피 리큐르 45ml, 크림 or 우유 30ml")</f>
        <v>아마레또 45ml, 커피 리큐르 45ml, 크림 or 우유 30ml</v>
      </c>
      <c r="F492" s="5"/>
    </row>
    <row r="493">
      <c r="A493" s="5" t="str">
        <f>IFERROR(__xludf.DUMMYFUNCTION("""COMPUTED_VALUE"""),"Ward Eight")</f>
        <v>Ward Eight</v>
      </c>
      <c r="B493" s="5" t="str">
        <f>IFERROR(__xludf.DUMMYFUNCTION("""COMPUTED_VALUE"""),"위스키")</f>
        <v>위스키</v>
      </c>
      <c r="C493" s="5" t="str">
        <f>IFERROR(__xludf.DUMMYFUNCTION("""COMPUTED_VALUE"""),"쉐이킹")</f>
        <v>쉐이킹</v>
      </c>
      <c r="D493" s="8">
        <f>IFERROR(__xludf.DUMMYFUNCTION("""COMPUTED_VALUE"""),0.0)</f>
        <v>0</v>
      </c>
      <c r="E493" s="5" t="str">
        <f>IFERROR(__xludf.DUMMYFUNCTION("""COMPUTED_VALUE"""),"라이 위스키 60ml, 레몬즙 15ml, 오렌지 주스 15ml, 그레나딘 시럽 2티스푼")</f>
        <v>라이 위스키 60ml, 레몬즙 15ml, 오렌지 주스 15ml, 그레나딘 시럽 2티스푼</v>
      </c>
      <c r="F493" s="5"/>
    </row>
    <row r="494">
      <c r="A494" s="5" t="str">
        <f>IFERROR(__xludf.DUMMYFUNCTION("""COMPUTED_VALUE"""),"White Witch")</f>
        <v>White Witch</v>
      </c>
      <c r="B494" s="5" t="str">
        <f>IFERROR(__xludf.DUMMYFUNCTION("""COMPUTED_VALUE"""),"오버프루프 럼")</f>
        <v>오버프루프 럼</v>
      </c>
      <c r="C494" s="5" t="str">
        <f>IFERROR(__xludf.DUMMYFUNCTION("""COMPUTED_VALUE"""),"쉐이킹")</f>
        <v>쉐이킹</v>
      </c>
      <c r="D494" s="8">
        <f>IFERROR(__xludf.DUMMYFUNCTION("""COMPUTED_VALUE"""),0.0)</f>
        <v>0</v>
      </c>
      <c r="E494" s="5" t="str">
        <f>IFERROR(__xludf.DUMMYFUNCTION("""COMPUTED_VALUE"""),"오버프루프 럼 30ml, 오렌지 큐라소 15ml, 크렘 드 카카오 15ml, 라임즙 15ml, 쉐이킹 후 탄산수 90ml")</f>
        <v>오버프루프 럼 30ml, 오렌지 큐라소 15ml, 크렘 드 카카오 15ml, 라임즙 15ml, 쉐이킹 후 탄산수 90ml</v>
      </c>
      <c r="F494" s="5"/>
    </row>
    <row r="495">
      <c r="A495" s="5" t="str">
        <f>IFERROR(__xludf.DUMMYFUNCTION("""COMPUTED_VALUE"""),"X썬라이즈")</f>
        <v>X썬라이즈</v>
      </c>
      <c r="B495" s="5" t="str">
        <f>IFERROR(__xludf.DUMMYFUNCTION("""COMPUTED_VALUE"""),"X레이티드")</f>
        <v>X레이티드</v>
      </c>
      <c r="C495" s="5" t="str">
        <f>IFERROR(__xludf.DUMMYFUNCTION("""COMPUTED_VALUE"""),"쉐이킹")</f>
        <v>쉐이킹</v>
      </c>
      <c r="D495" s="8">
        <f>IFERROR(__xludf.DUMMYFUNCTION("""COMPUTED_VALUE"""),0.0)</f>
        <v>0</v>
      </c>
      <c r="E495" s="5" t="str">
        <f>IFERROR(__xludf.DUMMYFUNCTION("""COMPUTED_VALUE"""),"X레이티드 60ml, 데낄라 블랑코 30ml, 오렌지 주스 60ml")</f>
        <v>X레이티드 60ml, 데낄라 블랑코 30ml, 오렌지 주스 60ml</v>
      </c>
      <c r="F495" s="5"/>
    </row>
    <row r="496">
      <c r="A496" s="5" t="str">
        <f>IFERROR(__xludf.DUMMYFUNCTION("""COMPUTED_VALUE"""),"X온더비치")</f>
        <v>X온더비치</v>
      </c>
      <c r="B496" s="5" t="str">
        <f>IFERROR(__xludf.DUMMYFUNCTION("""COMPUTED_VALUE"""),"X레이티드")</f>
        <v>X레이티드</v>
      </c>
      <c r="C496" s="5" t="str">
        <f>IFERROR(__xludf.DUMMYFUNCTION("""COMPUTED_VALUE"""),"빌드")</f>
        <v>빌드</v>
      </c>
      <c r="D496" s="8">
        <f>IFERROR(__xludf.DUMMYFUNCTION("""COMPUTED_VALUE"""),0.0)</f>
        <v>0</v>
      </c>
      <c r="E496" s="5" t="str">
        <f>IFERROR(__xludf.DUMMYFUNCTION("""COMPUTED_VALUE"""),"X레이티드 30ml, 피치트리 30ml, 파인애플 주스 30ml, 탄산수 60ml, 시럽 10ml")</f>
        <v>X레이티드 30ml, 피치트리 30ml, 파인애플 주스 30ml, 탄산수 60ml, 시럽 10ml</v>
      </c>
      <c r="F496" s="5"/>
    </row>
    <row r="497">
      <c r="A497" s="5" t="str">
        <f>IFERROR(__xludf.DUMMYFUNCTION("""COMPUTED_VALUE"""),"XYZ")</f>
        <v>XYZ</v>
      </c>
      <c r="B497" s="5" t="str">
        <f>IFERROR(__xludf.DUMMYFUNCTION("""COMPUTED_VALUE"""),"럼")</f>
        <v>럼</v>
      </c>
      <c r="C497" s="5" t="str">
        <f>IFERROR(__xludf.DUMMYFUNCTION("""COMPUTED_VALUE"""),"쉐이킹")</f>
        <v>쉐이킹</v>
      </c>
      <c r="D497" s="8">
        <f>IFERROR(__xludf.DUMMYFUNCTION("""COMPUTED_VALUE"""),0.0)</f>
        <v>0</v>
      </c>
      <c r="E497" s="5" t="str">
        <f>IFERROR(__xludf.DUMMYFUNCTION("""COMPUTED_VALUE"""),"화이트 럼 30ml, 코앵트로 15ml, 레몬즙 15ml")</f>
        <v>화이트 럼 30ml, 코앵트로 15ml, 레몬즙 15ml</v>
      </c>
      <c r="F497" s="5"/>
    </row>
    <row r="498">
      <c r="A498" s="5" t="str">
        <f>IFERROR(__xludf.DUMMYFUNCTION("""COMPUTED_VALUE"""),"Yena")</f>
        <v>Yena</v>
      </c>
      <c r="B498" s="5" t="str">
        <f>IFERROR(__xludf.DUMMYFUNCTION("""COMPUTED_VALUE"""),"혼합")</f>
        <v>혼합</v>
      </c>
      <c r="C498" s="5" t="str">
        <f>IFERROR(__xludf.DUMMYFUNCTION("""COMPUTED_VALUE"""),"스터")</f>
        <v>스터</v>
      </c>
      <c r="D498" s="8">
        <f>IFERROR(__xludf.DUMMYFUNCTION("""COMPUTED_VALUE"""),0.0)</f>
        <v>0</v>
      </c>
      <c r="E498" s="5" t="str">
        <f>IFERROR(__xludf.DUMMYFUNCTION("""COMPUTED_VALUE"""),"고지 리큐르 45ml, 캄파리 30ml, 카시스 30ml, 보드카 15ml, 아로마틱 비터 2대쉬, 체리 가니쉬")</f>
        <v>고지 리큐르 45ml, 캄파리 30ml, 카시스 30ml, 보드카 15ml, 아로마틱 비터 2대쉬, 체리 가니쉬</v>
      </c>
      <c r="F498" s="5"/>
    </row>
    <row r="499">
      <c r="A499" s="5" t="str">
        <f>IFERROR(__xludf.DUMMYFUNCTION("""COMPUTED_VALUE"""),"Young Man")</f>
        <v>Young Man</v>
      </c>
      <c r="B499" s="5" t="str">
        <f>IFERROR(__xludf.DUMMYFUNCTION("""COMPUTED_VALUE"""),"브랜디")</f>
        <v>브랜디</v>
      </c>
      <c r="C499" s="5" t="str">
        <f>IFERROR(__xludf.DUMMYFUNCTION("""COMPUTED_VALUE"""),"스터")</f>
        <v>스터</v>
      </c>
      <c r="D499" s="8">
        <f>IFERROR(__xludf.DUMMYFUNCTION("""COMPUTED_VALUE"""),0.0)</f>
        <v>0</v>
      </c>
      <c r="E499" s="5" t="str">
        <f>IFERROR(__xludf.DUMMYFUNCTION("""COMPUTED_VALUE"""),"브랜디 45ml, 드라이 베르뭇 15ml, 오렌지 큐라소 2대쉬, 앙고스투라 비터 1대쉬")</f>
        <v>브랜디 45ml, 드라이 베르뭇 15ml, 오렌지 큐라소 2대쉬, 앙고스투라 비터 1대쉬</v>
      </c>
      <c r="F499" s="5"/>
    </row>
    <row r="500">
      <c r="A500" s="5" t="str">
        <f>IFERROR(__xludf.DUMMYFUNCTION("""COMPUTED_VALUE"""),"Zoom")</f>
        <v>Zoom</v>
      </c>
      <c r="B500" s="5" t="str">
        <f>IFERROR(__xludf.DUMMYFUNCTION("""COMPUTED_VALUE"""),"꼬냑 or 브랜디")</f>
        <v>꼬냑 or 브랜디</v>
      </c>
      <c r="C500" s="5" t="str">
        <f>IFERROR(__xludf.DUMMYFUNCTION("""COMPUTED_VALUE"""),"쉐이킹")</f>
        <v>쉐이킹</v>
      </c>
      <c r="D500" s="8">
        <f>IFERROR(__xludf.DUMMYFUNCTION("""COMPUTED_VALUE"""),0.0)</f>
        <v>0</v>
      </c>
      <c r="E500" s="5" t="str">
        <f>IFERROR(__xludf.DUMMYFUNCTION("""COMPUTED_VALUE"""),"꼬냑 or 브랜디 75ml, 크림 15ml, 우유 15ml, 꿀 2큰술, 가니쉬 초콜릿 파우더 or 조각")</f>
        <v>꼬냑 or 브랜디 75ml, 크림 15ml, 우유 15ml, 꿀 2큰술, 가니쉬 초콜릿 파우더 or 조각</v>
      </c>
      <c r="F500" s="5"/>
    </row>
    <row r="501">
      <c r="A501" s="5" t="str">
        <f>IFERROR(__xludf.DUMMYFUNCTION("""COMPUTED_VALUE"""),"오아시스 선라이즈")</f>
        <v>오아시스 선라이즈</v>
      </c>
      <c r="B501" s="5" t="str">
        <f>IFERROR(__xludf.DUMMYFUNCTION("""COMPUTED_VALUE"""),"혼합")</f>
        <v>혼합</v>
      </c>
      <c r="C501" s="5" t="str">
        <f>IFERROR(__xludf.DUMMYFUNCTION("""COMPUTED_VALUE"""),"빌드 or 쉐이킹")</f>
        <v>빌드 or 쉐이킹</v>
      </c>
      <c r="D501" s="8">
        <f>IFERROR(__xludf.DUMMYFUNCTION("""COMPUTED_VALUE"""),0.0)</f>
        <v>0</v>
      </c>
      <c r="E501" s="5" t="str">
        <f>IFERROR(__xludf.DUMMYFUNCTION("""COMPUTED_VALUE"""),"데낄라 30ml, 럼 15ml, 말리부 15~30ml, 트리플 섹 15ml, 레몬즙 15ml, 그레나딘 시럽 15ml, 오렌지 주스 90~120ml")</f>
        <v>데낄라 30ml, 럼 15ml, 말리부 15~30ml, 트리플 섹 15ml, 레몬즙 15ml, 그레나딘 시럽 15ml, 오렌지 주스 90~120ml</v>
      </c>
      <c r="F501" s="5"/>
    </row>
    <row r="502">
      <c r="A502" s="5" t="str">
        <f>IFERROR(__xludf.DUMMYFUNCTION("""COMPUTED_VALUE"""),"루비")</f>
        <v>루비</v>
      </c>
      <c r="B502" s="5" t="str">
        <f>IFERROR(__xludf.DUMMYFUNCTION("""COMPUTED_VALUE"""),"보드카")</f>
        <v>보드카</v>
      </c>
      <c r="C502" s="5" t="str">
        <f>IFERROR(__xludf.DUMMYFUNCTION("""COMPUTED_VALUE"""),"스터")</f>
        <v>스터</v>
      </c>
      <c r="D502" s="8">
        <f>IFERROR(__xludf.DUMMYFUNCTION("""COMPUTED_VALUE"""),0.0)</f>
        <v>0</v>
      </c>
      <c r="E502" s="5" t="str">
        <f>IFERROR(__xludf.DUMMYFUNCTION("""COMPUTED_VALUE"""),"보드카 30~45ml, 크렌베리 주스 45ml, 복숭아에이드(GS25) 필업")</f>
        <v>보드카 30~45ml, 크렌베리 주스 45ml, 복숭아에이드(GS25) 필업</v>
      </c>
      <c r="F502" s="5"/>
    </row>
    <row r="503">
      <c r="A503" s="5" t="str">
        <f>IFERROR(__xludf.DUMMYFUNCTION("""COMPUTED_VALUE"""),"브램블")</f>
        <v>브램블</v>
      </c>
      <c r="B503" s="5" t="str">
        <f>IFERROR(__xludf.DUMMYFUNCTION("""COMPUTED_VALUE"""),"진")</f>
        <v>진</v>
      </c>
      <c r="C503" s="5" t="str">
        <f>IFERROR(__xludf.DUMMYFUNCTION("""COMPUTED_VALUE"""),"쉐이킹")</f>
        <v>쉐이킹</v>
      </c>
      <c r="D503" s="8">
        <f>IFERROR(__xludf.DUMMYFUNCTION("""COMPUTED_VALUE"""),0.0)</f>
        <v>0</v>
      </c>
      <c r="E503" s="5" t="str">
        <f>IFERROR(__xludf.DUMMYFUNCTION("""COMPUTED_VALUE"""),"진 40ml, 레몬즙 15ml, 심플시럽 10ml, 쉐이킹 후 카시스 15ml")</f>
        <v>진 40ml, 레몬즙 15ml, 심플시럽 10ml, 쉐이킹 후 카시스 15ml</v>
      </c>
      <c r="F503" s="5"/>
    </row>
    <row r="504">
      <c r="A504" s="5" t="str">
        <f>IFERROR(__xludf.DUMMYFUNCTION("""COMPUTED_VALUE"""),"콥스리바이버 No.2")</f>
        <v>콥스리바이버 No.2</v>
      </c>
      <c r="B504" s="5" t="str">
        <f>IFERROR(__xludf.DUMMYFUNCTION("""COMPUTED_VALUE"""),"혼합")</f>
        <v>혼합</v>
      </c>
      <c r="C504" s="5" t="str">
        <f>IFERROR(__xludf.DUMMYFUNCTION("""COMPUTED_VALUE"""),"스터")</f>
        <v>스터</v>
      </c>
      <c r="D504" s="8">
        <f>IFERROR(__xludf.DUMMYFUNCTION("""COMPUTED_VALUE"""),0.0)</f>
        <v>0</v>
      </c>
      <c r="E504" s="5" t="str">
        <f>IFERROR(__xludf.DUMMYFUNCTION("""COMPUTED_VALUE"""),"진 22.5ml, 트리플 섹 22.5ml, 릴레블랑 22.5ml, 레몬즙 22.5ml, 압생트 2대쉬")</f>
        <v>진 22.5ml, 트리플 섹 22.5ml, 릴레블랑 22.5ml, 레몬즙 22.5ml, 압생트 2대쉬</v>
      </c>
      <c r="F504" s="5"/>
    </row>
    <row r="505">
      <c r="A505" s="5" t="str">
        <f>IFERROR(__xludf.DUMMYFUNCTION("""COMPUTED_VALUE"""),"사제락")</f>
        <v>사제락</v>
      </c>
      <c r="B505" s="5" t="str">
        <f>IFERROR(__xludf.DUMMYFUNCTION("""COMPUTED_VALUE"""),"혼합")</f>
        <v>혼합</v>
      </c>
      <c r="C505" s="5" t="str">
        <f>IFERROR(__xludf.DUMMYFUNCTION("""COMPUTED_VALUE"""),"스터(가니쉬 레몬필)")</f>
        <v>스터(가니쉬 레몬필)</v>
      </c>
      <c r="D505" s="8">
        <f>IFERROR(__xludf.DUMMYFUNCTION("""COMPUTED_VALUE"""),0.0)</f>
        <v>0</v>
      </c>
      <c r="E505" s="5" t="str">
        <f>IFERROR(__xludf.DUMMYFUNCTION("""COMPUTED_VALUE"""),"꼬냑 22.5ml, 라이 위스키 22.5ml, 심플시럽 10ml, 페이쇼드 비터 3대쉬, 앙고스투라 비터 1대쉬, 스터 후 압생트 코팅한 올패 글라스(얼음X)")</f>
        <v>꼬냑 22.5ml, 라이 위스키 22.5ml, 심플시럽 10ml, 페이쇼드 비터 3대쉬, 앙고스투라 비터 1대쉬, 스터 후 압생트 코팅한 올패 글라스(얼음X)</v>
      </c>
      <c r="F505" s="5"/>
    </row>
    <row r="506">
      <c r="A506" s="5" t="str">
        <f>IFERROR(__xludf.DUMMYFUNCTION("""COMPUTED_VALUE"""),"뷰카레")</f>
        <v>뷰카레</v>
      </c>
      <c r="B506" s="5" t="str">
        <f>IFERROR(__xludf.DUMMYFUNCTION("""COMPUTED_VALUE"""),"혼합")</f>
        <v>혼합</v>
      </c>
      <c r="C506" s="5" t="str">
        <f>IFERROR(__xludf.DUMMYFUNCTION("""COMPUTED_VALUE"""),"스터")</f>
        <v>스터</v>
      </c>
      <c r="D506" s="8">
        <f>IFERROR(__xludf.DUMMYFUNCTION("""COMPUTED_VALUE"""),0.0)</f>
        <v>0</v>
      </c>
      <c r="E506" s="5" t="str">
        <f>IFERROR(__xludf.DUMMYFUNCTION("""COMPUTED_VALUE"""),"라이 위스키 22.5ml, 꼬냑 22.5ml, 스윗 베르뭇 22.5ml, 베네딕틴 10ml, 페이쇼드 비터 2대쉬, 앙고스투라 비터 1대쉬, 가니쉬 레몬필")</f>
        <v>라이 위스키 22.5ml, 꼬냑 22.5ml, 스윗 베르뭇 22.5ml, 베네딕틴 10ml, 페이쇼드 비터 2대쉬, 앙고스투라 비터 1대쉬, 가니쉬 레몬필</v>
      </c>
      <c r="F506" s="5"/>
    </row>
    <row r="507">
      <c r="A507" s="5" t="str">
        <f>IFERROR(__xludf.DUMMYFUNCTION("""COMPUTED_VALUE"""),"오후의 죽음")</f>
        <v>오후의 죽음</v>
      </c>
      <c r="B507" s="5" t="str">
        <f>IFERROR(__xludf.DUMMYFUNCTION("""COMPUTED_VALUE"""),"압생트")</f>
        <v>압생트</v>
      </c>
      <c r="C507" s="5" t="str">
        <f>IFERROR(__xludf.DUMMYFUNCTION("""COMPUTED_VALUE"""),"빌드")</f>
        <v>빌드</v>
      </c>
      <c r="D507" s="8">
        <f>IFERROR(__xludf.DUMMYFUNCTION("""COMPUTED_VALUE"""),0.0)</f>
        <v>0</v>
      </c>
      <c r="E507" s="5" t="str">
        <f>IFERROR(__xludf.DUMMYFUNCTION("""COMPUTED_VALUE"""),"압생트 45ml, 샴페인 풀업")</f>
        <v>압생트 45ml, 샴페인 풀업</v>
      </c>
      <c r="F507" s="5"/>
    </row>
    <row r="508">
      <c r="A508" s="5" t="str">
        <f>IFERROR(__xludf.DUMMYFUNCTION("""COMPUTED_VALUE"""),"비치 워터")</f>
        <v>비치 워터</v>
      </c>
      <c r="B508" s="5" t="str">
        <f>IFERROR(__xludf.DUMMYFUNCTION("""COMPUTED_VALUE"""),"혼합")</f>
        <v>혼합</v>
      </c>
      <c r="C508" s="5" t="str">
        <f>IFERROR(__xludf.DUMMYFUNCTION("""COMPUTED_VALUE"""),"빌드")</f>
        <v>빌드</v>
      </c>
      <c r="D508" s="8">
        <f>IFERROR(__xludf.DUMMYFUNCTION("""COMPUTED_VALUE"""),0.0)</f>
        <v>0</v>
      </c>
      <c r="E508" s="5" t="str">
        <f>IFERROR(__xludf.DUMMYFUNCTION("""COMPUTED_VALUE"""),"보드카 37.5ml, 말리부 52.5ml, 블루 큐라소 22.5ml, 스프라이트 풀업")</f>
        <v>보드카 37.5ml, 말리부 52.5ml, 블루 큐라소 22.5ml, 스프라이트 풀업</v>
      </c>
      <c r="F508" s="5"/>
    </row>
    <row r="509">
      <c r="A509" s="5" t="str">
        <f>IFERROR(__xludf.DUMMYFUNCTION("""COMPUTED_VALUE"""),"버블검 베어")</f>
        <v>버블검 베어</v>
      </c>
      <c r="B509" s="5" t="str">
        <f>IFERROR(__xludf.DUMMYFUNCTION("""COMPUTED_VALUE"""),"혼합")</f>
        <v>혼합</v>
      </c>
      <c r="C509" s="5" t="str">
        <f>IFERROR(__xludf.DUMMYFUNCTION("""COMPUTED_VALUE"""),"쉐이킹")</f>
        <v>쉐이킹</v>
      </c>
      <c r="D509" s="8">
        <f>IFERROR(__xludf.DUMMYFUNCTION("""COMPUTED_VALUE"""),0.0)</f>
        <v>0</v>
      </c>
      <c r="E509" s="5" t="str">
        <f>IFERROR(__xludf.DUMMYFUNCTION("""COMPUTED_VALUE"""),"플렌테이션 다크럼 15ml, 버번 위스키 22.5ml, 피치트리 22.5ml, 그레나딘 시럽 7.5ml, 라임주스 7.5ml")</f>
        <v>플렌테이션 다크럼 15ml, 버번 위스키 22.5ml, 피치트리 22.5ml, 그레나딘 시럽 7.5ml, 라임주스 7.5ml</v>
      </c>
      <c r="F509" s="5"/>
    </row>
    <row r="510">
      <c r="A510" s="5" t="str">
        <f>IFERROR(__xludf.DUMMYFUNCTION("""COMPUTED_VALUE"""),"별이 빛나는 밤에")</f>
        <v>별이 빛나는 밤에</v>
      </c>
      <c r="B510" s="5" t="str">
        <f>IFERROR(__xludf.DUMMYFUNCTION("""COMPUTED_VALUE"""),"혼합")</f>
        <v>혼합</v>
      </c>
      <c r="C510" s="5" t="str">
        <f>IFERROR(__xludf.DUMMYFUNCTION("""COMPUTED_VALUE"""),"쉐이킹")</f>
        <v>쉐이킹</v>
      </c>
      <c r="D510" s="8">
        <f>IFERROR(__xludf.DUMMYFUNCTION("""COMPUTED_VALUE"""),0.0)</f>
        <v>0</v>
      </c>
      <c r="E510" s="5" t="str">
        <f>IFERROR(__xludf.DUMMYFUNCTION("""COMPUTED_VALUE"""),"헨드릭슨 진 30ml, 베네딕틴 15ml, 파르페아무르 15ml, 홍차 리큐르 7.5ml, 쉐이킹 후 토닉워터 45ml")</f>
        <v>헨드릭슨 진 30ml, 베네딕틴 15ml, 파르페아무르 15ml, 홍차 리큐르 7.5ml, 쉐이킹 후 토닉워터 45ml</v>
      </c>
      <c r="F510" s="5"/>
    </row>
    <row r="511">
      <c r="A511" s="5" t="str">
        <f>IFERROR(__xludf.DUMMYFUNCTION("""COMPUTED_VALUE"""),"베일리스 스트로베리 밀크")</f>
        <v>베일리스 스트로베리 밀크</v>
      </c>
      <c r="B511" s="5" t="str">
        <f>IFERROR(__xludf.DUMMYFUNCTION("""COMPUTED_VALUE"""),"혼합")</f>
        <v>혼합</v>
      </c>
      <c r="C511" s="5" t="str">
        <f>IFERROR(__xludf.DUMMYFUNCTION("""COMPUTED_VALUE"""),"블렌딩")</f>
        <v>블렌딩</v>
      </c>
      <c r="D511" s="8">
        <f>IFERROR(__xludf.DUMMYFUNCTION("""COMPUTED_VALUE"""),0.0)</f>
        <v>0</v>
      </c>
      <c r="E511" s="5" t="str">
        <f>IFERROR(__xludf.DUMMYFUNCTION("""COMPUTED_VALUE"""),"딸기 8알, 얼음가득, 베일리스 30ml, 트리플섹 22.5ml, 보드카 30ml, 우유 필업 후 블렌딩")</f>
        <v>딸기 8알, 얼음가득, 베일리스 30ml, 트리플섹 22.5ml, 보드카 30ml, 우유 필업 후 블렌딩</v>
      </c>
      <c r="F511" s="5"/>
    </row>
    <row r="512">
      <c r="A512" s="5" t="str">
        <f>IFERROR(__xludf.DUMMYFUNCTION("""COMPUTED_VALUE"""),"스카이 블루")</f>
        <v>스카이 블루</v>
      </c>
      <c r="B512" s="5" t="str">
        <f>IFERROR(__xludf.DUMMYFUNCTION("""COMPUTED_VALUE"""),"혼합")</f>
        <v>혼합</v>
      </c>
      <c r="C512" s="5" t="str">
        <f>IFERROR(__xludf.DUMMYFUNCTION("""COMPUTED_VALUE"""),"쉐이킹")</f>
        <v>쉐이킹</v>
      </c>
      <c r="D512" s="8">
        <f>IFERROR(__xludf.DUMMYFUNCTION("""COMPUTED_VALUE"""),0.0)</f>
        <v>0</v>
      </c>
      <c r="E512" s="5" t="str">
        <f>IFERROR(__xludf.DUMMYFUNCTION("""COMPUTED_VALUE"""),"보드카 45ml, 블루 큐라소 20ml, 트리플섹 20ml, 피치트리 30ml, 라임즙 15ml, 쉐이킹 후 와인글라스 크러쉬드 아이스 40%, 토닉워터 필업")</f>
        <v>보드카 45ml, 블루 큐라소 20ml, 트리플섹 20ml, 피치트리 30ml, 라임즙 15ml, 쉐이킹 후 와인글라스 크러쉬드 아이스 40%, 토닉워터 필업</v>
      </c>
      <c r="F512" s="5"/>
    </row>
    <row r="513">
      <c r="A513" s="5" t="str">
        <f>IFERROR(__xludf.DUMMYFUNCTION("""COMPUTED_VALUE"""),"노르망디 플라워")</f>
        <v>노르망디 플라워</v>
      </c>
      <c r="B513" s="5" t="str">
        <f>IFERROR(__xludf.DUMMYFUNCTION("""COMPUTED_VALUE"""),"깔바도스")</f>
        <v>깔바도스</v>
      </c>
      <c r="C513" s="5" t="str">
        <f>IFERROR(__xludf.DUMMYFUNCTION("""COMPUTED_VALUE"""),"빌드")</f>
        <v>빌드</v>
      </c>
      <c r="D513" s="8">
        <f>IFERROR(__xludf.DUMMYFUNCTION("""COMPUTED_VALUE"""),0.0)</f>
        <v>0</v>
      </c>
      <c r="E513" s="5" t="str">
        <f>IFERROR(__xludf.DUMMYFUNCTION("""COMPUTED_VALUE"""),"깔바도스 60ml, 토닉워터 120ml, 생제르맹 15ml, 레몬즙 10ml, 가니쉬 오렌지 or 오렌지필")</f>
        <v>깔바도스 60ml, 토닉워터 120ml, 생제르맹 15ml, 레몬즙 10ml, 가니쉬 오렌지 or 오렌지필</v>
      </c>
      <c r="F513" s="5"/>
    </row>
    <row r="514">
      <c r="A514" s="5" t="str">
        <f>IFERROR(__xludf.DUMMYFUNCTION("""COMPUTED_VALUE"""),"블로우 잡")</f>
        <v>블로우 잡</v>
      </c>
      <c r="B514" s="5" t="str">
        <f>IFERROR(__xludf.DUMMYFUNCTION("""COMPUTED_VALUE"""),"리큐르")</f>
        <v>리큐르</v>
      </c>
      <c r="C514" s="5" t="str">
        <f>IFERROR(__xludf.DUMMYFUNCTION("""COMPUTED_VALUE"""),"플로팅")</f>
        <v>플로팅</v>
      </c>
      <c r="D514" s="8">
        <f>IFERROR(__xludf.DUMMYFUNCTION("""COMPUTED_VALUE"""),6.0)</f>
        <v>6</v>
      </c>
      <c r="E514" s="5" t="str">
        <f>IFERROR(__xludf.DUMMYFUNCTION("""COMPUTED_VALUE"""),"커피 리큐르, 베일리스, 생크림을 샷 or 쉐리 글라스에 순서대로 플로팅")</f>
        <v>커피 리큐르, 베일리스, 생크림을 샷 or 쉐리 글라스에 순서대로 플로팅</v>
      </c>
      <c r="F514" s="5" t="str">
        <f>IFERROR(__xludf.DUMMYFUNCTION("""COMPUTED_VALUE"""),"훌륭한 슈터")</f>
        <v>훌륭한 슈터</v>
      </c>
    </row>
    <row r="515">
      <c r="A515" s="5" t="str">
        <f>IFERROR(__xludf.DUMMYFUNCTION("""COMPUTED_VALUE"""),"버터스카치 화이트 러시안")</f>
        <v>버터스카치 화이트 러시안</v>
      </c>
      <c r="B515" s="5" t="str">
        <f>IFERROR(__xludf.DUMMYFUNCTION("""COMPUTED_VALUE"""),"혼합")</f>
        <v>혼합</v>
      </c>
      <c r="C515" s="5" t="str">
        <f>IFERROR(__xludf.DUMMYFUNCTION("""COMPUTED_VALUE"""),"빌드")</f>
        <v>빌드</v>
      </c>
      <c r="D515" s="8">
        <f>IFERROR(__xludf.DUMMYFUNCTION("""COMPUTED_VALUE"""),0.0)</f>
        <v>0</v>
      </c>
      <c r="E515" s="5" t="str">
        <f>IFERROR(__xludf.DUMMYFUNCTION("""COMPUTED_VALUE"""),"보드카 1, 깔루아 1, 버터스카치 리큐르 1, 크림 2 비율")</f>
        <v>보드카 1, 깔루아 1, 버터스카치 리큐르 1, 크림 2 비율</v>
      </c>
      <c r="F515" s="5"/>
    </row>
    <row r="516">
      <c r="A516" s="5" t="str">
        <f>IFERROR(__xludf.DUMMYFUNCTION("""COMPUTED_VALUE"""),"도쿄 아이스티2")</f>
        <v>도쿄 아이스티2</v>
      </c>
      <c r="B516" s="5" t="str">
        <f>IFERROR(__xludf.DUMMYFUNCTION("""COMPUTED_VALUE"""),"혼합")</f>
        <v>혼합</v>
      </c>
      <c r="C516" s="5" t="str">
        <f>IFERROR(__xludf.DUMMYFUNCTION("""COMPUTED_VALUE"""),"빌드")</f>
        <v>빌드</v>
      </c>
      <c r="D516" s="8">
        <f>IFERROR(__xludf.DUMMYFUNCTION("""COMPUTED_VALUE"""),7.0)</f>
        <v>7</v>
      </c>
      <c r="E516" s="5" t="str">
        <f>IFERROR(__xludf.DUMMYFUNCTION("""COMPUTED_VALUE"""),"보드카 15ml, 진 15ml, 럼 15ml, 트리플섹 15ml, 레몬즙 20ml, 멜론 리큐르 15ml, 사이다 필업")</f>
        <v>보드카 15ml, 진 15ml, 럼 15ml, 트리플섹 15ml, 레몬즙 20ml, 멜론 리큐르 15ml, 사이다 필업</v>
      </c>
      <c r="F516" s="5" t="str">
        <f>IFERROR(__xludf.DUMMYFUNCTION("""COMPUTED_VALUE"""),"적당한 아이스티계열")</f>
        <v>적당한 아이스티계열</v>
      </c>
    </row>
    <row r="517">
      <c r="A517" s="5" t="str">
        <f>IFERROR(__xludf.DUMMYFUNCTION("""COMPUTED_VALUE"""),"비키니 마티니2")</f>
        <v>비키니 마티니2</v>
      </c>
      <c r="B517" s="5" t="str">
        <f>IFERROR(__xludf.DUMMYFUNCTION("""COMPUTED_VALUE"""),"혼합")</f>
        <v>혼합</v>
      </c>
      <c r="C517" s="5" t="str">
        <f>IFERROR(__xludf.DUMMYFUNCTION("""COMPUTED_VALUE"""),"쉐이킹")</f>
        <v>쉐이킹</v>
      </c>
      <c r="D517" s="8">
        <f>IFERROR(__xludf.DUMMYFUNCTION("""COMPUTED_VALUE"""),0.0)</f>
        <v>0</v>
      </c>
      <c r="E517" s="5" t="str">
        <f>IFERROR(__xludf.DUMMYFUNCTION("""COMPUTED_VALUE"""),"말리부 30 or 60ml, 보드카 30ml, 파인애플 주스 60ml, 쉐이킹 후 그레나딘 시럽 15ml")</f>
        <v>말리부 30 or 60ml, 보드카 30ml, 파인애플 주스 60ml, 쉐이킹 후 그레나딘 시럽 15ml</v>
      </c>
      <c r="F517" s="5"/>
    </row>
    <row r="518">
      <c r="A518" s="5" t="str">
        <f>IFERROR(__xludf.DUMMYFUNCTION("""COMPUTED_VALUE"""),"시칠리안 키스")</f>
        <v>시칠리안 키스</v>
      </c>
      <c r="B518" s="5" t="str">
        <f>IFERROR(__xludf.DUMMYFUNCTION("""COMPUTED_VALUE"""),"리큐르")</f>
        <v>리큐르</v>
      </c>
      <c r="C518" s="5" t="str">
        <f>IFERROR(__xludf.DUMMYFUNCTION("""COMPUTED_VALUE"""),"빌드")</f>
        <v>빌드</v>
      </c>
      <c r="D518" s="8">
        <f>IFERROR(__xludf.DUMMYFUNCTION("""COMPUTED_VALUE"""),0.0)</f>
        <v>0</v>
      </c>
      <c r="E518" s="5" t="str">
        <f>IFERROR(__xludf.DUMMYFUNCTION("""COMPUTED_VALUE"""),"셔던 컴포트 30ml, 디사론노 30ml")</f>
        <v>셔던 컴포트 30ml, 디사론노 30ml</v>
      </c>
      <c r="F518" s="5"/>
    </row>
    <row r="519">
      <c r="A519" s="5" t="str">
        <f>IFERROR(__xludf.DUMMYFUNCTION("""COMPUTED_VALUE"""),"들꽃")</f>
        <v>들꽃</v>
      </c>
      <c r="B519" s="5" t="str">
        <f>IFERROR(__xludf.DUMMYFUNCTION("""COMPUTED_VALUE"""),"혼합")</f>
        <v>혼합</v>
      </c>
      <c r="C519" s="5" t="str">
        <f>IFERROR(__xludf.DUMMYFUNCTION("""COMPUTED_VALUE"""),"스터")</f>
        <v>스터</v>
      </c>
      <c r="D519" s="8">
        <f>IFERROR(__xludf.DUMMYFUNCTION("""COMPUTED_VALUE"""),0.0)</f>
        <v>0</v>
      </c>
      <c r="E519" s="5" t="str">
        <f>IFERROR(__xludf.DUMMYFUNCTION("""COMPUTED_VALUE"""),"잭다니엘 30ml, 피치트리 30ml, 크렘 드 바나나 30ml, 라임즙 30ml 스터 후 크러쉬드 아이스가 가득담긴 잔에 따라주기")</f>
        <v>잭다니엘 30ml, 피치트리 30ml, 크렘 드 바나나 30ml, 라임즙 30ml 스터 후 크러쉬드 아이스가 가득담긴 잔에 따라주기</v>
      </c>
      <c r="F519" s="5"/>
    </row>
    <row r="520">
      <c r="A520" s="5" t="str">
        <f>IFERROR(__xludf.DUMMYFUNCTION("""COMPUTED_VALUE"""),"퀵 퍽")</f>
        <v>퀵 퍽</v>
      </c>
      <c r="B520" s="5" t="str">
        <f>IFERROR(__xludf.DUMMYFUNCTION("""COMPUTED_VALUE"""),"리큐르")</f>
        <v>리큐르</v>
      </c>
      <c r="C520" s="5" t="str">
        <f>IFERROR(__xludf.DUMMYFUNCTION("""COMPUTED_VALUE"""),"플로팅")</f>
        <v>플로팅</v>
      </c>
      <c r="D520" s="8">
        <f>IFERROR(__xludf.DUMMYFUNCTION("""COMPUTED_VALUE"""),6.0)</f>
        <v>6</v>
      </c>
      <c r="E520" s="5" t="str">
        <f>IFERROR(__xludf.DUMMYFUNCTION("""COMPUTED_VALUE"""),"깔루아 15ml, 베일리스 15ml, 미도리 15ml 순서대로 플로팅")</f>
        <v>깔루아 15ml, 베일리스 15ml, 미도리 15ml 순서대로 플로팅</v>
      </c>
      <c r="F520" s="5"/>
    </row>
    <row r="521">
      <c r="A521" s="5" t="str">
        <f>IFERROR(__xludf.DUMMYFUNCTION("""COMPUTED_VALUE"""),"카타르시스 2")</f>
        <v>카타르시스 2</v>
      </c>
      <c r="B521" s="5" t="str">
        <f>IFERROR(__xludf.DUMMYFUNCTION("""COMPUTED_VALUE"""),"럼")</f>
        <v>럼</v>
      </c>
      <c r="C521" s="5" t="str">
        <f>IFERROR(__xludf.DUMMYFUNCTION("""COMPUTED_VALUE"""),"빌드 or 쉐이킹")</f>
        <v>빌드 or 쉐이킹</v>
      </c>
      <c r="D521" s="8">
        <f>IFERROR(__xludf.DUMMYFUNCTION("""COMPUTED_VALUE"""),3.0)</f>
        <v>3</v>
      </c>
      <c r="E521" s="5" t="str">
        <f>IFERROR(__xludf.DUMMYFUNCTION("""COMPUTED_VALUE"""),"오버프루프 럼 45ml, 아마레또 15ml, 라임즙 5ml")</f>
        <v>오버프루프 럼 45ml, 아마레또 15ml, 라임즙 5ml</v>
      </c>
      <c r="F521" s="5" t="str">
        <f>IFERROR(__xludf.DUMMYFUNCTION("""COMPUTED_VALUE"""),"15는 너무 심")</f>
        <v>15는 너무 심</v>
      </c>
    </row>
    <row r="522">
      <c r="A522" s="5" t="str">
        <f>IFERROR(__xludf.DUMMYFUNCTION("""COMPUTED_VALUE"""),"킬권(KILL KWON)")</f>
        <v>킬권(KILL KWON)</v>
      </c>
      <c r="B522" s="5" t="str">
        <f>IFERROR(__xludf.DUMMYFUNCTION("""COMPUTED_VALUE"""),"오버 프루프 럼")</f>
        <v>오버 프루프 럼</v>
      </c>
      <c r="C522" s="5" t="str">
        <f>IFERROR(__xludf.DUMMYFUNCTION("""COMPUTED_VALUE"""),"스터")</f>
        <v>스터</v>
      </c>
      <c r="D522" s="8">
        <f>IFERROR(__xludf.DUMMYFUNCTION("""COMPUTED_VALUE"""),4.0)</f>
        <v>4</v>
      </c>
      <c r="E522" s="5" t="str">
        <f>IFERROR(__xludf.DUMMYFUNCTION("""COMPUTED_VALUE"""),"오버프루프 럼 200ml, 잭다니엘 200ml")</f>
        <v>오버프루프 럼 200ml, 잭다니엘 200ml</v>
      </c>
      <c r="F522" s="5" t="str">
        <f>IFERROR(__xludf.DUMMYFUNCTION("""COMPUTED_VALUE"""),"권혁원을 살해할 뻔한 그 칵테일")</f>
        <v>권혁원을 살해할 뻔한 그 칵테일</v>
      </c>
    </row>
    <row r="523">
      <c r="A523" s="5" t="str">
        <f>IFERROR(__xludf.DUMMYFUNCTION("""COMPUTED_VALUE"""),"프렌치 키스 샴보드")</f>
        <v>프렌치 키스 샴보드</v>
      </c>
      <c r="B523" s="5" t="str">
        <f>IFERROR(__xludf.DUMMYFUNCTION("""COMPUTED_VALUE"""),"샴보드")</f>
        <v>샴보드</v>
      </c>
      <c r="C523" s="5" t="str">
        <f>IFERROR(__xludf.DUMMYFUNCTION("""COMPUTED_VALUE"""),"쉐이킹")</f>
        <v>쉐이킹</v>
      </c>
      <c r="D523" s="8">
        <f>IFERROR(__xludf.DUMMYFUNCTION("""COMPUTED_VALUE"""),0.0)</f>
        <v>0</v>
      </c>
      <c r="E523" s="5" t="str">
        <f>IFERROR(__xludf.DUMMYFUNCTION("""COMPUTED_VALUE"""),"보드카 30ml, 카카오 리큐르 30ml, 샴보드 30ml, 우유 or 크림 45ml")</f>
        <v>보드카 30ml, 카카오 리큐르 30ml, 샴보드 30ml, 우유 or 크림 45ml</v>
      </c>
      <c r="F523" s="5" t="str">
        <f>IFERROR(__xludf.DUMMYFUNCTION("""COMPUTED_VALUE"""),"카카오 향이 강함. 맛은 샴보드가 만들어줌")</f>
        <v>카카오 향이 강함. 맛은 샴보드가 만들어줌</v>
      </c>
    </row>
    <row r="524">
      <c r="A524" s="5" t="str">
        <f>IFERROR(__xludf.DUMMYFUNCTION("""COMPUTED_VALUE"""),"티핀 슈가 밀크")</f>
        <v>티핀 슈가 밀크</v>
      </c>
      <c r="B524" s="5" t="str">
        <f>IFERROR(__xludf.DUMMYFUNCTION("""COMPUTED_VALUE"""),"티핀")</f>
        <v>티핀</v>
      </c>
      <c r="C524" s="5" t="str">
        <f>IFERROR(__xludf.DUMMYFUNCTION("""COMPUTED_VALUE"""),"쉐이킹")</f>
        <v>쉐이킹</v>
      </c>
      <c r="D524" s="8">
        <f>IFERROR(__xludf.DUMMYFUNCTION("""COMPUTED_VALUE"""),9.0)</f>
        <v>9</v>
      </c>
      <c r="E524" s="5" t="str">
        <f>IFERROR(__xludf.DUMMYFUNCTION("""COMPUTED_VALUE"""),"티핀 30ml, 우유 90ml, 슈가 시럽 15ml")</f>
        <v>티핀 30ml, 우유 90ml, 슈가 시럽 15ml</v>
      </c>
      <c r="F524" s="5" t="str">
        <f>IFERROR(__xludf.DUMMYFUNCTION("""COMPUTED_VALUE"""),"달콤한 맛 이후에 찾아오는 부드러운 홍차향")</f>
        <v>달콤한 맛 이후에 찾아오는 부드러운 홍차향</v>
      </c>
    </row>
    <row r="525">
      <c r="A525" s="5" t="str">
        <f>IFERROR(__xludf.DUMMYFUNCTION("""COMPUTED_VALUE"""),"섹스온더비치 커스텀")</f>
        <v>섹스온더비치 커스텀</v>
      </c>
      <c r="B525" s="5" t="str">
        <f>IFERROR(__xludf.DUMMYFUNCTION("""COMPUTED_VALUE"""),"피치트리")</f>
        <v>피치트리</v>
      </c>
      <c r="C525" s="5" t="str">
        <f>IFERROR(__xludf.DUMMYFUNCTION("""COMPUTED_VALUE"""),"쉐이킹")</f>
        <v>쉐이킹</v>
      </c>
      <c r="D525" s="8">
        <f>IFERROR(__xludf.DUMMYFUNCTION("""COMPUTED_VALUE"""),9.0)</f>
        <v>9</v>
      </c>
      <c r="E525" s="5" t="str">
        <f>IFERROR(__xludf.DUMMYFUNCTION("""COMPUTED_VALUE"""),"보드카 45ml, 피치트리 15ml, 크랜베리주스 60ml, 그레나딘 시럽 15ml 쉐이킹 후 오렌지 주스 60ml 따로 쉐이킹해서 거품 함께 따르기")</f>
        <v>보드카 45ml, 피치트리 15ml, 크랜베리주스 60ml, 그레나딘 시럽 15ml 쉐이킹 후 오렌지 주스 60ml 따로 쉐이킹해서 거품 함께 따르기</v>
      </c>
      <c r="F525" s="5" t="str">
        <f>IFERROR(__xludf.DUMMYFUNCTION("""COMPUTED_VALUE"""),"정호형 커스텀 버전")</f>
        <v>정호형 커스텀 버전</v>
      </c>
    </row>
    <row r="526">
      <c r="A526" s="5" t="str">
        <f>IFERROR(__xludf.DUMMYFUNCTION("""COMPUTED_VALUE"""),"자본주의 or 180석")</f>
        <v>자본주의 or 180석</v>
      </c>
      <c r="B526" s="5" t="str">
        <f>IFERROR(__xludf.DUMMYFUNCTION("""COMPUTED_VALUE"""),"혼합")</f>
        <v>혼합</v>
      </c>
      <c r="C526" s="5" t="str">
        <f>IFERROR(__xludf.DUMMYFUNCTION("""COMPUTED_VALUE"""),"쉐이킹")</f>
        <v>쉐이킹</v>
      </c>
      <c r="D526" s="8">
        <f>IFERROR(__xludf.DUMMYFUNCTION("""COMPUTED_VALUE"""),9.0)</f>
        <v>9</v>
      </c>
      <c r="E526" s="5" t="str">
        <f>IFERROR(__xludf.DUMMYFUNCTION("""COMPUTED_VALUE"""),"보드카 15ml, 진 15ml, 럼 15ml, 데낄라 15ml, 트리플섹 15ml, 블루 큐라소 15ml, 레몬즙 10ml, 스윗앤사워믹스 60ml, 그레나딘 15ml")</f>
        <v>보드카 15ml, 진 15ml, 럼 15ml, 데낄라 15ml, 트리플섹 15ml, 블루 큐라소 15ml, 레몬즙 10ml, 스윗앤사워믹스 60ml, 그레나딘 15ml</v>
      </c>
      <c r="F526" s="5" t="str">
        <f>IFERROR(__xludf.DUMMYFUNCTION("""COMPUTED_VALUE"""),"빨강과 파랑이 섞였는데 파랑이 이김")</f>
        <v>빨강과 파랑이 섞였는데 파랑이 이김</v>
      </c>
    </row>
    <row r="527">
      <c r="A527" s="5" t="str">
        <f>IFERROR(__xludf.DUMMYFUNCTION("""COMPUTED_VALUE"""),"카카오 피즈")</f>
        <v>카카오 피즈</v>
      </c>
      <c r="B527" s="5" t="str">
        <f>IFERROR(__xludf.DUMMYFUNCTION("""COMPUTED_VALUE"""),"리큐르")</f>
        <v>리큐르</v>
      </c>
      <c r="C527" s="5" t="str">
        <f>IFERROR(__xludf.DUMMYFUNCTION("""COMPUTED_VALUE"""),"쉐이킹")</f>
        <v>쉐이킹</v>
      </c>
      <c r="D527" s="8">
        <f>IFERROR(__xludf.DUMMYFUNCTION("""COMPUTED_VALUE"""),9.0)</f>
        <v>9</v>
      </c>
      <c r="E527" s="5" t="str">
        <f>IFERROR(__xludf.DUMMYFUNCTION("""COMPUTED_VALUE"""),"크렘 드 카카오 45ml, 라임주스 15ml, 슈가 시럽 15ml 쉐이킹 후 토닉워터 필업")</f>
        <v>크렘 드 카카오 45ml, 라임주스 15ml, 슈가 시럽 15ml 쉐이킹 후 토닉워터 필업</v>
      </c>
      <c r="F527" s="5" t="str">
        <f>IFERROR(__xludf.DUMMYFUNCTION("""COMPUTED_VALUE"""),"존맛탱")</f>
        <v>존맛탱</v>
      </c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</sheetData>
  <conditionalFormatting sqref="B1:B3 C2:D2 D1">
    <cfRule type="notContainsBlanks" dxfId="0" priority="1">
      <formula>LEN(TRIM(B1))&gt;0</formula>
    </cfRule>
  </conditionalFormatting>
  <conditionalFormatting sqref="B1:B3 C2:D2 D1">
    <cfRule type="containsBlanks" dxfId="1" priority="2">
      <formula>LEN(TRIM(B1))=0</formula>
    </cfRule>
  </conditionalFormatting>
  <conditionalFormatting sqref="D5:D1003">
    <cfRule type="cellIs" dxfId="0" priority="3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88"/>
    <col customWidth="1" min="3" max="3" width="12.63"/>
    <col customWidth="1" min="4" max="4" width="92.0"/>
    <col customWidth="1" min="5" max="5" width="8.5"/>
    <col customWidth="1" min="6" max="6" width="24.13"/>
    <col customWidth="1" min="7" max="7" width="15.13"/>
    <col customWidth="1" min="8" max="8" width="22.38"/>
    <col customWidth="1" min="9" max="9" width="23.0"/>
    <col customWidth="1" min="10" max="10" width="18.25"/>
  </cols>
  <sheetData>
    <row r="1">
      <c r="A1" s="9" t="s">
        <v>5</v>
      </c>
      <c r="B1" s="9" t="s">
        <v>0</v>
      </c>
      <c r="C1" s="9" t="s">
        <v>1</v>
      </c>
      <c r="D1" s="9" t="s">
        <v>2</v>
      </c>
      <c r="E1" s="9" t="s">
        <v>6</v>
      </c>
      <c r="F1" s="10" t="s">
        <v>7</v>
      </c>
    </row>
    <row r="2">
      <c r="A2" s="11" t="s">
        <v>8</v>
      </c>
      <c r="B2" s="11" t="s">
        <v>9</v>
      </c>
      <c r="C2" s="11" t="s">
        <v>10</v>
      </c>
      <c r="D2" s="11" t="s">
        <v>11</v>
      </c>
      <c r="E2" s="12">
        <v>0.0</v>
      </c>
      <c r="F2" s="6"/>
    </row>
    <row r="3">
      <c r="A3" s="13" t="s">
        <v>12</v>
      </c>
      <c r="B3" s="11" t="s">
        <v>13</v>
      </c>
      <c r="C3" s="11" t="s">
        <v>14</v>
      </c>
      <c r="D3" s="11" t="s">
        <v>15</v>
      </c>
      <c r="E3" s="12">
        <v>0.0</v>
      </c>
      <c r="F3" s="6"/>
    </row>
    <row r="4">
      <c r="A4" s="11" t="s">
        <v>16</v>
      </c>
      <c r="B4" s="11" t="s">
        <v>17</v>
      </c>
      <c r="C4" s="11" t="s">
        <v>18</v>
      </c>
      <c r="D4" s="11" t="s">
        <v>19</v>
      </c>
      <c r="E4" s="12">
        <v>0.0</v>
      </c>
      <c r="F4" s="6"/>
    </row>
    <row r="5">
      <c r="A5" s="11" t="s">
        <v>20</v>
      </c>
      <c r="B5" s="11" t="s">
        <v>21</v>
      </c>
      <c r="C5" s="11" t="s">
        <v>18</v>
      </c>
      <c r="D5" s="11" t="s">
        <v>22</v>
      </c>
      <c r="E5" s="12">
        <v>0.0</v>
      </c>
      <c r="F5" s="6"/>
    </row>
    <row r="6">
      <c r="A6" s="13" t="s">
        <v>23</v>
      </c>
      <c r="B6" s="11" t="s">
        <v>21</v>
      </c>
      <c r="C6" s="11" t="s">
        <v>18</v>
      </c>
      <c r="D6" s="11" t="s">
        <v>24</v>
      </c>
      <c r="E6" s="12">
        <v>0.0</v>
      </c>
      <c r="F6" s="6"/>
    </row>
    <row r="7">
      <c r="A7" s="11" t="s">
        <v>25</v>
      </c>
      <c r="B7" s="11" t="s">
        <v>21</v>
      </c>
      <c r="C7" s="11" t="s">
        <v>26</v>
      </c>
      <c r="D7" s="11" t="s">
        <v>27</v>
      </c>
      <c r="E7" s="12">
        <v>0.0</v>
      </c>
      <c r="F7" s="6"/>
    </row>
    <row r="8">
      <c r="A8" s="11" t="s">
        <v>28</v>
      </c>
      <c r="B8" s="11" t="s">
        <v>29</v>
      </c>
      <c r="C8" s="11" t="s">
        <v>10</v>
      </c>
      <c r="D8" s="11" t="s">
        <v>30</v>
      </c>
      <c r="E8" s="12">
        <v>0.0</v>
      </c>
      <c r="F8" s="6"/>
    </row>
    <row r="9">
      <c r="A9" s="13" t="s">
        <v>31</v>
      </c>
      <c r="B9" s="11" t="s">
        <v>32</v>
      </c>
      <c r="C9" s="11" t="s">
        <v>10</v>
      </c>
      <c r="D9" s="11" t="s">
        <v>33</v>
      </c>
      <c r="E9" s="12">
        <v>8.0</v>
      </c>
      <c r="F9" s="6"/>
    </row>
    <row r="10">
      <c r="A10" s="11" t="s">
        <v>34</v>
      </c>
      <c r="B10" s="11" t="s">
        <v>35</v>
      </c>
      <c r="C10" s="11" t="s">
        <v>10</v>
      </c>
      <c r="D10" s="11" t="s">
        <v>36</v>
      </c>
      <c r="E10" s="12">
        <v>0.0</v>
      </c>
      <c r="F10" s="6"/>
    </row>
    <row r="11">
      <c r="A11" s="11" t="s">
        <v>37</v>
      </c>
      <c r="B11" s="11" t="s">
        <v>35</v>
      </c>
      <c r="C11" s="11" t="s">
        <v>10</v>
      </c>
      <c r="D11" s="11" t="s">
        <v>38</v>
      </c>
      <c r="E11" s="12">
        <v>0.0</v>
      </c>
      <c r="F11" s="6"/>
    </row>
    <row r="12">
      <c r="A12" s="14" t="s">
        <v>39</v>
      </c>
      <c r="B12" s="11" t="s">
        <v>9</v>
      </c>
      <c r="C12" s="11" t="s">
        <v>40</v>
      </c>
      <c r="D12" s="15" t="s">
        <v>41</v>
      </c>
      <c r="E12" s="12">
        <v>0.0</v>
      </c>
      <c r="F12" s="6"/>
    </row>
    <row r="13">
      <c r="A13" s="11" t="s">
        <v>42</v>
      </c>
      <c r="B13" s="11" t="s">
        <v>35</v>
      </c>
      <c r="C13" s="11" t="s">
        <v>10</v>
      </c>
      <c r="D13" s="11" t="s">
        <v>43</v>
      </c>
      <c r="E13" s="12">
        <v>0.0</v>
      </c>
      <c r="F13" s="6"/>
    </row>
    <row r="14">
      <c r="A14" s="11" t="s">
        <v>44</v>
      </c>
      <c r="B14" s="11" t="s">
        <v>32</v>
      </c>
      <c r="C14" s="11" t="s">
        <v>10</v>
      </c>
      <c r="D14" s="11" t="s">
        <v>45</v>
      </c>
      <c r="E14" s="12">
        <v>0.0</v>
      </c>
      <c r="F14" s="6"/>
    </row>
    <row r="15">
      <c r="A15" s="11" t="s">
        <v>46</v>
      </c>
      <c r="B15" s="11" t="s">
        <v>47</v>
      </c>
      <c r="C15" s="11" t="s">
        <v>10</v>
      </c>
      <c r="D15" s="11" t="s">
        <v>48</v>
      </c>
      <c r="E15" s="12">
        <v>9.0</v>
      </c>
      <c r="F15" s="3" t="s">
        <v>49</v>
      </c>
    </row>
    <row r="16">
      <c r="A16" s="11" t="s">
        <v>50</v>
      </c>
      <c r="B16" s="11" t="s">
        <v>51</v>
      </c>
      <c r="C16" s="11" t="s">
        <v>52</v>
      </c>
      <c r="D16" s="11" t="s">
        <v>53</v>
      </c>
      <c r="E16" s="12">
        <v>0.0</v>
      </c>
      <c r="F16" s="6"/>
    </row>
    <row r="17">
      <c r="A17" s="11" t="s">
        <v>54</v>
      </c>
      <c r="B17" s="11" t="s">
        <v>32</v>
      </c>
      <c r="C17" s="11" t="s">
        <v>10</v>
      </c>
      <c r="D17" s="11" t="s">
        <v>55</v>
      </c>
      <c r="E17" s="12">
        <v>0.0</v>
      </c>
      <c r="F17" s="6"/>
    </row>
    <row r="18">
      <c r="A18" s="11" t="s">
        <v>56</v>
      </c>
      <c r="B18" s="11" t="s">
        <v>57</v>
      </c>
      <c r="C18" s="11" t="s">
        <v>18</v>
      </c>
      <c r="D18" s="11" t="s">
        <v>58</v>
      </c>
      <c r="E18" s="12">
        <v>0.0</v>
      </c>
      <c r="F18" s="6"/>
    </row>
    <row r="19">
      <c r="A19" s="13" t="s">
        <v>59</v>
      </c>
      <c r="B19" s="11" t="s">
        <v>35</v>
      </c>
      <c r="C19" s="11" t="s">
        <v>18</v>
      </c>
      <c r="D19" s="11" t="s">
        <v>60</v>
      </c>
      <c r="E19" s="12">
        <v>0.0</v>
      </c>
      <c r="F19" s="6"/>
    </row>
    <row r="20">
      <c r="A20" s="13" t="s">
        <v>61</v>
      </c>
      <c r="B20" s="11" t="s">
        <v>62</v>
      </c>
      <c r="C20" s="11" t="s">
        <v>63</v>
      </c>
      <c r="D20" s="11" t="s">
        <v>64</v>
      </c>
      <c r="E20" s="12">
        <v>0.0</v>
      </c>
      <c r="F20" s="6"/>
    </row>
    <row r="21">
      <c r="A21" s="11" t="s">
        <v>65</v>
      </c>
      <c r="B21" s="11" t="s">
        <v>35</v>
      </c>
      <c r="C21" s="11" t="s">
        <v>18</v>
      </c>
      <c r="D21" s="11" t="s">
        <v>66</v>
      </c>
      <c r="E21" s="12">
        <v>0.0</v>
      </c>
      <c r="F21" s="6"/>
    </row>
    <row r="22">
      <c r="A22" s="13" t="s">
        <v>67</v>
      </c>
      <c r="B22" s="11" t="s">
        <v>9</v>
      </c>
      <c r="C22" s="11" t="s">
        <v>52</v>
      </c>
      <c r="D22" s="11" t="s">
        <v>68</v>
      </c>
      <c r="E22" s="12">
        <v>0.0</v>
      </c>
      <c r="F22" s="6"/>
    </row>
    <row r="23">
      <c r="A23" s="11" t="s">
        <v>69</v>
      </c>
      <c r="B23" s="11" t="s">
        <v>9</v>
      </c>
      <c r="C23" s="11" t="s">
        <v>10</v>
      </c>
      <c r="D23" s="11" t="s">
        <v>70</v>
      </c>
      <c r="E23" s="12">
        <v>0.0</v>
      </c>
      <c r="F23" s="6"/>
    </row>
    <row r="24">
      <c r="A24" s="11" t="s">
        <v>71</v>
      </c>
      <c r="B24" s="11" t="s">
        <v>32</v>
      </c>
      <c r="C24" s="11" t="s">
        <v>10</v>
      </c>
      <c r="D24" s="11" t="s">
        <v>72</v>
      </c>
      <c r="E24" s="12">
        <v>0.0</v>
      </c>
      <c r="F24" s="6"/>
    </row>
    <row r="25">
      <c r="A25" s="11" t="s">
        <v>73</v>
      </c>
      <c r="B25" s="11" t="s">
        <v>32</v>
      </c>
      <c r="C25" s="11" t="s">
        <v>26</v>
      </c>
      <c r="D25" s="11" t="s">
        <v>74</v>
      </c>
      <c r="E25" s="12">
        <v>0.0</v>
      </c>
      <c r="F25" s="6"/>
    </row>
    <row r="26">
      <c r="A26" s="13" t="s">
        <v>75</v>
      </c>
      <c r="B26" s="11" t="s">
        <v>76</v>
      </c>
      <c r="C26" s="11" t="s">
        <v>18</v>
      </c>
      <c r="D26" s="11" t="s">
        <v>77</v>
      </c>
      <c r="E26" s="12">
        <v>9.0</v>
      </c>
      <c r="F26" s="3" t="s">
        <v>78</v>
      </c>
    </row>
    <row r="27">
      <c r="A27" s="11" t="s">
        <v>79</v>
      </c>
      <c r="B27" s="11" t="s">
        <v>80</v>
      </c>
      <c r="C27" s="11" t="s">
        <v>10</v>
      </c>
      <c r="D27" s="11" t="s">
        <v>81</v>
      </c>
      <c r="E27" s="12">
        <v>0.0</v>
      </c>
      <c r="F27" s="6"/>
    </row>
    <row r="28">
      <c r="A28" s="11" t="s">
        <v>82</v>
      </c>
      <c r="B28" s="11" t="s">
        <v>83</v>
      </c>
      <c r="C28" s="11" t="s">
        <v>10</v>
      </c>
      <c r="D28" s="11" t="s">
        <v>84</v>
      </c>
      <c r="E28" s="12">
        <v>0.0</v>
      </c>
      <c r="F28" s="6"/>
    </row>
    <row r="29">
      <c r="A29" s="11" t="s">
        <v>85</v>
      </c>
      <c r="B29" s="11" t="s">
        <v>32</v>
      </c>
      <c r="C29" s="11" t="s">
        <v>10</v>
      </c>
      <c r="D29" s="11" t="s">
        <v>86</v>
      </c>
      <c r="E29" s="12">
        <v>0.0</v>
      </c>
      <c r="F29" s="6"/>
    </row>
    <row r="30">
      <c r="A30" s="11" t="s">
        <v>87</v>
      </c>
      <c r="B30" s="11" t="s">
        <v>32</v>
      </c>
      <c r="C30" s="11" t="s">
        <v>26</v>
      </c>
      <c r="D30" s="11" t="s">
        <v>88</v>
      </c>
      <c r="E30" s="12">
        <v>5.0</v>
      </c>
      <c r="F30" s="3" t="s">
        <v>89</v>
      </c>
    </row>
    <row r="31">
      <c r="A31" s="11" t="s">
        <v>90</v>
      </c>
      <c r="B31" s="11" t="s">
        <v>32</v>
      </c>
      <c r="C31" s="11" t="s">
        <v>10</v>
      </c>
      <c r="D31" s="11" t="s">
        <v>91</v>
      </c>
      <c r="E31" s="12">
        <v>0.0</v>
      </c>
      <c r="F31" s="6"/>
    </row>
    <row r="32">
      <c r="A32" s="13" t="s">
        <v>92</v>
      </c>
      <c r="B32" s="11"/>
      <c r="C32" s="11" t="s">
        <v>93</v>
      </c>
      <c r="D32" s="11" t="s">
        <v>94</v>
      </c>
      <c r="E32" s="12">
        <v>0.0</v>
      </c>
      <c r="F32" s="6"/>
    </row>
    <row r="33">
      <c r="A33" s="13" t="s">
        <v>95</v>
      </c>
      <c r="B33" s="11" t="s">
        <v>32</v>
      </c>
      <c r="C33" s="11" t="s">
        <v>10</v>
      </c>
      <c r="D33" s="11" t="s">
        <v>96</v>
      </c>
      <c r="E33" s="12">
        <v>0.0</v>
      </c>
      <c r="F33" s="6"/>
    </row>
    <row r="34">
      <c r="A34" s="13" t="s">
        <v>97</v>
      </c>
      <c r="B34" s="11" t="s">
        <v>29</v>
      </c>
      <c r="C34" s="11" t="s">
        <v>10</v>
      </c>
      <c r="D34" s="11" t="s">
        <v>98</v>
      </c>
      <c r="E34" s="12">
        <v>0.0</v>
      </c>
      <c r="F34" s="6"/>
    </row>
    <row r="35">
      <c r="A35" s="13" t="s">
        <v>99</v>
      </c>
      <c r="B35" s="11" t="s">
        <v>29</v>
      </c>
      <c r="C35" s="11" t="s">
        <v>10</v>
      </c>
      <c r="D35" s="11" t="s">
        <v>100</v>
      </c>
      <c r="E35" s="12">
        <v>0.0</v>
      </c>
      <c r="F35" s="6"/>
    </row>
    <row r="36">
      <c r="A36" s="13" t="s">
        <v>101</v>
      </c>
      <c r="B36" s="11" t="s">
        <v>102</v>
      </c>
      <c r="C36" s="11" t="s">
        <v>18</v>
      </c>
      <c r="D36" s="11" t="s">
        <v>103</v>
      </c>
      <c r="E36" s="12">
        <v>0.0</v>
      </c>
      <c r="F36" s="6"/>
    </row>
    <row r="37">
      <c r="A37" s="13" t="s">
        <v>104</v>
      </c>
      <c r="B37" s="11" t="s">
        <v>83</v>
      </c>
      <c r="C37" s="11" t="s">
        <v>10</v>
      </c>
      <c r="D37" s="11" t="s">
        <v>105</v>
      </c>
      <c r="E37" s="12">
        <v>0.0</v>
      </c>
      <c r="F37" s="6"/>
    </row>
    <row r="38">
      <c r="A38" s="13" t="s">
        <v>106</v>
      </c>
      <c r="B38" s="11" t="s">
        <v>83</v>
      </c>
      <c r="C38" s="11" t="s">
        <v>10</v>
      </c>
      <c r="D38" s="11" t="s">
        <v>107</v>
      </c>
      <c r="E38" s="12">
        <v>0.0</v>
      </c>
      <c r="F38" s="6"/>
    </row>
    <row r="39">
      <c r="A39" s="13" t="s">
        <v>108</v>
      </c>
      <c r="B39" s="11" t="s">
        <v>109</v>
      </c>
      <c r="C39" s="11" t="s">
        <v>10</v>
      </c>
      <c r="D39" s="11" t="s">
        <v>110</v>
      </c>
      <c r="E39" s="12">
        <v>0.0</v>
      </c>
      <c r="F39" s="6"/>
    </row>
    <row r="40">
      <c r="A40" s="11" t="s">
        <v>111</v>
      </c>
      <c r="B40" s="11" t="s">
        <v>109</v>
      </c>
      <c r="C40" s="11" t="s">
        <v>18</v>
      </c>
      <c r="D40" s="11" t="s">
        <v>112</v>
      </c>
      <c r="E40" s="12">
        <v>8.0</v>
      </c>
      <c r="F40" s="6"/>
    </row>
    <row r="41">
      <c r="A41" s="11" t="s">
        <v>113</v>
      </c>
      <c r="B41" s="11" t="s">
        <v>9</v>
      </c>
      <c r="C41" s="11" t="s">
        <v>10</v>
      </c>
      <c r="D41" s="11" t="s">
        <v>114</v>
      </c>
      <c r="E41" s="12">
        <v>0.0</v>
      </c>
      <c r="F41" s="6"/>
    </row>
    <row r="42">
      <c r="A42" s="11" t="s">
        <v>115</v>
      </c>
      <c r="B42" s="11" t="s">
        <v>21</v>
      </c>
      <c r="C42" s="11" t="s">
        <v>10</v>
      </c>
      <c r="D42" s="11" t="s">
        <v>116</v>
      </c>
      <c r="E42" s="12">
        <v>0.0</v>
      </c>
      <c r="F42" s="6"/>
    </row>
    <row r="43">
      <c r="A43" s="11" t="s">
        <v>117</v>
      </c>
      <c r="B43" s="11" t="s">
        <v>21</v>
      </c>
      <c r="C43" s="11" t="s">
        <v>10</v>
      </c>
      <c r="D43" s="11" t="s">
        <v>118</v>
      </c>
      <c r="E43" s="12">
        <v>0.0</v>
      </c>
      <c r="F43" s="6"/>
    </row>
    <row r="44">
      <c r="A44" s="11" t="s">
        <v>119</v>
      </c>
      <c r="B44" s="11" t="s">
        <v>35</v>
      </c>
      <c r="C44" s="11" t="s">
        <v>10</v>
      </c>
      <c r="D44" s="11" t="s">
        <v>120</v>
      </c>
      <c r="E44" s="12">
        <v>0.0</v>
      </c>
      <c r="F44" s="6"/>
    </row>
    <row r="45">
      <c r="A45" s="13" t="s">
        <v>121</v>
      </c>
      <c r="B45" s="11" t="s">
        <v>122</v>
      </c>
      <c r="C45" s="11" t="s">
        <v>18</v>
      </c>
      <c r="D45" s="11" t="s">
        <v>123</v>
      </c>
      <c r="E45" s="12">
        <v>0.0</v>
      </c>
      <c r="F45" s="6"/>
    </row>
    <row r="46">
      <c r="A46" s="13" t="s">
        <v>124</v>
      </c>
      <c r="B46" s="11" t="s">
        <v>9</v>
      </c>
      <c r="C46" s="11" t="s">
        <v>18</v>
      </c>
      <c r="D46" s="11" t="s">
        <v>125</v>
      </c>
      <c r="E46" s="12">
        <v>8.0</v>
      </c>
      <c r="F46" s="3" t="s">
        <v>126</v>
      </c>
    </row>
    <row r="47">
      <c r="A47" s="13" t="s">
        <v>127</v>
      </c>
      <c r="B47" s="11" t="s">
        <v>109</v>
      </c>
      <c r="C47" s="11" t="s">
        <v>10</v>
      </c>
      <c r="D47" s="11" t="s">
        <v>128</v>
      </c>
      <c r="E47" s="12">
        <v>0.0</v>
      </c>
      <c r="F47" s="6"/>
    </row>
    <row r="48">
      <c r="A48" s="11" t="s">
        <v>129</v>
      </c>
      <c r="B48" s="11" t="s">
        <v>32</v>
      </c>
      <c r="C48" s="11" t="s">
        <v>10</v>
      </c>
      <c r="D48" s="11" t="s">
        <v>130</v>
      </c>
      <c r="E48" s="12">
        <v>0.0</v>
      </c>
      <c r="F48" s="6"/>
    </row>
    <row r="49">
      <c r="A49" s="13" t="s">
        <v>131</v>
      </c>
      <c r="B49" s="11" t="s">
        <v>9</v>
      </c>
      <c r="C49" s="11" t="s">
        <v>26</v>
      </c>
      <c r="D49" s="11" t="s">
        <v>132</v>
      </c>
      <c r="E49" s="12">
        <v>0.0</v>
      </c>
      <c r="F49" s="6"/>
    </row>
    <row r="50">
      <c r="A50" s="13" t="s">
        <v>133</v>
      </c>
      <c r="B50" s="11" t="s">
        <v>9</v>
      </c>
      <c r="C50" s="11" t="s">
        <v>10</v>
      </c>
      <c r="D50" s="11" t="s">
        <v>134</v>
      </c>
      <c r="E50" s="12">
        <v>0.0</v>
      </c>
      <c r="F50" s="6"/>
    </row>
    <row r="51">
      <c r="A51" s="13" t="s">
        <v>135</v>
      </c>
      <c r="B51" s="11" t="s">
        <v>109</v>
      </c>
      <c r="C51" s="11" t="s">
        <v>18</v>
      </c>
      <c r="D51" s="11" t="s">
        <v>136</v>
      </c>
      <c r="E51" s="12">
        <v>7.0</v>
      </c>
      <c r="F51" s="3" t="s">
        <v>137</v>
      </c>
    </row>
    <row r="52">
      <c r="A52" s="11" t="s">
        <v>138</v>
      </c>
      <c r="B52" s="11" t="s">
        <v>47</v>
      </c>
      <c r="C52" s="11" t="s">
        <v>10</v>
      </c>
      <c r="D52" s="11" t="s">
        <v>139</v>
      </c>
      <c r="E52" s="12">
        <v>0.0</v>
      </c>
      <c r="F52" s="6"/>
    </row>
    <row r="53">
      <c r="A53" s="11" t="s">
        <v>140</v>
      </c>
      <c r="B53" s="11" t="s">
        <v>35</v>
      </c>
      <c r="C53" s="11" t="s">
        <v>26</v>
      </c>
      <c r="D53" s="11" t="s">
        <v>141</v>
      </c>
      <c r="E53" s="12">
        <v>7.0</v>
      </c>
      <c r="F53" s="3" t="s">
        <v>142</v>
      </c>
    </row>
    <row r="54">
      <c r="A54" s="11" t="s">
        <v>143</v>
      </c>
      <c r="B54" s="11" t="s">
        <v>35</v>
      </c>
      <c r="C54" s="11" t="s">
        <v>10</v>
      </c>
      <c r="D54" s="11" t="s">
        <v>144</v>
      </c>
      <c r="E54" s="12">
        <v>0.0</v>
      </c>
      <c r="F54" s="6"/>
    </row>
    <row r="55">
      <c r="A55" s="11" t="s">
        <v>145</v>
      </c>
      <c r="B55" s="11" t="s">
        <v>109</v>
      </c>
      <c r="C55" s="11" t="s">
        <v>18</v>
      </c>
      <c r="D55" s="11" t="s">
        <v>146</v>
      </c>
      <c r="E55" s="12">
        <v>0.0</v>
      </c>
      <c r="F55" s="6"/>
    </row>
    <row r="56">
      <c r="A56" s="11" t="s">
        <v>147</v>
      </c>
      <c r="B56" s="11" t="s">
        <v>21</v>
      </c>
      <c r="C56" s="11" t="s">
        <v>10</v>
      </c>
      <c r="D56" s="11" t="s">
        <v>148</v>
      </c>
      <c r="E56" s="12">
        <v>0.0</v>
      </c>
      <c r="F56" s="6"/>
    </row>
    <row r="57">
      <c r="A57" s="11" t="s">
        <v>149</v>
      </c>
      <c r="B57" s="11" t="s">
        <v>150</v>
      </c>
      <c r="C57" s="11" t="s">
        <v>151</v>
      </c>
      <c r="D57" s="11" t="s">
        <v>152</v>
      </c>
      <c r="E57" s="12">
        <v>10.0</v>
      </c>
      <c r="F57" s="3" t="s">
        <v>153</v>
      </c>
    </row>
    <row r="58">
      <c r="A58" s="11" t="s">
        <v>154</v>
      </c>
      <c r="B58" s="11" t="s">
        <v>21</v>
      </c>
      <c r="C58" s="11" t="s">
        <v>18</v>
      </c>
      <c r="D58" s="11" t="s">
        <v>155</v>
      </c>
      <c r="E58" s="12">
        <v>6.0</v>
      </c>
      <c r="F58" s="3" t="s">
        <v>156</v>
      </c>
    </row>
    <row r="59">
      <c r="A59" s="11" t="s">
        <v>157</v>
      </c>
      <c r="B59" s="11" t="s">
        <v>109</v>
      </c>
      <c r="C59" s="11" t="s">
        <v>10</v>
      </c>
      <c r="D59" s="11" t="s">
        <v>158</v>
      </c>
      <c r="E59" s="12">
        <v>0.0</v>
      </c>
      <c r="F59" s="6"/>
    </row>
    <row r="60">
      <c r="A60" s="11" t="s">
        <v>159</v>
      </c>
      <c r="B60" s="11" t="s">
        <v>83</v>
      </c>
      <c r="C60" s="11" t="s">
        <v>18</v>
      </c>
      <c r="D60" s="11" t="s">
        <v>160</v>
      </c>
      <c r="E60" s="12">
        <v>6.0</v>
      </c>
      <c r="F60" s="3" t="s">
        <v>161</v>
      </c>
    </row>
    <row r="61">
      <c r="A61" s="11" t="s">
        <v>162</v>
      </c>
      <c r="B61" s="11" t="s">
        <v>83</v>
      </c>
      <c r="C61" s="11" t="s">
        <v>10</v>
      </c>
      <c r="D61" s="11" t="s">
        <v>163</v>
      </c>
      <c r="E61" s="12">
        <v>0.0</v>
      </c>
      <c r="F61" s="6"/>
    </row>
    <row r="62">
      <c r="A62" s="11" t="s">
        <v>164</v>
      </c>
      <c r="B62" s="11" t="s">
        <v>165</v>
      </c>
      <c r="C62" s="11" t="s">
        <v>18</v>
      </c>
      <c r="D62" s="11" t="s">
        <v>166</v>
      </c>
      <c r="E62" s="12">
        <v>0.0</v>
      </c>
      <c r="F62" s="6"/>
    </row>
    <row r="63">
      <c r="A63" s="11" t="s">
        <v>167</v>
      </c>
      <c r="B63" s="11" t="s">
        <v>17</v>
      </c>
      <c r="C63" s="11" t="s">
        <v>10</v>
      </c>
      <c r="D63" s="11" t="s">
        <v>168</v>
      </c>
      <c r="E63" s="12">
        <v>0.0</v>
      </c>
      <c r="F63" s="6"/>
    </row>
    <row r="64">
      <c r="A64" s="13" t="s">
        <v>169</v>
      </c>
      <c r="B64" s="11" t="s">
        <v>17</v>
      </c>
      <c r="C64" s="11" t="s">
        <v>10</v>
      </c>
      <c r="D64" s="11" t="s">
        <v>170</v>
      </c>
      <c r="E64" s="12">
        <v>0.0</v>
      </c>
      <c r="F64" s="6"/>
    </row>
    <row r="65">
      <c r="A65" s="11" t="s">
        <v>171</v>
      </c>
      <c r="B65" s="11" t="s">
        <v>109</v>
      </c>
      <c r="C65" s="11" t="s">
        <v>10</v>
      </c>
      <c r="D65" s="11" t="s">
        <v>172</v>
      </c>
      <c r="E65" s="12">
        <v>0.0</v>
      </c>
      <c r="F65" s="6"/>
    </row>
    <row r="66">
      <c r="A66" s="11" t="s">
        <v>173</v>
      </c>
      <c r="B66" s="11" t="s">
        <v>21</v>
      </c>
      <c r="C66" s="11" t="s">
        <v>10</v>
      </c>
      <c r="D66" s="11" t="s">
        <v>174</v>
      </c>
      <c r="E66" s="12">
        <v>0.0</v>
      </c>
      <c r="F66" s="6"/>
    </row>
    <row r="67">
      <c r="A67" s="13" t="s">
        <v>175</v>
      </c>
      <c r="B67" s="11" t="s">
        <v>9</v>
      </c>
      <c r="C67" s="11" t="s">
        <v>18</v>
      </c>
      <c r="D67" s="11" t="s">
        <v>176</v>
      </c>
      <c r="E67" s="12">
        <v>0.0</v>
      </c>
      <c r="F67" s="6"/>
    </row>
    <row r="68">
      <c r="A68" s="11" t="s">
        <v>177</v>
      </c>
      <c r="B68" s="11" t="s">
        <v>32</v>
      </c>
      <c r="C68" s="11" t="s">
        <v>10</v>
      </c>
      <c r="D68" s="11" t="s">
        <v>178</v>
      </c>
      <c r="E68" s="12">
        <v>0.0</v>
      </c>
      <c r="F68" s="6"/>
    </row>
    <row r="69">
      <c r="A69" s="13" t="s">
        <v>179</v>
      </c>
      <c r="B69" s="11" t="s">
        <v>109</v>
      </c>
      <c r="C69" s="11" t="s">
        <v>18</v>
      </c>
      <c r="D69" s="11" t="s">
        <v>180</v>
      </c>
      <c r="E69" s="12">
        <v>0.0</v>
      </c>
      <c r="F69" s="6"/>
    </row>
    <row r="70">
      <c r="A70" s="11" t="s">
        <v>181</v>
      </c>
      <c r="B70" s="11" t="s">
        <v>21</v>
      </c>
      <c r="C70" s="11" t="s">
        <v>26</v>
      </c>
      <c r="D70" s="11" t="s">
        <v>182</v>
      </c>
      <c r="E70" s="12">
        <v>0.0</v>
      </c>
      <c r="F70" s="6"/>
    </row>
    <row r="71">
      <c r="A71" s="13" t="s">
        <v>183</v>
      </c>
      <c r="B71" s="11" t="s">
        <v>109</v>
      </c>
      <c r="C71" s="11" t="s">
        <v>10</v>
      </c>
      <c r="D71" s="11" t="s">
        <v>184</v>
      </c>
      <c r="E71" s="12">
        <v>7.0</v>
      </c>
      <c r="F71" s="3" t="s">
        <v>185</v>
      </c>
    </row>
    <row r="72">
      <c r="A72" s="13" t="s">
        <v>186</v>
      </c>
      <c r="B72" s="11" t="s">
        <v>109</v>
      </c>
      <c r="C72" s="11" t="s">
        <v>18</v>
      </c>
      <c r="D72" s="11" t="s">
        <v>187</v>
      </c>
      <c r="E72" s="12">
        <v>7.0</v>
      </c>
      <c r="F72" s="6"/>
    </row>
    <row r="73">
      <c r="A73" s="13" t="s">
        <v>188</v>
      </c>
      <c r="B73" s="11" t="s">
        <v>109</v>
      </c>
      <c r="C73" s="11" t="s">
        <v>40</v>
      </c>
      <c r="D73" s="11" t="s">
        <v>189</v>
      </c>
      <c r="E73" s="12">
        <v>0.0</v>
      </c>
      <c r="F73" s="6"/>
    </row>
    <row r="74">
      <c r="A74" s="11" t="s">
        <v>190</v>
      </c>
      <c r="B74" s="11" t="s">
        <v>32</v>
      </c>
      <c r="C74" s="11" t="s">
        <v>10</v>
      </c>
      <c r="D74" s="11" t="s">
        <v>191</v>
      </c>
      <c r="E74" s="12">
        <v>0.0</v>
      </c>
      <c r="F74" s="6"/>
    </row>
    <row r="75">
      <c r="A75" s="13" t="s">
        <v>192</v>
      </c>
      <c r="B75" s="11" t="s">
        <v>32</v>
      </c>
      <c r="C75" s="11" t="s">
        <v>26</v>
      </c>
      <c r="D75" s="11" t="s">
        <v>193</v>
      </c>
      <c r="E75" s="12">
        <v>0.0</v>
      </c>
      <c r="F75" s="6"/>
    </row>
    <row r="76">
      <c r="A76" s="11" t="s">
        <v>194</v>
      </c>
      <c r="B76" s="11" t="s">
        <v>21</v>
      </c>
      <c r="C76" s="11" t="s">
        <v>26</v>
      </c>
      <c r="D76" s="11" t="s">
        <v>195</v>
      </c>
      <c r="E76" s="12">
        <v>0.0</v>
      </c>
      <c r="F76" s="6"/>
    </row>
    <row r="77">
      <c r="A77" s="11" t="s">
        <v>196</v>
      </c>
      <c r="B77" s="11" t="s">
        <v>21</v>
      </c>
      <c r="C77" s="11" t="s">
        <v>26</v>
      </c>
      <c r="D77" s="11" t="s">
        <v>197</v>
      </c>
      <c r="E77" s="12">
        <v>0.0</v>
      </c>
      <c r="F77" s="6"/>
    </row>
    <row r="78">
      <c r="A78" s="11" t="s">
        <v>198</v>
      </c>
      <c r="B78" s="11" t="s">
        <v>32</v>
      </c>
      <c r="C78" s="11" t="s">
        <v>10</v>
      </c>
      <c r="D78" s="11" t="s">
        <v>199</v>
      </c>
      <c r="E78" s="12">
        <v>0.0</v>
      </c>
      <c r="F78" s="6"/>
    </row>
    <row r="79">
      <c r="A79" s="13" t="s">
        <v>200</v>
      </c>
      <c r="B79" s="11" t="s">
        <v>32</v>
      </c>
      <c r="C79" s="11" t="s">
        <v>10</v>
      </c>
      <c r="D79" s="11" t="s">
        <v>201</v>
      </c>
      <c r="E79" s="12">
        <v>0.0</v>
      </c>
      <c r="F79" s="6"/>
    </row>
    <row r="80">
      <c r="A80" s="13" t="s">
        <v>202</v>
      </c>
      <c r="B80" s="11" t="s">
        <v>17</v>
      </c>
      <c r="C80" s="11" t="s">
        <v>18</v>
      </c>
      <c r="D80" s="11" t="s">
        <v>203</v>
      </c>
      <c r="E80" s="12">
        <v>0.0</v>
      </c>
      <c r="F80" s="6"/>
    </row>
    <row r="81">
      <c r="A81" s="11" t="s">
        <v>204</v>
      </c>
      <c r="B81" s="11" t="s">
        <v>9</v>
      </c>
      <c r="C81" s="11" t="s">
        <v>10</v>
      </c>
      <c r="D81" s="11" t="s">
        <v>205</v>
      </c>
      <c r="E81" s="12">
        <v>0.0</v>
      </c>
      <c r="F81" s="6"/>
    </row>
    <row r="82">
      <c r="A82" s="11" t="s">
        <v>206</v>
      </c>
      <c r="B82" s="11" t="s">
        <v>21</v>
      </c>
      <c r="C82" s="11" t="s">
        <v>18</v>
      </c>
      <c r="D82" s="11" t="s">
        <v>207</v>
      </c>
      <c r="E82" s="12">
        <v>0.0</v>
      </c>
      <c r="F82" s="6"/>
    </row>
    <row r="83">
      <c r="A83" s="11" t="s">
        <v>208</v>
      </c>
      <c r="B83" s="11" t="s">
        <v>9</v>
      </c>
      <c r="C83" s="11" t="s">
        <v>10</v>
      </c>
      <c r="D83" s="11" t="s">
        <v>209</v>
      </c>
      <c r="E83" s="12">
        <v>0.0</v>
      </c>
      <c r="F83" s="6"/>
    </row>
    <row r="84">
      <c r="A84" s="11" t="s">
        <v>210</v>
      </c>
      <c r="B84" s="11" t="s">
        <v>211</v>
      </c>
      <c r="C84" s="11" t="s">
        <v>10</v>
      </c>
      <c r="D84" s="11" t="s">
        <v>212</v>
      </c>
      <c r="E84" s="12">
        <v>0.0</v>
      </c>
      <c r="F84" s="6"/>
    </row>
    <row r="85">
      <c r="A85" s="11" t="s">
        <v>213</v>
      </c>
      <c r="B85" s="11" t="s">
        <v>21</v>
      </c>
      <c r="C85" s="11" t="s">
        <v>10</v>
      </c>
      <c r="D85" s="11" t="s">
        <v>214</v>
      </c>
      <c r="E85" s="12">
        <v>0.0</v>
      </c>
      <c r="F85" s="6"/>
    </row>
    <row r="86">
      <c r="A86" s="11" t="s">
        <v>215</v>
      </c>
      <c r="B86" s="11" t="s">
        <v>9</v>
      </c>
      <c r="C86" s="11" t="s">
        <v>10</v>
      </c>
      <c r="D86" s="11" t="s">
        <v>216</v>
      </c>
      <c r="E86" s="12">
        <v>0.0</v>
      </c>
      <c r="F86" s="6"/>
    </row>
    <row r="87">
      <c r="A87" s="11" t="s">
        <v>217</v>
      </c>
      <c r="B87" s="11" t="s">
        <v>32</v>
      </c>
      <c r="C87" s="11" t="s">
        <v>26</v>
      </c>
      <c r="D87" s="11" t="s">
        <v>218</v>
      </c>
      <c r="E87" s="12">
        <v>0.0</v>
      </c>
      <c r="F87" s="6"/>
    </row>
    <row r="88">
      <c r="A88" s="11" t="s">
        <v>219</v>
      </c>
      <c r="B88" s="11" t="s">
        <v>29</v>
      </c>
      <c r="C88" s="11" t="s">
        <v>26</v>
      </c>
      <c r="D88" s="11" t="s">
        <v>220</v>
      </c>
      <c r="E88" s="12">
        <v>0.0</v>
      </c>
      <c r="F88" s="6"/>
    </row>
    <row r="89">
      <c r="A89" s="13" t="s">
        <v>221</v>
      </c>
      <c r="B89" s="11" t="s">
        <v>29</v>
      </c>
      <c r="C89" s="11" t="s">
        <v>26</v>
      </c>
      <c r="D89" s="11" t="s">
        <v>222</v>
      </c>
      <c r="E89" s="12">
        <v>0.0</v>
      </c>
      <c r="F89" s="6"/>
    </row>
    <row r="90">
      <c r="A90" s="11" t="s">
        <v>223</v>
      </c>
      <c r="B90" s="11" t="s">
        <v>109</v>
      </c>
      <c r="C90" s="11" t="s">
        <v>224</v>
      </c>
      <c r="D90" s="11" t="s">
        <v>225</v>
      </c>
      <c r="E90" s="12">
        <v>0.0</v>
      </c>
      <c r="F90" s="6"/>
    </row>
    <row r="91">
      <c r="A91" s="11" t="s">
        <v>226</v>
      </c>
      <c r="B91" s="11" t="s">
        <v>227</v>
      </c>
      <c r="C91" s="11" t="s">
        <v>10</v>
      </c>
      <c r="D91" s="11" t="s">
        <v>228</v>
      </c>
      <c r="E91" s="12">
        <v>0.0</v>
      </c>
      <c r="F91" s="6"/>
    </row>
    <row r="92">
      <c r="A92" s="11" t="s">
        <v>229</v>
      </c>
      <c r="B92" s="11" t="s">
        <v>9</v>
      </c>
      <c r="C92" s="11" t="s">
        <v>10</v>
      </c>
      <c r="D92" s="11" t="s">
        <v>230</v>
      </c>
      <c r="E92" s="12">
        <v>0.0</v>
      </c>
      <c r="F92" s="6"/>
    </row>
    <row r="93">
      <c r="A93" s="13" t="s">
        <v>231</v>
      </c>
      <c r="B93" s="11" t="s">
        <v>9</v>
      </c>
      <c r="C93" s="11" t="s">
        <v>18</v>
      </c>
      <c r="D93" s="11" t="s">
        <v>232</v>
      </c>
      <c r="E93" s="12">
        <v>0.0</v>
      </c>
      <c r="F93" s="6"/>
    </row>
    <row r="94">
      <c r="A94" s="11" t="s">
        <v>233</v>
      </c>
      <c r="B94" s="11" t="s">
        <v>234</v>
      </c>
      <c r="C94" s="11" t="s">
        <v>18</v>
      </c>
      <c r="D94" s="11" t="s">
        <v>235</v>
      </c>
      <c r="E94" s="12">
        <v>0.0</v>
      </c>
      <c r="F94" s="6"/>
    </row>
    <row r="95">
      <c r="A95" s="13" t="s">
        <v>236</v>
      </c>
      <c r="B95" s="11" t="s">
        <v>17</v>
      </c>
      <c r="C95" s="11" t="s">
        <v>10</v>
      </c>
      <c r="D95" s="11" t="s">
        <v>237</v>
      </c>
      <c r="E95" s="12">
        <v>0.0</v>
      </c>
      <c r="F95" s="6"/>
    </row>
    <row r="96">
      <c r="A96" s="13" t="s">
        <v>238</v>
      </c>
      <c r="B96" s="11" t="s">
        <v>109</v>
      </c>
      <c r="C96" s="11" t="s">
        <v>10</v>
      </c>
      <c r="D96" s="11" t="s">
        <v>239</v>
      </c>
      <c r="E96" s="12">
        <v>0.0</v>
      </c>
      <c r="F96" s="6"/>
    </row>
    <row r="97">
      <c r="A97" s="13" t="s">
        <v>240</v>
      </c>
      <c r="B97" s="11" t="s">
        <v>17</v>
      </c>
      <c r="C97" s="11" t="s">
        <v>18</v>
      </c>
      <c r="D97" s="11" t="s">
        <v>241</v>
      </c>
      <c r="E97" s="12">
        <v>0.0</v>
      </c>
      <c r="F97" s="6"/>
    </row>
    <row r="98">
      <c r="A98" s="11" t="s">
        <v>242</v>
      </c>
      <c r="B98" s="11" t="s">
        <v>9</v>
      </c>
      <c r="C98" s="11" t="s">
        <v>10</v>
      </c>
      <c r="D98" s="11" t="s">
        <v>243</v>
      </c>
      <c r="E98" s="12">
        <v>0.0</v>
      </c>
      <c r="F98" s="6"/>
    </row>
    <row r="99">
      <c r="A99" s="11" t="s">
        <v>244</v>
      </c>
      <c r="B99" s="11" t="s">
        <v>83</v>
      </c>
      <c r="C99" s="11" t="s">
        <v>10</v>
      </c>
      <c r="D99" s="11" t="s">
        <v>245</v>
      </c>
      <c r="E99" s="12">
        <v>0.0</v>
      </c>
      <c r="F99" s="6"/>
    </row>
    <row r="100">
      <c r="A100" s="13" t="s">
        <v>246</v>
      </c>
      <c r="B100" s="11" t="s">
        <v>234</v>
      </c>
      <c r="C100" s="11" t="s">
        <v>18</v>
      </c>
      <c r="D100" s="11" t="s">
        <v>247</v>
      </c>
      <c r="E100" s="12">
        <v>0.0</v>
      </c>
      <c r="F100" s="6"/>
    </row>
    <row r="101">
      <c r="A101" s="13" t="s">
        <v>248</v>
      </c>
      <c r="B101" s="11" t="s">
        <v>234</v>
      </c>
      <c r="C101" s="11" t="s">
        <v>10</v>
      </c>
      <c r="D101" s="11" t="s">
        <v>249</v>
      </c>
      <c r="E101" s="12">
        <v>0.0</v>
      </c>
      <c r="F101" s="6"/>
    </row>
    <row r="102">
      <c r="A102" s="13" t="s">
        <v>250</v>
      </c>
      <c r="B102" s="11" t="s">
        <v>234</v>
      </c>
      <c r="C102" s="11" t="s">
        <v>18</v>
      </c>
      <c r="D102" s="11" t="s">
        <v>251</v>
      </c>
      <c r="E102" s="12">
        <v>0.0</v>
      </c>
      <c r="F102" s="6"/>
    </row>
    <row r="103">
      <c r="A103" s="11" t="s">
        <v>252</v>
      </c>
      <c r="B103" s="11" t="s">
        <v>234</v>
      </c>
      <c r="C103" s="11" t="s">
        <v>10</v>
      </c>
      <c r="D103" s="11" t="s">
        <v>253</v>
      </c>
      <c r="E103" s="12">
        <v>0.0</v>
      </c>
      <c r="F103" s="6"/>
    </row>
    <row r="104">
      <c r="A104" s="11" t="s">
        <v>254</v>
      </c>
      <c r="B104" s="11" t="s">
        <v>109</v>
      </c>
      <c r="C104" s="11" t="s">
        <v>10</v>
      </c>
      <c r="D104" s="11" t="s">
        <v>255</v>
      </c>
      <c r="E104" s="12">
        <v>0.0</v>
      </c>
      <c r="F104" s="6"/>
    </row>
    <row r="105">
      <c r="A105" s="11" t="s">
        <v>256</v>
      </c>
      <c r="B105" s="11" t="s">
        <v>35</v>
      </c>
      <c r="C105" s="11" t="s">
        <v>26</v>
      </c>
      <c r="D105" s="11" t="s">
        <v>257</v>
      </c>
      <c r="E105" s="12">
        <v>0.0</v>
      </c>
      <c r="F105" s="6"/>
    </row>
    <row r="106">
      <c r="A106" s="11" t="s">
        <v>258</v>
      </c>
      <c r="B106" s="11" t="s">
        <v>21</v>
      </c>
      <c r="C106" s="11" t="s">
        <v>18</v>
      </c>
      <c r="D106" s="11" t="s">
        <v>259</v>
      </c>
      <c r="E106" s="12">
        <v>0.0</v>
      </c>
      <c r="F106" s="6"/>
    </row>
    <row r="107">
      <c r="A107" s="11" t="s">
        <v>260</v>
      </c>
      <c r="B107" s="11" t="s">
        <v>35</v>
      </c>
      <c r="C107" s="11" t="s">
        <v>10</v>
      </c>
      <c r="D107" s="11" t="s">
        <v>261</v>
      </c>
      <c r="E107" s="12">
        <v>0.0</v>
      </c>
      <c r="F107" s="6"/>
    </row>
    <row r="108">
      <c r="A108" s="11" t="s">
        <v>262</v>
      </c>
      <c r="B108" s="11" t="s">
        <v>51</v>
      </c>
      <c r="C108" s="11" t="s">
        <v>10</v>
      </c>
      <c r="D108" s="11" t="s">
        <v>263</v>
      </c>
      <c r="E108" s="12">
        <v>0.0</v>
      </c>
      <c r="F108" s="6"/>
    </row>
    <row r="109">
      <c r="A109" s="11" t="s">
        <v>264</v>
      </c>
      <c r="B109" s="11" t="s">
        <v>109</v>
      </c>
      <c r="C109" s="11" t="s">
        <v>10</v>
      </c>
      <c r="D109" s="11" t="s">
        <v>265</v>
      </c>
      <c r="E109" s="12">
        <v>0.0</v>
      </c>
      <c r="F109" s="6"/>
    </row>
    <row r="110">
      <c r="A110" s="11" t="s">
        <v>266</v>
      </c>
      <c r="B110" s="11" t="s">
        <v>267</v>
      </c>
      <c r="C110" s="11" t="s">
        <v>10</v>
      </c>
      <c r="D110" s="11" t="s">
        <v>268</v>
      </c>
      <c r="E110" s="12">
        <v>0.0</v>
      </c>
      <c r="F110" s="6"/>
    </row>
    <row r="111">
      <c r="A111" s="11" t="s">
        <v>269</v>
      </c>
      <c r="B111" s="11" t="s">
        <v>227</v>
      </c>
      <c r="C111" s="11" t="s">
        <v>26</v>
      </c>
      <c r="D111" s="11" t="s">
        <v>270</v>
      </c>
      <c r="E111" s="12">
        <v>0.0</v>
      </c>
      <c r="F111" s="6"/>
    </row>
    <row r="112">
      <c r="A112" s="11" t="s">
        <v>271</v>
      </c>
      <c r="B112" s="11" t="s">
        <v>267</v>
      </c>
      <c r="C112" s="11" t="s">
        <v>10</v>
      </c>
      <c r="D112" s="11" t="s">
        <v>272</v>
      </c>
      <c r="E112" s="12">
        <v>0.0</v>
      </c>
      <c r="F112" s="6"/>
    </row>
    <row r="113">
      <c r="A113" s="13" t="s">
        <v>273</v>
      </c>
      <c r="B113" s="11" t="s">
        <v>17</v>
      </c>
      <c r="C113" s="11" t="s">
        <v>10</v>
      </c>
      <c r="D113" s="11" t="s">
        <v>274</v>
      </c>
      <c r="E113" s="12">
        <v>0.0</v>
      </c>
      <c r="F113" s="6"/>
    </row>
    <row r="114">
      <c r="A114" s="13" t="s">
        <v>275</v>
      </c>
      <c r="B114" s="11" t="s">
        <v>17</v>
      </c>
      <c r="C114" s="11" t="s">
        <v>10</v>
      </c>
      <c r="D114" s="11" t="s">
        <v>276</v>
      </c>
      <c r="E114" s="12">
        <v>0.0</v>
      </c>
      <c r="F114" s="6"/>
    </row>
    <row r="115">
      <c r="A115" s="11" t="s">
        <v>277</v>
      </c>
      <c r="B115" s="11" t="s">
        <v>21</v>
      </c>
      <c r="C115" s="11" t="s">
        <v>26</v>
      </c>
      <c r="D115" s="11" t="s">
        <v>278</v>
      </c>
      <c r="E115" s="12">
        <v>0.0</v>
      </c>
      <c r="F115" s="6"/>
    </row>
    <row r="116">
      <c r="A116" s="11" t="s">
        <v>279</v>
      </c>
      <c r="B116" s="11" t="s">
        <v>83</v>
      </c>
      <c r="C116" s="11" t="s">
        <v>10</v>
      </c>
      <c r="D116" s="11" t="s">
        <v>280</v>
      </c>
      <c r="E116" s="12">
        <v>0.0</v>
      </c>
      <c r="F116" s="6"/>
    </row>
    <row r="117">
      <c r="A117" s="11" t="s">
        <v>281</v>
      </c>
      <c r="B117" s="11" t="s">
        <v>35</v>
      </c>
      <c r="C117" s="11" t="s">
        <v>10</v>
      </c>
      <c r="D117" s="11" t="s">
        <v>282</v>
      </c>
      <c r="E117" s="12">
        <v>0.0</v>
      </c>
      <c r="F117" s="6"/>
    </row>
    <row r="118">
      <c r="A118" s="11" t="s">
        <v>283</v>
      </c>
      <c r="B118" s="11" t="s">
        <v>17</v>
      </c>
      <c r="C118" s="11" t="s">
        <v>18</v>
      </c>
      <c r="D118" s="11" t="s">
        <v>284</v>
      </c>
      <c r="E118" s="12">
        <v>0.0</v>
      </c>
      <c r="F118" s="6"/>
    </row>
    <row r="119">
      <c r="A119" s="13" t="s">
        <v>285</v>
      </c>
      <c r="B119" s="11" t="s">
        <v>286</v>
      </c>
      <c r="C119" s="11" t="s">
        <v>10</v>
      </c>
      <c r="D119" s="11" t="s">
        <v>287</v>
      </c>
      <c r="E119" s="12">
        <v>0.0</v>
      </c>
      <c r="F119" s="6"/>
    </row>
    <row r="120">
      <c r="A120" s="11" t="s">
        <v>288</v>
      </c>
      <c r="B120" s="11" t="s">
        <v>32</v>
      </c>
      <c r="C120" s="11" t="s">
        <v>10</v>
      </c>
      <c r="D120" s="11" t="s">
        <v>289</v>
      </c>
      <c r="E120" s="12">
        <v>0.0</v>
      </c>
      <c r="F120" s="6"/>
    </row>
    <row r="121">
      <c r="A121" s="11" t="s">
        <v>290</v>
      </c>
      <c r="B121" s="11" t="s">
        <v>291</v>
      </c>
      <c r="C121" s="11" t="s">
        <v>26</v>
      </c>
      <c r="D121" s="11" t="s">
        <v>292</v>
      </c>
      <c r="E121" s="12">
        <v>0.0</v>
      </c>
      <c r="F121" s="6"/>
    </row>
    <row r="122">
      <c r="A122" s="11" t="s">
        <v>293</v>
      </c>
      <c r="B122" s="11" t="s">
        <v>109</v>
      </c>
      <c r="C122" s="11" t="s">
        <v>10</v>
      </c>
      <c r="D122" s="11" t="s">
        <v>294</v>
      </c>
      <c r="E122" s="12">
        <v>0.0</v>
      </c>
      <c r="F122" s="6"/>
    </row>
    <row r="123">
      <c r="A123" s="11" t="s">
        <v>295</v>
      </c>
      <c r="B123" s="11" t="s">
        <v>32</v>
      </c>
      <c r="C123" s="11" t="s">
        <v>10</v>
      </c>
      <c r="D123" s="11" t="s">
        <v>296</v>
      </c>
      <c r="E123" s="12">
        <v>0.0</v>
      </c>
      <c r="F123" s="6"/>
    </row>
    <row r="124">
      <c r="A124" s="11" t="s">
        <v>297</v>
      </c>
      <c r="B124" s="11" t="s">
        <v>29</v>
      </c>
      <c r="C124" s="11" t="s">
        <v>10</v>
      </c>
      <c r="D124" s="11" t="s">
        <v>298</v>
      </c>
      <c r="E124" s="12">
        <v>0.0</v>
      </c>
      <c r="F124" s="6"/>
    </row>
    <row r="125">
      <c r="A125" s="11" t="s">
        <v>299</v>
      </c>
      <c r="B125" s="11" t="s">
        <v>29</v>
      </c>
      <c r="C125" s="11" t="s">
        <v>10</v>
      </c>
      <c r="D125" s="11" t="s">
        <v>300</v>
      </c>
      <c r="E125" s="12">
        <v>0.0</v>
      </c>
      <c r="F125" s="6"/>
    </row>
    <row r="126">
      <c r="A126" s="11" t="s">
        <v>301</v>
      </c>
      <c r="B126" s="11" t="s">
        <v>29</v>
      </c>
      <c r="C126" s="11" t="s">
        <v>18</v>
      </c>
      <c r="D126" s="11" t="s">
        <v>302</v>
      </c>
      <c r="E126" s="12">
        <v>0.0</v>
      </c>
      <c r="F126" s="6"/>
    </row>
    <row r="127">
      <c r="A127" s="11" t="s">
        <v>303</v>
      </c>
      <c r="B127" s="11"/>
      <c r="C127" s="11" t="s">
        <v>93</v>
      </c>
      <c r="D127" s="11" t="s">
        <v>304</v>
      </c>
      <c r="E127" s="12">
        <v>0.0</v>
      </c>
      <c r="F127" s="6"/>
    </row>
    <row r="128">
      <c r="A128" s="11" t="s">
        <v>305</v>
      </c>
      <c r="B128" s="11" t="s">
        <v>83</v>
      </c>
      <c r="C128" s="11" t="s">
        <v>10</v>
      </c>
      <c r="D128" s="11" t="s">
        <v>306</v>
      </c>
      <c r="E128" s="12">
        <v>0.0</v>
      </c>
      <c r="F128" s="6"/>
    </row>
    <row r="129">
      <c r="A129" s="11" t="s">
        <v>307</v>
      </c>
      <c r="B129" s="11" t="s">
        <v>32</v>
      </c>
      <c r="C129" s="11" t="s">
        <v>10</v>
      </c>
      <c r="D129" s="11" t="s">
        <v>308</v>
      </c>
      <c r="E129" s="12">
        <v>0.0</v>
      </c>
      <c r="F129" s="6"/>
    </row>
    <row r="130">
      <c r="A130" s="11" t="s">
        <v>309</v>
      </c>
      <c r="B130" s="11" t="s">
        <v>83</v>
      </c>
      <c r="C130" s="11" t="s">
        <v>18</v>
      </c>
      <c r="D130" s="11" t="s">
        <v>310</v>
      </c>
      <c r="E130" s="12">
        <v>0.0</v>
      </c>
      <c r="F130" s="6"/>
    </row>
    <row r="131">
      <c r="A131" s="11" t="s">
        <v>311</v>
      </c>
      <c r="B131" s="11" t="s">
        <v>109</v>
      </c>
      <c r="C131" s="11" t="s">
        <v>10</v>
      </c>
      <c r="D131" s="11" t="s">
        <v>312</v>
      </c>
      <c r="E131" s="12">
        <v>0.0</v>
      </c>
      <c r="F131" s="6"/>
    </row>
    <row r="132">
      <c r="A132" s="11" t="s">
        <v>313</v>
      </c>
      <c r="B132" s="11" t="s">
        <v>291</v>
      </c>
      <c r="C132" s="11" t="s">
        <v>10</v>
      </c>
      <c r="D132" s="11" t="s">
        <v>314</v>
      </c>
      <c r="E132" s="12">
        <v>0.0</v>
      </c>
      <c r="F132" s="6"/>
    </row>
    <row r="133">
      <c r="A133" s="11" t="s">
        <v>315</v>
      </c>
      <c r="B133" s="11" t="s">
        <v>35</v>
      </c>
      <c r="C133" s="11" t="s">
        <v>10</v>
      </c>
      <c r="D133" s="11" t="s">
        <v>316</v>
      </c>
      <c r="E133" s="12">
        <v>0.0</v>
      </c>
      <c r="F133" s="6"/>
    </row>
    <row r="134">
      <c r="A134" s="11" t="s">
        <v>317</v>
      </c>
      <c r="B134" s="11" t="s">
        <v>17</v>
      </c>
      <c r="C134" s="11" t="s">
        <v>18</v>
      </c>
      <c r="D134" s="11" t="s">
        <v>318</v>
      </c>
      <c r="E134" s="12">
        <v>0.0</v>
      </c>
      <c r="F134" s="6"/>
    </row>
    <row r="135">
      <c r="A135" s="11" t="s">
        <v>319</v>
      </c>
      <c r="B135" s="11" t="s">
        <v>17</v>
      </c>
      <c r="C135" s="11" t="s">
        <v>10</v>
      </c>
      <c r="D135" s="11" t="s">
        <v>320</v>
      </c>
      <c r="E135" s="12">
        <v>0.0</v>
      </c>
      <c r="F135" s="6"/>
    </row>
    <row r="136">
      <c r="A136" s="11" t="s">
        <v>321</v>
      </c>
      <c r="B136" s="11" t="s">
        <v>109</v>
      </c>
      <c r="C136" s="11" t="s">
        <v>10</v>
      </c>
      <c r="D136" s="11" t="s">
        <v>322</v>
      </c>
      <c r="E136" s="12">
        <v>0.0</v>
      </c>
      <c r="F136" s="6"/>
    </row>
    <row r="137">
      <c r="A137" s="11" t="s">
        <v>323</v>
      </c>
      <c r="B137" s="11" t="s">
        <v>17</v>
      </c>
      <c r="C137" s="11" t="s">
        <v>18</v>
      </c>
      <c r="D137" s="11" t="s">
        <v>324</v>
      </c>
      <c r="E137" s="12">
        <v>0.0</v>
      </c>
      <c r="F137" s="6"/>
    </row>
    <row r="138">
      <c r="A138" s="11" t="s">
        <v>325</v>
      </c>
      <c r="B138" s="11" t="s">
        <v>326</v>
      </c>
      <c r="C138" s="11" t="s">
        <v>18</v>
      </c>
      <c r="D138" s="11" t="s">
        <v>327</v>
      </c>
      <c r="E138" s="12">
        <v>0.0</v>
      </c>
      <c r="F138" s="6"/>
    </row>
    <row r="139">
      <c r="A139" s="11" t="s">
        <v>328</v>
      </c>
      <c r="B139" s="11" t="s">
        <v>109</v>
      </c>
      <c r="C139" s="11" t="s">
        <v>10</v>
      </c>
      <c r="D139" s="11" t="s">
        <v>329</v>
      </c>
      <c r="E139" s="12">
        <v>0.0</v>
      </c>
      <c r="F139" s="6"/>
    </row>
    <row r="140">
      <c r="A140" s="11" t="s">
        <v>330</v>
      </c>
      <c r="B140" s="11" t="s">
        <v>83</v>
      </c>
      <c r="C140" s="11" t="s">
        <v>18</v>
      </c>
      <c r="D140" s="11" t="s">
        <v>331</v>
      </c>
      <c r="E140" s="12">
        <v>0.0</v>
      </c>
      <c r="F140" s="6"/>
    </row>
    <row r="141">
      <c r="A141" s="11" t="s">
        <v>332</v>
      </c>
      <c r="B141" s="11" t="s">
        <v>32</v>
      </c>
      <c r="C141" s="11" t="s">
        <v>18</v>
      </c>
      <c r="D141" s="11" t="s">
        <v>333</v>
      </c>
      <c r="E141" s="12">
        <v>0.0</v>
      </c>
      <c r="F141" s="6"/>
    </row>
    <row r="142">
      <c r="A142" s="12" t="s">
        <v>334</v>
      </c>
      <c r="B142" s="11" t="s">
        <v>47</v>
      </c>
      <c r="C142" s="11" t="s">
        <v>40</v>
      </c>
      <c r="D142" s="11" t="s">
        <v>335</v>
      </c>
      <c r="E142" s="12">
        <v>0.0</v>
      </c>
      <c r="F142" s="6"/>
    </row>
    <row r="143">
      <c r="A143" s="11" t="s">
        <v>336</v>
      </c>
      <c r="B143" s="11" t="s">
        <v>29</v>
      </c>
      <c r="C143" s="11" t="s">
        <v>18</v>
      </c>
      <c r="D143" s="11" t="s">
        <v>337</v>
      </c>
      <c r="E143" s="12">
        <v>0.0</v>
      </c>
      <c r="F143" s="6"/>
    </row>
    <row r="144">
      <c r="A144" s="11" t="s">
        <v>338</v>
      </c>
      <c r="B144" s="11" t="s">
        <v>32</v>
      </c>
      <c r="C144" s="11" t="s">
        <v>10</v>
      </c>
      <c r="D144" s="11" t="s">
        <v>339</v>
      </c>
      <c r="E144" s="12">
        <v>0.0</v>
      </c>
      <c r="F144" s="6"/>
    </row>
    <row r="145">
      <c r="A145" s="11" t="s">
        <v>340</v>
      </c>
      <c r="B145" s="11" t="s">
        <v>83</v>
      </c>
      <c r="C145" s="11" t="s">
        <v>18</v>
      </c>
      <c r="D145" s="11" t="s">
        <v>341</v>
      </c>
      <c r="E145" s="12">
        <v>0.0</v>
      </c>
      <c r="F145" s="6"/>
    </row>
    <row r="146">
      <c r="A146" s="11" t="s">
        <v>342</v>
      </c>
      <c r="B146" s="11" t="s">
        <v>32</v>
      </c>
      <c r="C146" s="11" t="s">
        <v>10</v>
      </c>
      <c r="D146" s="11" t="s">
        <v>343</v>
      </c>
      <c r="E146" s="12">
        <v>0.0</v>
      </c>
      <c r="F146" s="6"/>
    </row>
    <row r="147">
      <c r="A147" s="11" t="s">
        <v>344</v>
      </c>
      <c r="B147" s="11" t="s">
        <v>109</v>
      </c>
      <c r="C147" s="11" t="s">
        <v>10</v>
      </c>
      <c r="D147" s="11" t="s">
        <v>345</v>
      </c>
      <c r="E147" s="12">
        <v>0.0</v>
      </c>
      <c r="F147" s="6"/>
    </row>
    <row r="148">
      <c r="A148" s="11" t="s">
        <v>346</v>
      </c>
      <c r="B148" s="11" t="s">
        <v>122</v>
      </c>
      <c r="C148" s="11" t="s">
        <v>18</v>
      </c>
      <c r="D148" s="11" t="s">
        <v>347</v>
      </c>
      <c r="E148" s="12">
        <v>0.0</v>
      </c>
      <c r="F148" s="6"/>
    </row>
    <row r="149">
      <c r="A149" s="11" t="s">
        <v>348</v>
      </c>
      <c r="B149" s="11" t="s">
        <v>122</v>
      </c>
      <c r="C149" s="11" t="s">
        <v>10</v>
      </c>
      <c r="D149" s="11" t="s">
        <v>349</v>
      </c>
      <c r="E149" s="12">
        <v>0.0</v>
      </c>
      <c r="F149" s="6"/>
    </row>
    <row r="150">
      <c r="A150" s="11" t="s">
        <v>350</v>
      </c>
      <c r="B150" s="11" t="s">
        <v>9</v>
      </c>
      <c r="C150" s="11" t="s">
        <v>18</v>
      </c>
      <c r="D150" s="11" t="s">
        <v>351</v>
      </c>
      <c r="E150" s="12">
        <v>0.0</v>
      </c>
      <c r="F150" s="6"/>
    </row>
    <row r="151">
      <c r="A151" s="11" t="s">
        <v>352</v>
      </c>
      <c r="B151" s="11" t="s">
        <v>32</v>
      </c>
      <c r="C151" s="11" t="s">
        <v>10</v>
      </c>
      <c r="D151" s="11" t="s">
        <v>353</v>
      </c>
      <c r="E151" s="12">
        <v>0.0</v>
      </c>
      <c r="F151" s="6"/>
    </row>
    <row r="152">
      <c r="A152" s="16" t="s">
        <v>354</v>
      </c>
      <c r="B152" s="11" t="s">
        <v>76</v>
      </c>
      <c r="C152" s="11" t="s">
        <v>18</v>
      </c>
      <c r="D152" s="11" t="s">
        <v>355</v>
      </c>
      <c r="E152" s="12">
        <v>0.0</v>
      </c>
      <c r="F152" s="6"/>
    </row>
    <row r="153">
      <c r="A153" s="11" t="s">
        <v>356</v>
      </c>
      <c r="B153" s="11" t="s">
        <v>291</v>
      </c>
      <c r="C153" s="11" t="s">
        <v>18</v>
      </c>
      <c r="D153" s="11" t="s">
        <v>357</v>
      </c>
      <c r="E153" s="12">
        <v>0.0</v>
      </c>
      <c r="F153" s="6"/>
    </row>
    <row r="154">
      <c r="A154" s="11" t="s">
        <v>358</v>
      </c>
      <c r="B154" s="11" t="s">
        <v>165</v>
      </c>
      <c r="C154" s="11" t="s">
        <v>18</v>
      </c>
      <c r="D154" s="11" t="s">
        <v>359</v>
      </c>
      <c r="E154" s="12">
        <v>0.0</v>
      </c>
      <c r="F154" s="6"/>
    </row>
    <row r="155">
      <c r="A155" s="11" t="s">
        <v>360</v>
      </c>
      <c r="B155" s="11" t="s">
        <v>109</v>
      </c>
      <c r="C155" s="11" t="s">
        <v>10</v>
      </c>
      <c r="D155" s="11" t="s">
        <v>361</v>
      </c>
      <c r="E155" s="12">
        <v>0.0</v>
      </c>
      <c r="F155" s="6"/>
    </row>
    <row r="156">
      <c r="A156" s="11" t="s">
        <v>362</v>
      </c>
      <c r="B156" s="11" t="s">
        <v>363</v>
      </c>
      <c r="C156" s="11" t="s">
        <v>18</v>
      </c>
      <c r="D156" s="11" t="s">
        <v>364</v>
      </c>
      <c r="E156" s="12">
        <v>0.0</v>
      </c>
      <c r="F156" s="6"/>
    </row>
    <row r="157">
      <c r="A157" s="11" t="s">
        <v>365</v>
      </c>
      <c r="B157" s="11" t="s">
        <v>227</v>
      </c>
      <c r="C157" s="11" t="s">
        <v>10</v>
      </c>
      <c r="D157" s="11" t="s">
        <v>366</v>
      </c>
      <c r="E157" s="12">
        <v>0.0</v>
      </c>
      <c r="F157" s="6"/>
    </row>
    <row r="158">
      <c r="A158" s="11" t="s">
        <v>367</v>
      </c>
      <c r="B158" s="11" t="s">
        <v>35</v>
      </c>
      <c r="C158" s="11" t="s">
        <v>10</v>
      </c>
      <c r="D158" s="11" t="s">
        <v>368</v>
      </c>
      <c r="E158" s="12">
        <v>6.0</v>
      </c>
      <c r="F158" s="3" t="s">
        <v>369</v>
      </c>
    </row>
    <row r="159">
      <c r="A159" s="11" t="s">
        <v>370</v>
      </c>
      <c r="B159" s="11" t="s">
        <v>21</v>
      </c>
      <c r="C159" s="11" t="s">
        <v>10</v>
      </c>
      <c r="D159" s="11" t="s">
        <v>371</v>
      </c>
      <c r="E159" s="12">
        <v>0.0</v>
      </c>
      <c r="F159" s="6"/>
    </row>
    <row r="160">
      <c r="A160" s="11" t="s">
        <v>372</v>
      </c>
      <c r="B160" s="11" t="s">
        <v>17</v>
      </c>
      <c r="C160" s="11" t="s">
        <v>18</v>
      </c>
      <c r="D160" s="11" t="s">
        <v>373</v>
      </c>
      <c r="E160" s="12">
        <v>0.0</v>
      </c>
      <c r="F160" s="6"/>
    </row>
    <row r="161">
      <c r="A161" s="11" t="s">
        <v>374</v>
      </c>
      <c r="B161" s="11" t="s">
        <v>375</v>
      </c>
      <c r="C161" s="11" t="s">
        <v>18</v>
      </c>
      <c r="D161" s="11" t="s">
        <v>376</v>
      </c>
      <c r="E161" s="12">
        <v>0.0</v>
      </c>
      <c r="F161" s="6"/>
    </row>
    <row r="162">
      <c r="A162" s="11" t="s">
        <v>377</v>
      </c>
      <c r="B162" s="11" t="s">
        <v>109</v>
      </c>
      <c r="C162" s="11" t="s">
        <v>10</v>
      </c>
      <c r="D162" s="11" t="s">
        <v>378</v>
      </c>
      <c r="E162" s="12">
        <v>0.0</v>
      </c>
      <c r="F162" s="6"/>
    </row>
    <row r="163">
      <c r="A163" s="11" t="s">
        <v>379</v>
      </c>
      <c r="B163" s="11" t="s">
        <v>9</v>
      </c>
      <c r="C163" s="11" t="s">
        <v>10</v>
      </c>
      <c r="D163" s="11" t="s">
        <v>380</v>
      </c>
      <c r="E163" s="12">
        <v>7.0</v>
      </c>
      <c r="F163" s="3" t="s">
        <v>381</v>
      </c>
    </row>
    <row r="164">
      <c r="A164" s="11" t="s">
        <v>382</v>
      </c>
      <c r="B164" s="11" t="s">
        <v>375</v>
      </c>
      <c r="C164" s="11" t="s">
        <v>10</v>
      </c>
      <c r="D164" s="11" t="s">
        <v>383</v>
      </c>
      <c r="E164" s="12">
        <v>0.0</v>
      </c>
      <c r="F164" s="6"/>
    </row>
    <row r="165">
      <c r="A165" s="11" t="s">
        <v>384</v>
      </c>
      <c r="B165" s="11" t="s">
        <v>32</v>
      </c>
      <c r="C165" s="11" t="s">
        <v>10</v>
      </c>
      <c r="D165" s="11" t="s">
        <v>385</v>
      </c>
      <c r="E165" s="12">
        <v>0.0</v>
      </c>
      <c r="F165" s="6"/>
    </row>
    <row r="166">
      <c r="A166" s="11" t="s">
        <v>386</v>
      </c>
      <c r="B166" s="11" t="s">
        <v>32</v>
      </c>
      <c r="C166" s="11" t="s">
        <v>10</v>
      </c>
      <c r="D166" s="11" t="s">
        <v>387</v>
      </c>
      <c r="E166" s="12">
        <v>0.0</v>
      </c>
      <c r="F166" s="6"/>
    </row>
    <row r="167">
      <c r="A167" s="11" t="s">
        <v>388</v>
      </c>
      <c r="B167" s="11" t="s">
        <v>375</v>
      </c>
      <c r="C167" s="11" t="s">
        <v>10</v>
      </c>
      <c r="D167" s="11" t="s">
        <v>389</v>
      </c>
      <c r="E167" s="12">
        <v>0.0</v>
      </c>
      <c r="F167" s="6"/>
    </row>
    <row r="168">
      <c r="A168" s="16" t="s">
        <v>390</v>
      </c>
      <c r="B168" s="11" t="s">
        <v>375</v>
      </c>
      <c r="C168" s="11" t="s">
        <v>93</v>
      </c>
      <c r="D168" s="11" t="s">
        <v>391</v>
      </c>
      <c r="E168" s="12">
        <v>5.0</v>
      </c>
      <c r="F168" s="3" t="s">
        <v>392</v>
      </c>
    </row>
    <row r="169">
      <c r="A169" s="11" t="s">
        <v>393</v>
      </c>
      <c r="B169" s="11" t="s">
        <v>32</v>
      </c>
      <c r="C169" s="11" t="s">
        <v>10</v>
      </c>
      <c r="D169" s="11" t="s">
        <v>394</v>
      </c>
      <c r="E169" s="12">
        <v>6.0</v>
      </c>
      <c r="F169" s="6"/>
    </row>
    <row r="170">
      <c r="A170" s="11" t="s">
        <v>395</v>
      </c>
      <c r="B170" s="11" t="s">
        <v>396</v>
      </c>
      <c r="C170" s="11" t="s">
        <v>10</v>
      </c>
      <c r="D170" s="11" t="s">
        <v>397</v>
      </c>
      <c r="E170" s="12">
        <v>0.0</v>
      </c>
      <c r="F170" s="6"/>
    </row>
    <row r="171">
      <c r="A171" s="11" t="s">
        <v>398</v>
      </c>
      <c r="B171" s="11" t="s">
        <v>83</v>
      </c>
      <c r="C171" s="11" t="s">
        <v>52</v>
      </c>
      <c r="D171" s="11" t="s">
        <v>399</v>
      </c>
      <c r="E171" s="12">
        <v>6.0</v>
      </c>
      <c r="F171" s="3" t="s">
        <v>400</v>
      </c>
    </row>
    <row r="172">
      <c r="A172" s="11" t="s">
        <v>401</v>
      </c>
      <c r="B172" s="11" t="s">
        <v>375</v>
      </c>
      <c r="C172" s="11" t="s">
        <v>10</v>
      </c>
      <c r="D172" s="11" t="s">
        <v>402</v>
      </c>
      <c r="E172" s="12">
        <v>0.0</v>
      </c>
      <c r="F172" s="6"/>
    </row>
    <row r="173">
      <c r="A173" s="11" t="s">
        <v>403</v>
      </c>
      <c r="B173" s="11" t="s">
        <v>375</v>
      </c>
      <c r="C173" s="11" t="s">
        <v>10</v>
      </c>
      <c r="D173" s="11" t="s">
        <v>404</v>
      </c>
      <c r="E173" s="12">
        <v>0.0</v>
      </c>
      <c r="F173" s="6"/>
    </row>
    <row r="174">
      <c r="A174" s="11" t="s">
        <v>405</v>
      </c>
      <c r="B174" s="11" t="s">
        <v>35</v>
      </c>
      <c r="C174" s="11" t="s">
        <v>10</v>
      </c>
      <c r="D174" s="11" t="s">
        <v>406</v>
      </c>
      <c r="E174" s="12">
        <v>0.0</v>
      </c>
      <c r="F174" s="6"/>
    </row>
    <row r="175">
      <c r="A175" s="11" t="s">
        <v>407</v>
      </c>
      <c r="B175" s="11" t="s">
        <v>32</v>
      </c>
      <c r="C175" s="11" t="s">
        <v>10</v>
      </c>
      <c r="D175" s="11" t="s">
        <v>408</v>
      </c>
      <c r="E175" s="12">
        <v>0.0</v>
      </c>
      <c r="F175" s="6"/>
    </row>
    <row r="176">
      <c r="A176" s="11" t="s">
        <v>409</v>
      </c>
      <c r="B176" s="11" t="s">
        <v>32</v>
      </c>
      <c r="C176" s="11" t="s">
        <v>10</v>
      </c>
      <c r="D176" s="11" t="s">
        <v>410</v>
      </c>
      <c r="E176" s="12">
        <v>0.0</v>
      </c>
      <c r="F176" s="6"/>
    </row>
    <row r="177">
      <c r="A177" s="11" t="s">
        <v>411</v>
      </c>
      <c r="B177" s="11" t="s">
        <v>109</v>
      </c>
      <c r="C177" s="11" t="s">
        <v>18</v>
      </c>
      <c r="D177" s="11" t="s">
        <v>412</v>
      </c>
      <c r="E177" s="12">
        <v>0.0</v>
      </c>
      <c r="F177" s="6"/>
    </row>
    <row r="178">
      <c r="A178" s="11" t="s">
        <v>413</v>
      </c>
      <c r="B178" s="11" t="s">
        <v>109</v>
      </c>
      <c r="C178" s="11" t="s">
        <v>10</v>
      </c>
      <c r="D178" s="11" t="s">
        <v>414</v>
      </c>
      <c r="E178" s="12">
        <v>0.0</v>
      </c>
      <c r="F178" s="6"/>
    </row>
    <row r="179">
      <c r="A179" s="11" t="s">
        <v>415</v>
      </c>
      <c r="B179" s="11" t="s">
        <v>109</v>
      </c>
      <c r="C179" s="11" t="s">
        <v>10</v>
      </c>
      <c r="D179" s="11" t="s">
        <v>416</v>
      </c>
      <c r="E179" s="12">
        <v>0.0</v>
      </c>
      <c r="F179" s="6"/>
    </row>
    <row r="180">
      <c r="A180" s="11" t="s">
        <v>417</v>
      </c>
      <c r="B180" s="11" t="s">
        <v>35</v>
      </c>
      <c r="C180" s="11" t="s">
        <v>18</v>
      </c>
      <c r="D180" s="11" t="s">
        <v>418</v>
      </c>
      <c r="E180" s="12">
        <v>0.0</v>
      </c>
      <c r="F180" s="6"/>
    </row>
    <row r="181">
      <c r="A181" s="11" t="s">
        <v>419</v>
      </c>
      <c r="B181" s="11" t="s">
        <v>122</v>
      </c>
      <c r="C181" s="11" t="s">
        <v>10</v>
      </c>
      <c r="D181" s="11" t="s">
        <v>420</v>
      </c>
      <c r="E181" s="12">
        <v>0.0</v>
      </c>
      <c r="F181" s="6"/>
    </row>
    <row r="182">
      <c r="A182" s="11" t="s">
        <v>421</v>
      </c>
      <c r="B182" s="11" t="s">
        <v>122</v>
      </c>
      <c r="C182" s="11" t="s">
        <v>10</v>
      </c>
      <c r="D182" s="11" t="s">
        <v>422</v>
      </c>
      <c r="E182" s="12">
        <v>0.0</v>
      </c>
      <c r="F182" s="6"/>
    </row>
    <row r="183">
      <c r="A183" s="11" t="s">
        <v>423</v>
      </c>
      <c r="B183" s="11" t="s">
        <v>122</v>
      </c>
      <c r="C183" s="11" t="s">
        <v>10</v>
      </c>
      <c r="D183" s="11" t="s">
        <v>424</v>
      </c>
      <c r="E183" s="12">
        <v>0.0</v>
      </c>
      <c r="F183" s="6"/>
    </row>
    <row r="184">
      <c r="A184" s="11" t="s">
        <v>425</v>
      </c>
      <c r="B184" s="11" t="s">
        <v>122</v>
      </c>
      <c r="C184" s="11" t="s">
        <v>10</v>
      </c>
      <c r="D184" s="11" t="s">
        <v>426</v>
      </c>
      <c r="E184" s="12">
        <v>0.0</v>
      </c>
      <c r="F184" s="6"/>
    </row>
    <row r="185">
      <c r="A185" s="11" t="s">
        <v>427</v>
      </c>
      <c r="B185" s="11" t="s">
        <v>17</v>
      </c>
      <c r="C185" s="11" t="s">
        <v>10</v>
      </c>
      <c r="D185" s="11" t="s">
        <v>428</v>
      </c>
      <c r="E185" s="12">
        <v>0.0</v>
      </c>
      <c r="F185" s="6"/>
    </row>
    <row r="186">
      <c r="A186" s="11" t="s">
        <v>429</v>
      </c>
      <c r="B186" s="11" t="s">
        <v>430</v>
      </c>
      <c r="C186" s="11" t="s">
        <v>431</v>
      </c>
      <c r="D186" s="11" t="s">
        <v>432</v>
      </c>
      <c r="E186" s="12">
        <v>0.0</v>
      </c>
      <c r="F186" s="6"/>
    </row>
    <row r="187">
      <c r="A187" s="11" t="s">
        <v>433</v>
      </c>
      <c r="B187" s="11" t="s">
        <v>165</v>
      </c>
      <c r="C187" s="11" t="s">
        <v>18</v>
      </c>
      <c r="D187" s="11" t="s">
        <v>434</v>
      </c>
      <c r="E187" s="12">
        <v>0.0</v>
      </c>
      <c r="F187" s="6"/>
    </row>
    <row r="188">
      <c r="A188" s="11" t="s">
        <v>435</v>
      </c>
      <c r="B188" s="11" t="s">
        <v>165</v>
      </c>
      <c r="C188" s="11" t="s">
        <v>18</v>
      </c>
      <c r="D188" s="11" t="s">
        <v>436</v>
      </c>
      <c r="E188" s="12">
        <v>0.0</v>
      </c>
      <c r="F188" s="6"/>
    </row>
    <row r="189">
      <c r="A189" s="11" t="s">
        <v>437</v>
      </c>
      <c r="B189" s="11" t="s">
        <v>109</v>
      </c>
      <c r="C189" s="11" t="s">
        <v>10</v>
      </c>
      <c r="D189" s="11" t="s">
        <v>438</v>
      </c>
      <c r="E189" s="12">
        <v>0.0</v>
      </c>
      <c r="F189" s="6"/>
    </row>
    <row r="190">
      <c r="A190" s="11" t="s">
        <v>439</v>
      </c>
      <c r="B190" s="11" t="s">
        <v>109</v>
      </c>
      <c r="C190" s="11" t="s">
        <v>10</v>
      </c>
      <c r="D190" s="11" t="s">
        <v>440</v>
      </c>
      <c r="E190" s="12">
        <v>0.0</v>
      </c>
      <c r="F190" s="6"/>
    </row>
    <row r="191">
      <c r="A191" s="11" t="s">
        <v>441</v>
      </c>
      <c r="B191" s="11" t="s">
        <v>17</v>
      </c>
      <c r="C191" s="11" t="s">
        <v>151</v>
      </c>
      <c r="D191" s="11" t="s">
        <v>442</v>
      </c>
      <c r="E191" s="12">
        <v>8.0</v>
      </c>
      <c r="F191" s="6"/>
    </row>
    <row r="192">
      <c r="A192" s="11" t="s">
        <v>443</v>
      </c>
      <c r="B192" s="11" t="s">
        <v>17</v>
      </c>
      <c r="C192" s="11" t="s">
        <v>10</v>
      </c>
      <c r="D192" s="11" t="s">
        <v>444</v>
      </c>
      <c r="E192" s="12">
        <v>0.0</v>
      </c>
      <c r="F192" s="6"/>
    </row>
    <row r="193">
      <c r="A193" s="11" t="s">
        <v>445</v>
      </c>
      <c r="B193" s="11" t="s">
        <v>17</v>
      </c>
      <c r="C193" s="11" t="s">
        <v>10</v>
      </c>
      <c r="D193" s="11" t="s">
        <v>446</v>
      </c>
      <c r="E193" s="12">
        <v>0.0</v>
      </c>
      <c r="F193" s="6"/>
    </row>
    <row r="194">
      <c r="A194" s="11" t="s">
        <v>447</v>
      </c>
      <c r="B194" s="11" t="s">
        <v>448</v>
      </c>
      <c r="C194" s="11" t="s">
        <v>10</v>
      </c>
      <c r="D194" s="11" t="s">
        <v>449</v>
      </c>
      <c r="E194" s="12">
        <v>0.0</v>
      </c>
      <c r="F194" s="6"/>
    </row>
    <row r="195">
      <c r="A195" s="11" t="s">
        <v>450</v>
      </c>
      <c r="B195" s="11" t="s">
        <v>375</v>
      </c>
      <c r="C195" s="11" t="s">
        <v>10</v>
      </c>
      <c r="D195" s="11" t="s">
        <v>451</v>
      </c>
      <c r="E195" s="12">
        <v>0.0</v>
      </c>
      <c r="F195" s="6"/>
    </row>
    <row r="196">
      <c r="A196" s="11" t="s">
        <v>452</v>
      </c>
      <c r="B196" s="11" t="s">
        <v>32</v>
      </c>
      <c r="C196" s="11" t="s">
        <v>26</v>
      </c>
      <c r="D196" s="11" t="s">
        <v>453</v>
      </c>
      <c r="E196" s="12">
        <v>0.0</v>
      </c>
      <c r="F196" s="6"/>
    </row>
    <row r="197">
      <c r="A197" s="11" t="s">
        <v>454</v>
      </c>
      <c r="B197" s="11" t="s">
        <v>32</v>
      </c>
      <c r="C197" s="11" t="s">
        <v>10</v>
      </c>
      <c r="D197" s="11" t="s">
        <v>455</v>
      </c>
      <c r="E197" s="12">
        <v>0.0</v>
      </c>
      <c r="F197" s="6"/>
    </row>
    <row r="198">
      <c r="A198" s="11" t="s">
        <v>456</v>
      </c>
      <c r="B198" s="11" t="s">
        <v>9</v>
      </c>
      <c r="C198" s="11" t="s">
        <v>18</v>
      </c>
      <c r="D198" s="11" t="s">
        <v>457</v>
      </c>
      <c r="E198" s="12">
        <v>0.0</v>
      </c>
      <c r="F198" s="6"/>
    </row>
    <row r="199">
      <c r="A199" s="11" t="s">
        <v>458</v>
      </c>
      <c r="B199" s="11" t="s">
        <v>17</v>
      </c>
      <c r="C199" s="11" t="s">
        <v>18</v>
      </c>
      <c r="D199" s="11" t="s">
        <v>459</v>
      </c>
      <c r="E199" s="12">
        <v>0.0</v>
      </c>
      <c r="F199" s="6"/>
    </row>
    <row r="200">
      <c r="A200" s="11" t="s">
        <v>460</v>
      </c>
      <c r="B200" s="11" t="s">
        <v>83</v>
      </c>
      <c r="C200" s="11" t="s">
        <v>10</v>
      </c>
      <c r="D200" s="11" t="s">
        <v>461</v>
      </c>
      <c r="E200" s="12">
        <v>0.0</v>
      </c>
      <c r="F200" s="6"/>
    </row>
    <row r="201">
      <c r="A201" s="11" t="s">
        <v>462</v>
      </c>
      <c r="B201" s="11" t="s">
        <v>463</v>
      </c>
      <c r="C201" s="11" t="s">
        <v>10</v>
      </c>
      <c r="D201" s="11" t="s">
        <v>464</v>
      </c>
      <c r="E201" s="12">
        <v>0.0</v>
      </c>
      <c r="F201" s="6"/>
    </row>
    <row r="202">
      <c r="A202" s="11" t="s">
        <v>465</v>
      </c>
      <c r="B202" s="11" t="s">
        <v>32</v>
      </c>
      <c r="C202" s="11" t="s">
        <v>10</v>
      </c>
      <c r="D202" s="11" t="s">
        <v>466</v>
      </c>
      <c r="E202" s="12">
        <v>0.0</v>
      </c>
      <c r="F202" s="6"/>
    </row>
    <row r="203">
      <c r="A203" s="11" t="s">
        <v>467</v>
      </c>
      <c r="B203" s="11" t="s">
        <v>83</v>
      </c>
      <c r="C203" s="11" t="s">
        <v>10</v>
      </c>
      <c r="D203" s="11" t="s">
        <v>468</v>
      </c>
      <c r="E203" s="12">
        <v>0.0</v>
      </c>
      <c r="F203" s="6"/>
    </row>
    <row r="204">
      <c r="A204" s="11" t="s">
        <v>469</v>
      </c>
      <c r="B204" s="11" t="s">
        <v>17</v>
      </c>
      <c r="C204" s="11" t="s">
        <v>18</v>
      </c>
      <c r="D204" s="11" t="s">
        <v>470</v>
      </c>
      <c r="E204" s="12">
        <v>7.0</v>
      </c>
      <c r="F204" s="3" t="s">
        <v>471</v>
      </c>
    </row>
    <row r="205">
      <c r="A205" s="11" t="s">
        <v>472</v>
      </c>
      <c r="B205" s="11" t="s">
        <v>17</v>
      </c>
      <c r="C205" s="11" t="s">
        <v>10</v>
      </c>
      <c r="D205" s="11" t="s">
        <v>473</v>
      </c>
      <c r="E205" s="12">
        <v>0.0</v>
      </c>
      <c r="F205" s="6"/>
    </row>
    <row r="206">
      <c r="A206" s="11" t="s">
        <v>474</v>
      </c>
      <c r="B206" s="11" t="s">
        <v>9</v>
      </c>
      <c r="C206" s="11" t="s">
        <v>18</v>
      </c>
      <c r="D206" s="11" t="s">
        <v>475</v>
      </c>
      <c r="E206" s="12">
        <v>0.0</v>
      </c>
      <c r="F206" s="6"/>
    </row>
    <row r="207">
      <c r="A207" s="11" t="s">
        <v>476</v>
      </c>
      <c r="B207" s="11" t="s">
        <v>122</v>
      </c>
      <c r="C207" s="11" t="s">
        <v>151</v>
      </c>
      <c r="D207" s="11" t="s">
        <v>477</v>
      </c>
      <c r="E207" s="12">
        <v>0.0</v>
      </c>
      <c r="F207" s="6"/>
    </row>
    <row r="208">
      <c r="A208" s="11" t="s">
        <v>478</v>
      </c>
      <c r="B208" s="11" t="s">
        <v>13</v>
      </c>
      <c r="C208" s="11" t="s">
        <v>18</v>
      </c>
      <c r="D208" s="11" t="s">
        <v>479</v>
      </c>
      <c r="E208" s="12">
        <v>0.0</v>
      </c>
      <c r="F208" s="6"/>
    </row>
    <row r="209">
      <c r="A209" s="11" t="s">
        <v>480</v>
      </c>
      <c r="B209" s="11" t="s">
        <v>32</v>
      </c>
      <c r="C209" s="11" t="s">
        <v>10</v>
      </c>
      <c r="D209" s="11" t="s">
        <v>481</v>
      </c>
      <c r="E209" s="12">
        <v>0.0</v>
      </c>
      <c r="F209" s="6"/>
    </row>
    <row r="210">
      <c r="A210" s="11" t="s">
        <v>482</v>
      </c>
      <c r="B210" s="11" t="s">
        <v>32</v>
      </c>
      <c r="C210" s="11" t="s">
        <v>10</v>
      </c>
      <c r="D210" s="11" t="s">
        <v>483</v>
      </c>
      <c r="E210" s="12">
        <v>0.0</v>
      </c>
      <c r="F210" s="6"/>
    </row>
    <row r="211">
      <c r="A211" s="11" t="s">
        <v>484</v>
      </c>
      <c r="B211" s="11" t="s">
        <v>32</v>
      </c>
      <c r="C211" s="11" t="s">
        <v>10</v>
      </c>
      <c r="D211" s="11" t="s">
        <v>485</v>
      </c>
      <c r="E211" s="12">
        <v>0.0</v>
      </c>
      <c r="F211" s="6"/>
    </row>
    <row r="212">
      <c r="A212" s="11" t="s">
        <v>486</v>
      </c>
      <c r="B212" s="11" t="s">
        <v>21</v>
      </c>
      <c r="C212" s="11" t="s">
        <v>10</v>
      </c>
      <c r="D212" s="11" t="s">
        <v>487</v>
      </c>
      <c r="E212" s="12">
        <v>0.0</v>
      </c>
      <c r="F212" s="6"/>
    </row>
    <row r="213">
      <c r="A213" s="11" t="s">
        <v>488</v>
      </c>
      <c r="B213" s="11" t="s">
        <v>35</v>
      </c>
      <c r="C213" s="11" t="s">
        <v>10</v>
      </c>
      <c r="D213" s="11" t="s">
        <v>489</v>
      </c>
      <c r="E213" s="12">
        <v>0.0</v>
      </c>
      <c r="F213" s="6"/>
    </row>
    <row r="214">
      <c r="A214" s="11" t="s">
        <v>490</v>
      </c>
      <c r="B214" s="11" t="s">
        <v>32</v>
      </c>
      <c r="C214" s="11" t="s">
        <v>10</v>
      </c>
      <c r="D214" s="11" t="s">
        <v>491</v>
      </c>
      <c r="E214" s="12">
        <v>0.0</v>
      </c>
      <c r="F214" s="6"/>
    </row>
    <row r="215">
      <c r="A215" s="11" t="s">
        <v>492</v>
      </c>
      <c r="B215" s="11" t="s">
        <v>21</v>
      </c>
      <c r="C215" s="11" t="s">
        <v>10</v>
      </c>
      <c r="D215" s="11" t="s">
        <v>493</v>
      </c>
      <c r="E215" s="12">
        <v>0.0</v>
      </c>
      <c r="F215" s="6"/>
    </row>
    <row r="216">
      <c r="A216" s="11" t="s">
        <v>494</v>
      </c>
      <c r="B216" s="11" t="s">
        <v>9</v>
      </c>
      <c r="C216" s="11" t="s">
        <v>18</v>
      </c>
      <c r="D216" s="11" t="s">
        <v>495</v>
      </c>
      <c r="E216" s="12">
        <v>0.0</v>
      </c>
      <c r="F216" s="6"/>
    </row>
    <row r="217">
      <c r="A217" s="11" t="s">
        <v>496</v>
      </c>
      <c r="B217" s="11" t="s">
        <v>497</v>
      </c>
      <c r="C217" s="11" t="s">
        <v>18</v>
      </c>
      <c r="D217" s="11" t="s">
        <v>498</v>
      </c>
      <c r="E217" s="12">
        <v>0.0</v>
      </c>
      <c r="F217" s="6"/>
    </row>
    <row r="218">
      <c r="A218" s="11" t="s">
        <v>499</v>
      </c>
      <c r="B218" s="11" t="s">
        <v>17</v>
      </c>
      <c r="C218" s="11" t="s">
        <v>18</v>
      </c>
      <c r="D218" s="11" t="s">
        <v>500</v>
      </c>
      <c r="E218" s="12">
        <v>0.0</v>
      </c>
      <c r="F218" s="6"/>
    </row>
    <row r="219">
      <c r="A219" s="11" t="s">
        <v>501</v>
      </c>
      <c r="B219" s="11" t="s">
        <v>17</v>
      </c>
      <c r="C219" s="11" t="s">
        <v>18</v>
      </c>
      <c r="D219" s="11" t="s">
        <v>502</v>
      </c>
      <c r="E219" s="12">
        <v>0.0</v>
      </c>
      <c r="F219" s="6"/>
    </row>
    <row r="220">
      <c r="A220" s="11" t="s">
        <v>503</v>
      </c>
      <c r="B220" s="11" t="s">
        <v>17</v>
      </c>
      <c r="C220" s="11" t="s">
        <v>10</v>
      </c>
      <c r="D220" s="11" t="s">
        <v>504</v>
      </c>
      <c r="E220" s="12">
        <v>0.0</v>
      </c>
      <c r="F220" s="6"/>
    </row>
    <row r="221">
      <c r="A221" s="11" t="s">
        <v>505</v>
      </c>
      <c r="B221" s="11" t="s">
        <v>9</v>
      </c>
      <c r="C221" s="11" t="s">
        <v>26</v>
      </c>
      <c r="D221" s="11" t="s">
        <v>506</v>
      </c>
      <c r="E221" s="12">
        <v>0.0</v>
      </c>
      <c r="F221" s="6"/>
    </row>
    <row r="222">
      <c r="A222" s="11" t="s">
        <v>507</v>
      </c>
      <c r="B222" s="11" t="s">
        <v>291</v>
      </c>
      <c r="C222" s="11" t="s">
        <v>26</v>
      </c>
      <c r="D222" s="11" t="s">
        <v>508</v>
      </c>
      <c r="E222" s="12">
        <v>0.0</v>
      </c>
      <c r="F222" s="6"/>
    </row>
    <row r="223">
      <c r="A223" s="11" t="s">
        <v>509</v>
      </c>
      <c r="B223" s="11" t="s">
        <v>109</v>
      </c>
      <c r="C223" s="11" t="s">
        <v>40</v>
      </c>
      <c r="D223" s="11" t="s">
        <v>510</v>
      </c>
      <c r="E223" s="12">
        <v>6.0</v>
      </c>
      <c r="F223" s="3" t="s">
        <v>511</v>
      </c>
    </row>
    <row r="224">
      <c r="A224" s="11" t="s">
        <v>512</v>
      </c>
      <c r="B224" s="11" t="s">
        <v>326</v>
      </c>
      <c r="C224" s="11" t="s">
        <v>10</v>
      </c>
      <c r="D224" s="11" t="s">
        <v>513</v>
      </c>
      <c r="E224" s="12">
        <v>0.0</v>
      </c>
      <c r="F224" s="6"/>
    </row>
    <row r="225">
      <c r="A225" s="11" t="s">
        <v>514</v>
      </c>
      <c r="B225" s="11" t="s">
        <v>326</v>
      </c>
      <c r="C225" s="11" t="s">
        <v>18</v>
      </c>
      <c r="D225" s="11" t="s">
        <v>515</v>
      </c>
      <c r="E225" s="12">
        <v>0.0</v>
      </c>
      <c r="F225" s="6"/>
    </row>
    <row r="226">
      <c r="A226" s="11" t="s">
        <v>516</v>
      </c>
      <c r="B226" s="11" t="s">
        <v>13</v>
      </c>
      <c r="C226" s="11" t="s">
        <v>18</v>
      </c>
      <c r="D226" s="11" t="s">
        <v>517</v>
      </c>
      <c r="E226" s="12">
        <v>0.0</v>
      </c>
      <c r="F226" s="6"/>
    </row>
    <row r="227">
      <c r="A227" s="11" t="s">
        <v>518</v>
      </c>
      <c r="B227" s="11" t="s">
        <v>109</v>
      </c>
      <c r="C227" s="11" t="s">
        <v>10</v>
      </c>
      <c r="D227" s="11" t="s">
        <v>519</v>
      </c>
      <c r="E227" s="12">
        <v>0.0</v>
      </c>
      <c r="F227" s="6"/>
    </row>
    <row r="228">
      <c r="A228" s="11" t="s">
        <v>520</v>
      </c>
      <c r="B228" s="11" t="s">
        <v>9</v>
      </c>
      <c r="C228" s="11" t="s">
        <v>10</v>
      </c>
      <c r="D228" s="11" t="s">
        <v>521</v>
      </c>
      <c r="E228" s="12">
        <v>0.0</v>
      </c>
      <c r="F228" s="6"/>
    </row>
    <row r="229">
      <c r="A229" s="11" t="s">
        <v>522</v>
      </c>
      <c r="B229" s="11" t="s">
        <v>32</v>
      </c>
      <c r="C229" s="11" t="s">
        <v>10</v>
      </c>
      <c r="D229" s="11" t="s">
        <v>523</v>
      </c>
      <c r="E229" s="12">
        <v>0.0</v>
      </c>
      <c r="F229" s="6"/>
    </row>
    <row r="230">
      <c r="A230" s="11" t="s">
        <v>524</v>
      </c>
      <c r="B230" s="11" t="s">
        <v>525</v>
      </c>
      <c r="C230" s="11" t="s">
        <v>10</v>
      </c>
      <c r="D230" s="11" t="s">
        <v>526</v>
      </c>
      <c r="E230" s="12">
        <v>0.0</v>
      </c>
      <c r="F230" s="6"/>
    </row>
    <row r="231">
      <c r="A231" s="11" t="s">
        <v>527</v>
      </c>
      <c r="B231" s="11" t="s">
        <v>528</v>
      </c>
      <c r="C231" s="11" t="s">
        <v>10</v>
      </c>
      <c r="D231" s="11" t="s">
        <v>529</v>
      </c>
      <c r="E231" s="12">
        <v>0.0</v>
      </c>
      <c r="F231" s="6"/>
    </row>
    <row r="232">
      <c r="A232" s="11" t="s">
        <v>530</v>
      </c>
      <c r="B232" s="11" t="s">
        <v>211</v>
      </c>
      <c r="C232" s="11" t="s">
        <v>10</v>
      </c>
      <c r="D232" s="11" t="s">
        <v>531</v>
      </c>
      <c r="E232" s="12">
        <v>0.0</v>
      </c>
      <c r="F232" s="6"/>
    </row>
    <row r="233">
      <c r="A233" s="11" t="s">
        <v>532</v>
      </c>
      <c r="B233" s="11" t="s">
        <v>21</v>
      </c>
      <c r="C233" s="11" t="s">
        <v>10</v>
      </c>
      <c r="D233" s="11" t="s">
        <v>533</v>
      </c>
      <c r="E233" s="12">
        <v>0.0</v>
      </c>
      <c r="F233" s="6"/>
    </row>
    <row r="234">
      <c r="A234" s="11" t="s">
        <v>534</v>
      </c>
      <c r="B234" s="11"/>
      <c r="C234" s="11" t="s">
        <v>18</v>
      </c>
      <c r="D234" s="11" t="s">
        <v>535</v>
      </c>
      <c r="E234" s="12">
        <v>0.0</v>
      </c>
      <c r="F234" s="6"/>
    </row>
    <row r="235">
      <c r="A235" s="11" t="s">
        <v>536</v>
      </c>
      <c r="B235" s="11" t="s">
        <v>9</v>
      </c>
      <c r="C235" s="11" t="s">
        <v>18</v>
      </c>
      <c r="D235" s="11" t="s">
        <v>537</v>
      </c>
      <c r="E235" s="12">
        <v>0.0</v>
      </c>
      <c r="F235" s="6"/>
    </row>
    <row r="236">
      <c r="A236" s="11" t="s">
        <v>538</v>
      </c>
      <c r="B236" s="11" t="s">
        <v>539</v>
      </c>
      <c r="C236" s="11" t="s">
        <v>18</v>
      </c>
      <c r="D236" s="11" t="s">
        <v>540</v>
      </c>
      <c r="E236" s="12">
        <v>0.0</v>
      </c>
      <c r="F236" s="6"/>
    </row>
    <row r="237">
      <c r="A237" s="11" t="s">
        <v>541</v>
      </c>
      <c r="B237" s="11" t="s">
        <v>9</v>
      </c>
      <c r="C237" s="11" t="s">
        <v>10</v>
      </c>
      <c r="D237" s="11" t="s">
        <v>542</v>
      </c>
      <c r="E237" s="12">
        <v>0.0</v>
      </c>
      <c r="F237" s="6"/>
    </row>
    <row r="238">
      <c r="A238" s="11" t="s">
        <v>543</v>
      </c>
      <c r="B238" s="11" t="s">
        <v>9</v>
      </c>
      <c r="C238" s="11" t="s">
        <v>10</v>
      </c>
      <c r="D238" s="11" t="s">
        <v>544</v>
      </c>
      <c r="E238" s="12">
        <v>0.0</v>
      </c>
      <c r="F238" s="6"/>
    </row>
    <row r="239">
      <c r="A239" s="11" t="s">
        <v>545</v>
      </c>
      <c r="B239" s="11" t="s">
        <v>21</v>
      </c>
      <c r="C239" s="11" t="s">
        <v>18</v>
      </c>
      <c r="D239" s="11" t="s">
        <v>546</v>
      </c>
      <c r="E239" s="12">
        <v>0.0</v>
      </c>
      <c r="F239" s="6"/>
    </row>
    <row r="240">
      <c r="A240" s="16" t="s">
        <v>547</v>
      </c>
      <c r="B240" s="11" t="s">
        <v>17</v>
      </c>
      <c r="C240" s="11" t="s">
        <v>10</v>
      </c>
      <c r="D240" s="11" t="s">
        <v>548</v>
      </c>
      <c r="E240" s="12">
        <v>8.0</v>
      </c>
      <c r="F240" s="3" t="s">
        <v>549</v>
      </c>
    </row>
    <row r="241">
      <c r="A241" s="11" t="s">
        <v>550</v>
      </c>
      <c r="B241" s="11" t="s">
        <v>32</v>
      </c>
      <c r="C241" s="11" t="s">
        <v>10</v>
      </c>
      <c r="D241" s="11" t="s">
        <v>551</v>
      </c>
      <c r="E241" s="12">
        <v>0.0</v>
      </c>
      <c r="F241" s="6"/>
    </row>
    <row r="242">
      <c r="A242" s="11" t="s">
        <v>552</v>
      </c>
      <c r="B242" s="11" t="s">
        <v>109</v>
      </c>
      <c r="C242" s="11" t="s">
        <v>10</v>
      </c>
      <c r="D242" s="11" t="s">
        <v>553</v>
      </c>
      <c r="E242" s="12">
        <v>0.0</v>
      </c>
      <c r="F242" s="6"/>
    </row>
    <row r="243">
      <c r="A243" s="11" t="s">
        <v>554</v>
      </c>
      <c r="B243" s="11" t="s">
        <v>109</v>
      </c>
      <c r="C243" s="11" t="s">
        <v>18</v>
      </c>
      <c r="D243" s="11" t="s">
        <v>555</v>
      </c>
      <c r="E243" s="12">
        <v>0.0</v>
      </c>
      <c r="F243" s="6"/>
    </row>
    <row r="244">
      <c r="A244" s="11" t="s">
        <v>556</v>
      </c>
      <c r="B244" s="11" t="s">
        <v>109</v>
      </c>
      <c r="C244" s="11" t="s">
        <v>18</v>
      </c>
      <c r="D244" s="11" t="s">
        <v>557</v>
      </c>
      <c r="E244" s="12">
        <v>0.0</v>
      </c>
      <c r="F244" s="6"/>
    </row>
    <row r="245">
      <c r="A245" s="11" t="s">
        <v>558</v>
      </c>
      <c r="B245" s="11" t="s">
        <v>122</v>
      </c>
      <c r="C245" s="11" t="s">
        <v>10</v>
      </c>
      <c r="D245" s="11" t="s">
        <v>559</v>
      </c>
      <c r="E245" s="12">
        <v>0.0</v>
      </c>
      <c r="F245" s="6"/>
    </row>
    <row r="246">
      <c r="A246" s="11" t="s">
        <v>560</v>
      </c>
      <c r="B246" s="11" t="s">
        <v>83</v>
      </c>
      <c r="C246" s="11" t="s">
        <v>10</v>
      </c>
      <c r="D246" s="11" t="s">
        <v>561</v>
      </c>
      <c r="E246" s="12">
        <v>0.0</v>
      </c>
      <c r="F246" s="6"/>
    </row>
    <row r="247">
      <c r="A247" s="11" t="s">
        <v>562</v>
      </c>
      <c r="B247" s="11" t="s">
        <v>563</v>
      </c>
      <c r="C247" s="11" t="s">
        <v>10</v>
      </c>
      <c r="D247" s="11" t="s">
        <v>564</v>
      </c>
      <c r="E247" s="12">
        <v>0.0</v>
      </c>
      <c r="F247" s="6"/>
    </row>
    <row r="248">
      <c r="A248" s="11" t="s">
        <v>565</v>
      </c>
      <c r="B248" s="11" t="s">
        <v>448</v>
      </c>
      <c r="C248" s="11" t="s">
        <v>10</v>
      </c>
      <c r="D248" s="11" t="s">
        <v>566</v>
      </c>
      <c r="E248" s="12">
        <v>0.0</v>
      </c>
      <c r="F248" s="6"/>
    </row>
    <row r="249">
      <c r="A249" s="11" t="s">
        <v>567</v>
      </c>
      <c r="B249" s="11" t="s">
        <v>563</v>
      </c>
      <c r="C249" s="11" t="s">
        <v>10</v>
      </c>
      <c r="D249" s="11" t="s">
        <v>568</v>
      </c>
      <c r="E249" s="12">
        <v>0.0</v>
      </c>
      <c r="F249" s="6"/>
    </row>
    <row r="250">
      <c r="A250" s="11" t="s">
        <v>569</v>
      </c>
      <c r="B250" s="11" t="s">
        <v>570</v>
      </c>
      <c r="C250" s="11" t="s">
        <v>10</v>
      </c>
      <c r="D250" s="11" t="s">
        <v>571</v>
      </c>
      <c r="E250" s="12">
        <v>0.0</v>
      </c>
      <c r="F250" s="6"/>
    </row>
    <row r="251">
      <c r="A251" s="11" t="s">
        <v>572</v>
      </c>
      <c r="B251" s="11" t="s">
        <v>570</v>
      </c>
      <c r="C251" s="11" t="s">
        <v>10</v>
      </c>
      <c r="D251" s="11" t="s">
        <v>573</v>
      </c>
      <c r="E251" s="12">
        <v>0.0</v>
      </c>
      <c r="F251" s="6"/>
    </row>
    <row r="252">
      <c r="A252" s="11" t="s">
        <v>574</v>
      </c>
      <c r="B252" s="11" t="s">
        <v>17</v>
      </c>
      <c r="C252" s="11" t="s">
        <v>10</v>
      </c>
      <c r="D252" s="11" t="s">
        <v>575</v>
      </c>
      <c r="E252" s="12">
        <v>0.0</v>
      </c>
      <c r="F252" s="6"/>
    </row>
    <row r="253">
      <c r="A253" s="11" t="s">
        <v>576</v>
      </c>
      <c r="B253" s="11" t="s">
        <v>29</v>
      </c>
      <c r="C253" s="11" t="s">
        <v>10</v>
      </c>
      <c r="D253" s="11" t="s">
        <v>577</v>
      </c>
      <c r="E253" s="12">
        <v>0.0</v>
      </c>
      <c r="F253" s="6"/>
    </row>
    <row r="254">
      <c r="A254" s="11" t="s">
        <v>578</v>
      </c>
      <c r="B254" s="11" t="s">
        <v>80</v>
      </c>
      <c r="C254" s="11" t="s">
        <v>10</v>
      </c>
      <c r="D254" s="11" t="s">
        <v>579</v>
      </c>
      <c r="E254" s="12">
        <v>0.0</v>
      </c>
      <c r="F254" s="6"/>
    </row>
    <row r="255">
      <c r="A255" s="11" t="s">
        <v>580</v>
      </c>
      <c r="B255" s="11" t="s">
        <v>570</v>
      </c>
      <c r="C255" s="11" t="s">
        <v>10</v>
      </c>
      <c r="D255" s="11" t="s">
        <v>581</v>
      </c>
      <c r="E255" s="12">
        <v>0.0</v>
      </c>
      <c r="F255" s="6"/>
    </row>
    <row r="256">
      <c r="A256" s="11" t="s">
        <v>582</v>
      </c>
      <c r="B256" s="11" t="s">
        <v>32</v>
      </c>
      <c r="C256" s="11" t="s">
        <v>10</v>
      </c>
      <c r="D256" s="11" t="s">
        <v>583</v>
      </c>
      <c r="E256" s="12">
        <v>0.0</v>
      </c>
      <c r="F256" s="6"/>
    </row>
    <row r="257">
      <c r="A257" s="11" t="s">
        <v>584</v>
      </c>
      <c r="B257" s="11" t="s">
        <v>21</v>
      </c>
      <c r="C257" s="11" t="s">
        <v>26</v>
      </c>
      <c r="D257" s="11" t="s">
        <v>585</v>
      </c>
      <c r="E257" s="12">
        <v>0.0</v>
      </c>
      <c r="F257" s="6"/>
    </row>
    <row r="258">
      <c r="A258" s="11" t="s">
        <v>586</v>
      </c>
      <c r="B258" s="11" t="s">
        <v>109</v>
      </c>
      <c r="C258" s="11" t="s">
        <v>26</v>
      </c>
      <c r="D258" s="11" t="s">
        <v>587</v>
      </c>
      <c r="E258" s="12">
        <v>0.0</v>
      </c>
      <c r="F258" s="6"/>
    </row>
    <row r="259">
      <c r="A259" s="11" t="s">
        <v>588</v>
      </c>
      <c r="B259" s="11" t="s">
        <v>227</v>
      </c>
      <c r="C259" s="11" t="s">
        <v>10</v>
      </c>
      <c r="D259" s="11" t="s">
        <v>589</v>
      </c>
      <c r="E259" s="12">
        <v>0.0</v>
      </c>
      <c r="F259" s="6"/>
    </row>
    <row r="260">
      <c r="A260" s="11" t="s">
        <v>590</v>
      </c>
      <c r="B260" s="11" t="s">
        <v>35</v>
      </c>
      <c r="C260" s="11" t="s">
        <v>10</v>
      </c>
      <c r="D260" s="11" t="s">
        <v>591</v>
      </c>
      <c r="E260" s="12">
        <v>0.0</v>
      </c>
      <c r="F260" s="6"/>
    </row>
    <row r="261">
      <c r="A261" s="11" t="s">
        <v>592</v>
      </c>
      <c r="B261" s="11" t="s">
        <v>21</v>
      </c>
      <c r="C261" s="11" t="s">
        <v>26</v>
      </c>
      <c r="D261" s="11" t="s">
        <v>593</v>
      </c>
      <c r="E261" s="12">
        <v>0.0</v>
      </c>
      <c r="F261" s="6"/>
    </row>
    <row r="262">
      <c r="A262" s="11" t="s">
        <v>594</v>
      </c>
      <c r="B262" s="11" t="s">
        <v>211</v>
      </c>
      <c r="C262" s="11" t="s">
        <v>10</v>
      </c>
      <c r="D262" s="11" t="s">
        <v>595</v>
      </c>
      <c r="E262" s="12">
        <v>0.0</v>
      </c>
      <c r="F262" s="6"/>
    </row>
    <row r="263">
      <c r="A263" s="11" t="s">
        <v>596</v>
      </c>
      <c r="B263" s="11" t="s">
        <v>32</v>
      </c>
      <c r="C263" s="11" t="s">
        <v>10</v>
      </c>
      <c r="D263" s="11" t="s">
        <v>597</v>
      </c>
      <c r="E263" s="12">
        <v>0.0</v>
      </c>
      <c r="F263" s="6"/>
    </row>
    <row r="264">
      <c r="A264" s="11" t="s">
        <v>598</v>
      </c>
      <c r="B264" s="11" t="s">
        <v>363</v>
      </c>
      <c r="C264" s="11" t="s">
        <v>10</v>
      </c>
      <c r="D264" s="11" t="s">
        <v>599</v>
      </c>
      <c r="E264" s="12">
        <v>0.0</v>
      </c>
      <c r="F264" s="6"/>
    </row>
    <row r="265">
      <c r="A265" s="11" t="s">
        <v>600</v>
      </c>
      <c r="B265" s="11" t="s">
        <v>35</v>
      </c>
      <c r="C265" s="11" t="s">
        <v>10</v>
      </c>
      <c r="D265" s="11" t="s">
        <v>601</v>
      </c>
      <c r="E265" s="12">
        <v>0.0</v>
      </c>
      <c r="F265" s="6"/>
    </row>
    <row r="266">
      <c r="A266" s="11" t="s">
        <v>602</v>
      </c>
      <c r="B266" s="11" t="s">
        <v>9</v>
      </c>
      <c r="C266" s="11" t="s">
        <v>10</v>
      </c>
      <c r="D266" s="11" t="s">
        <v>603</v>
      </c>
      <c r="E266" s="12">
        <v>0.0</v>
      </c>
      <c r="F266" s="6"/>
    </row>
    <row r="267">
      <c r="A267" s="11" t="s">
        <v>604</v>
      </c>
      <c r="B267" s="11" t="s">
        <v>83</v>
      </c>
      <c r="C267" s="11" t="s">
        <v>10</v>
      </c>
      <c r="D267" s="11" t="s">
        <v>605</v>
      </c>
      <c r="E267" s="12">
        <v>0.0</v>
      </c>
      <c r="F267" s="6"/>
    </row>
    <row r="268">
      <c r="A268" s="11" t="s">
        <v>606</v>
      </c>
      <c r="B268" s="11" t="s">
        <v>83</v>
      </c>
      <c r="C268" s="11" t="s">
        <v>18</v>
      </c>
      <c r="D268" s="11" t="s">
        <v>607</v>
      </c>
      <c r="E268" s="12">
        <v>0.0</v>
      </c>
      <c r="F268" s="6"/>
    </row>
    <row r="269">
      <c r="A269" s="11" t="s">
        <v>608</v>
      </c>
      <c r="B269" s="11" t="s">
        <v>83</v>
      </c>
      <c r="C269" s="11" t="s">
        <v>224</v>
      </c>
      <c r="D269" s="11" t="s">
        <v>609</v>
      </c>
      <c r="E269" s="12">
        <v>0.0</v>
      </c>
      <c r="F269" s="6"/>
    </row>
    <row r="270">
      <c r="A270" s="11" t="s">
        <v>610</v>
      </c>
      <c r="B270" s="11" t="s">
        <v>109</v>
      </c>
      <c r="C270" s="11" t="s">
        <v>18</v>
      </c>
      <c r="D270" s="11" t="s">
        <v>611</v>
      </c>
      <c r="E270" s="12">
        <v>0.0</v>
      </c>
      <c r="F270" s="6"/>
    </row>
    <row r="271">
      <c r="A271" s="11" t="s">
        <v>612</v>
      </c>
      <c r="B271" s="11" t="s">
        <v>29</v>
      </c>
      <c r="C271" s="11" t="s">
        <v>10</v>
      </c>
      <c r="D271" s="11" t="s">
        <v>613</v>
      </c>
      <c r="E271" s="12">
        <v>0.0</v>
      </c>
      <c r="F271" s="6"/>
    </row>
    <row r="272">
      <c r="A272" s="11" t="s">
        <v>614</v>
      </c>
      <c r="B272" s="11" t="s">
        <v>109</v>
      </c>
      <c r="C272" s="11" t="s">
        <v>224</v>
      </c>
      <c r="D272" s="11" t="s">
        <v>615</v>
      </c>
      <c r="E272" s="12">
        <v>0.0</v>
      </c>
      <c r="F272" s="6"/>
    </row>
    <row r="273">
      <c r="A273" s="11" t="s">
        <v>616</v>
      </c>
      <c r="B273" s="11" t="s">
        <v>32</v>
      </c>
      <c r="C273" s="11" t="s">
        <v>18</v>
      </c>
      <c r="D273" s="11" t="s">
        <v>617</v>
      </c>
      <c r="E273" s="12">
        <v>0.0</v>
      </c>
      <c r="F273" s="6"/>
    </row>
    <row r="274">
      <c r="A274" s="11" t="s">
        <v>618</v>
      </c>
      <c r="B274" s="11" t="s">
        <v>32</v>
      </c>
      <c r="C274" s="11" t="s">
        <v>10</v>
      </c>
      <c r="D274" s="11" t="s">
        <v>619</v>
      </c>
      <c r="E274" s="12">
        <v>0.0</v>
      </c>
      <c r="F274" s="6"/>
    </row>
    <row r="275">
      <c r="A275" s="11" t="s">
        <v>620</v>
      </c>
      <c r="B275" s="11" t="s">
        <v>109</v>
      </c>
      <c r="C275" s="11" t="s">
        <v>10</v>
      </c>
      <c r="D275" s="11" t="s">
        <v>621</v>
      </c>
      <c r="E275" s="12">
        <v>0.0</v>
      </c>
      <c r="F275" s="6"/>
    </row>
    <row r="276">
      <c r="A276" s="11" t="s">
        <v>622</v>
      </c>
      <c r="B276" s="11" t="s">
        <v>47</v>
      </c>
      <c r="C276" s="11" t="s">
        <v>10</v>
      </c>
      <c r="D276" s="11" t="s">
        <v>623</v>
      </c>
      <c r="E276" s="12">
        <v>7.0</v>
      </c>
      <c r="F276" s="3" t="s">
        <v>624</v>
      </c>
    </row>
    <row r="277">
      <c r="A277" s="11" t="s">
        <v>625</v>
      </c>
      <c r="B277" s="11" t="s">
        <v>29</v>
      </c>
      <c r="C277" s="11" t="s">
        <v>26</v>
      </c>
      <c r="D277" s="11" t="s">
        <v>626</v>
      </c>
      <c r="E277" s="12">
        <v>0.0</v>
      </c>
      <c r="F277" s="6"/>
    </row>
    <row r="278">
      <c r="A278" s="11" t="s">
        <v>627</v>
      </c>
      <c r="B278" s="11" t="s">
        <v>29</v>
      </c>
      <c r="C278" s="11" t="s">
        <v>26</v>
      </c>
      <c r="D278" s="11" t="s">
        <v>628</v>
      </c>
      <c r="E278" s="12">
        <v>0.0</v>
      </c>
      <c r="F278" s="6"/>
    </row>
    <row r="279">
      <c r="A279" s="11" t="s">
        <v>629</v>
      </c>
      <c r="B279" s="11" t="s">
        <v>122</v>
      </c>
      <c r="C279" s="11" t="s">
        <v>10</v>
      </c>
      <c r="D279" s="11" t="s">
        <v>630</v>
      </c>
      <c r="E279" s="12">
        <v>0.0</v>
      </c>
      <c r="F279" s="6"/>
    </row>
    <row r="280">
      <c r="A280" s="11" t="s">
        <v>631</v>
      </c>
      <c r="B280" s="11" t="s">
        <v>122</v>
      </c>
      <c r="C280" s="11" t="s">
        <v>10</v>
      </c>
      <c r="D280" s="11" t="s">
        <v>632</v>
      </c>
      <c r="E280" s="12">
        <v>0.0</v>
      </c>
      <c r="F280" s="6"/>
    </row>
    <row r="281">
      <c r="A281" s="11" t="s">
        <v>633</v>
      </c>
      <c r="B281" s="11" t="s">
        <v>109</v>
      </c>
      <c r="C281" s="11" t="s">
        <v>18</v>
      </c>
      <c r="D281" s="11" t="s">
        <v>634</v>
      </c>
      <c r="E281" s="12">
        <v>0.0</v>
      </c>
      <c r="F281" s="6"/>
    </row>
    <row r="282">
      <c r="A282" s="16" t="s">
        <v>635</v>
      </c>
      <c r="B282" s="11" t="s">
        <v>17</v>
      </c>
      <c r="C282" s="11" t="s">
        <v>18</v>
      </c>
      <c r="D282" s="11" t="s">
        <v>636</v>
      </c>
      <c r="E282" s="12">
        <v>0.0</v>
      </c>
      <c r="F282" s="6"/>
    </row>
    <row r="283">
      <c r="A283" s="11" t="s">
        <v>637</v>
      </c>
      <c r="B283" s="11" t="s">
        <v>29</v>
      </c>
      <c r="C283" s="11" t="s">
        <v>10</v>
      </c>
      <c r="D283" s="11" t="s">
        <v>638</v>
      </c>
      <c r="E283" s="12">
        <v>0.0</v>
      </c>
      <c r="F283" s="6"/>
    </row>
    <row r="284">
      <c r="A284" s="11" t="s">
        <v>639</v>
      </c>
      <c r="B284" s="11" t="s">
        <v>21</v>
      </c>
      <c r="C284" s="11" t="s">
        <v>10</v>
      </c>
      <c r="D284" s="11" t="s">
        <v>155</v>
      </c>
      <c r="E284" s="12">
        <v>0.0</v>
      </c>
      <c r="F284" s="6"/>
    </row>
    <row r="285">
      <c r="A285" s="11" t="s">
        <v>640</v>
      </c>
      <c r="B285" s="11" t="s">
        <v>21</v>
      </c>
      <c r="C285" s="11" t="s">
        <v>18</v>
      </c>
      <c r="D285" s="11" t="s">
        <v>641</v>
      </c>
      <c r="E285" s="12">
        <v>0.0</v>
      </c>
      <c r="F285" s="6"/>
    </row>
    <row r="286">
      <c r="A286" s="11" t="s">
        <v>642</v>
      </c>
      <c r="B286" s="11" t="s">
        <v>21</v>
      </c>
      <c r="C286" s="11" t="s">
        <v>10</v>
      </c>
      <c r="D286" s="11" t="s">
        <v>643</v>
      </c>
      <c r="E286" s="12">
        <v>0.0</v>
      </c>
      <c r="F286" s="6"/>
    </row>
    <row r="287">
      <c r="A287" s="11" t="s">
        <v>644</v>
      </c>
      <c r="B287" s="11" t="s">
        <v>109</v>
      </c>
      <c r="C287" s="11" t="s">
        <v>18</v>
      </c>
      <c r="D287" s="11" t="s">
        <v>645</v>
      </c>
      <c r="E287" s="12">
        <v>0.0</v>
      </c>
      <c r="F287" s="6"/>
    </row>
    <row r="288">
      <c r="A288" s="11" t="s">
        <v>646</v>
      </c>
      <c r="B288" s="11" t="s">
        <v>9</v>
      </c>
      <c r="C288" s="11" t="s">
        <v>18</v>
      </c>
      <c r="D288" s="11" t="s">
        <v>647</v>
      </c>
      <c r="E288" s="12">
        <v>0.0</v>
      </c>
      <c r="F288" s="6"/>
    </row>
    <row r="289">
      <c r="A289" s="11" t="s">
        <v>648</v>
      </c>
      <c r="B289" s="11" t="s">
        <v>109</v>
      </c>
      <c r="C289" s="11" t="s">
        <v>10</v>
      </c>
      <c r="D289" s="11" t="s">
        <v>649</v>
      </c>
      <c r="E289" s="12">
        <v>0.0</v>
      </c>
      <c r="F289" s="6"/>
    </row>
    <row r="290">
      <c r="A290" s="11" t="s">
        <v>650</v>
      </c>
      <c r="B290" s="11" t="s">
        <v>32</v>
      </c>
      <c r="C290" s="11" t="s">
        <v>10</v>
      </c>
      <c r="D290" s="11" t="s">
        <v>651</v>
      </c>
      <c r="E290" s="12">
        <v>0.0</v>
      </c>
      <c r="F290" s="6"/>
    </row>
    <row r="291">
      <c r="A291" s="11" t="s">
        <v>652</v>
      </c>
      <c r="B291" s="11" t="s">
        <v>227</v>
      </c>
      <c r="C291" s="11" t="s">
        <v>26</v>
      </c>
      <c r="D291" s="11" t="s">
        <v>653</v>
      </c>
      <c r="E291" s="12">
        <v>0.0</v>
      </c>
      <c r="F291" s="6"/>
    </row>
    <row r="292">
      <c r="A292" s="11" t="s">
        <v>654</v>
      </c>
      <c r="B292" s="11" t="s">
        <v>109</v>
      </c>
      <c r="C292" s="11" t="s">
        <v>10</v>
      </c>
      <c r="D292" s="11" t="s">
        <v>655</v>
      </c>
      <c r="E292" s="12">
        <v>0.0</v>
      </c>
      <c r="F292" s="6"/>
    </row>
    <row r="293">
      <c r="A293" s="11" t="s">
        <v>656</v>
      </c>
      <c r="B293" s="11" t="s">
        <v>122</v>
      </c>
      <c r="C293" s="11" t="s">
        <v>10</v>
      </c>
      <c r="D293" s="11" t="s">
        <v>657</v>
      </c>
      <c r="E293" s="12">
        <v>0.0</v>
      </c>
      <c r="F293" s="6"/>
    </row>
    <row r="294">
      <c r="A294" s="11" t="s">
        <v>658</v>
      </c>
      <c r="B294" s="11" t="s">
        <v>122</v>
      </c>
      <c r="C294" s="11" t="s">
        <v>10</v>
      </c>
      <c r="D294" s="11" t="s">
        <v>659</v>
      </c>
      <c r="E294" s="12">
        <v>0.0</v>
      </c>
      <c r="F294" s="6"/>
    </row>
    <row r="295">
      <c r="A295" s="11" t="s">
        <v>660</v>
      </c>
      <c r="B295" s="11" t="s">
        <v>32</v>
      </c>
      <c r="C295" s="11" t="s">
        <v>10</v>
      </c>
      <c r="D295" s="11" t="s">
        <v>661</v>
      </c>
      <c r="E295" s="12">
        <v>0.0</v>
      </c>
      <c r="F295" s="6"/>
    </row>
    <row r="296">
      <c r="A296" s="11" t="s">
        <v>662</v>
      </c>
      <c r="B296" s="11" t="s">
        <v>83</v>
      </c>
      <c r="C296" s="11" t="s">
        <v>10</v>
      </c>
      <c r="D296" s="11" t="s">
        <v>663</v>
      </c>
      <c r="E296" s="12">
        <v>0.0</v>
      </c>
      <c r="F296" s="6"/>
    </row>
    <row r="297">
      <c r="A297" s="11" t="s">
        <v>664</v>
      </c>
      <c r="B297" s="11" t="s">
        <v>363</v>
      </c>
      <c r="C297" s="11" t="s">
        <v>10</v>
      </c>
      <c r="D297" s="11" t="s">
        <v>665</v>
      </c>
      <c r="E297" s="12">
        <v>0.0</v>
      </c>
      <c r="F297" s="6"/>
    </row>
    <row r="298">
      <c r="A298" s="11" t="s">
        <v>666</v>
      </c>
      <c r="B298" s="11" t="s">
        <v>83</v>
      </c>
      <c r="C298" s="11" t="s">
        <v>10</v>
      </c>
      <c r="D298" s="11" t="s">
        <v>667</v>
      </c>
      <c r="E298" s="12">
        <v>0.0</v>
      </c>
      <c r="F298" s="6"/>
    </row>
    <row r="299">
      <c r="A299" s="11" t="s">
        <v>668</v>
      </c>
      <c r="B299" s="11" t="s">
        <v>80</v>
      </c>
      <c r="C299" s="11" t="s">
        <v>10</v>
      </c>
      <c r="D299" s="11" t="s">
        <v>669</v>
      </c>
      <c r="E299" s="12">
        <v>0.0</v>
      </c>
      <c r="F299" s="6"/>
    </row>
    <row r="300">
      <c r="A300" s="11" t="s">
        <v>670</v>
      </c>
      <c r="B300" s="11" t="s">
        <v>21</v>
      </c>
      <c r="C300" s="11" t="s">
        <v>18</v>
      </c>
      <c r="D300" s="11" t="s">
        <v>671</v>
      </c>
      <c r="E300" s="12">
        <v>0.0</v>
      </c>
      <c r="F300" s="6"/>
    </row>
    <row r="301">
      <c r="A301" s="11" t="s">
        <v>672</v>
      </c>
      <c r="B301" s="11" t="s">
        <v>227</v>
      </c>
      <c r="C301" s="11" t="s">
        <v>10</v>
      </c>
      <c r="D301" s="11" t="s">
        <v>673</v>
      </c>
      <c r="E301" s="12">
        <v>0.0</v>
      </c>
      <c r="F301" s="6"/>
    </row>
    <row r="302">
      <c r="A302" s="11" t="s">
        <v>674</v>
      </c>
      <c r="B302" s="11" t="s">
        <v>21</v>
      </c>
      <c r="C302" s="11" t="s">
        <v>10</v>
      </c>
      <c r="D302" s="11" t="s">
        <v>675</v>
      </c>
      <c r="E302" s="12">
        <v>0.0</v>
      </c>
      <c r="F302" s="6"/>
    </row>
    <row r="303">
      <c r="A303" s="11" t="s">
        <v>676</v>
      </c>
      <c r="B303" s="11" t="s">
        <v>363</v>
      </c>
      <c r="C303" s="11" t="s">
        <v>10</v>
      </c>
      <c r="D303" s="12" t="s">
        <v>677</v>
      </c>
      <c r="E303" s="12">
        <v>9.0</v>
      </c>
      <c r="F303" s="3" t="s">
        <v>678</v>
      </c>
    </row>
    <row r="304">
      <c r="A304" s="11" t="s">
        <v>679</v>
      </c>
      <c r="B304" s="11" t="s">
        <v>35</v>
      </c>
      <c r="C304" s="11" t="s">
        <v>10</v>
      </c>
      <c r="D304" s="11" t="s">
        <v>680</v>
      </c>
      <c r="E304" s="12">
        <v>0.0</v>
      </c>
      <c r="F304" s="6"/>
    </row>
    <row r="305">
      <c r="A305" s="11" t="s">
        <v>681</v>
      </c>
      <c r="B305" s="11" t="s">
        <v>234</v>
      </c>
      <c r="C305" s="11" t="s">
        <v>10</v>
      </c>
      <c r="D305" s="11" t="s">
        <v>682</v>
      </c>
      <c r="E305" s="12">
        <v>0.0</v>
      </c>
      <c r="F305" s="6"/>
    </row>
    <row r="306">
      <c r="A306" s="11" t="s">
        <v>683</v>
      </c>
      <c r="B306" s="11" t="s">
        <v>21</v>
      </c>
      <c r="C306" s="11" t="s">
        <v>10</v>
      </c>
      <c r="D306" s="11" t="s">
        <v>684</v>
      </c>
      <c r="E306" s="12">
        <v>0.0</v>
      </c>
      <c r="F306" s="6"/>
    </row>
    <row r="307">
      <c r="A307" s="11" t="s">
        <v>685</v>
      </c>
      <c r="B307" s="11" t="s">
        <v>686</v>
      </c>
      <c r="C307" s="11" t="s">
        <v>63</v>
      </c>
      <c r="D307" s="11" t="s">
        <v>687</v>
      </c>
      <c r="E307" s="12">
        <v>0.0</v>
      </c>
      <c r="F307" s="6"/>
    </row>
    <row r="308">
      <c r="A308" s="11" t="s">
        <v>688</v>
      </c>
      <c r="B308" s="11" t="s">
        <v>32</v>
      </c>
      <c r="C308" s="11" t="s">
        <v>18</v>
      </c>
      <c r="D308" s="11" t="s">
        <v>689</v>
      </c>
      <c r="E308" s="12">
        <v>0.0</v>
      </c>
      <c r="F308" s="6"/>
    </row>
    <row r="309">
      <c r="A309" s="11" t="s">
        <v>690</v>
      </c>
      <c r="B309" s="11" t="s">
        <v>32</v>
      </c>
      <c r="C309" s="11" t="s">
        <v>18</v>
      </c>
      <c r="D309" s="11" t="s">
        <v>691</v>
      </c>
      <c r="E309" s="12">
        <v>0.0</v>
      </c>
      <c r="F309" s="6"/>
    </row>
    <row r="310">
      <c r="A310" s="11" t="s">
        <v>692</v>
      </c>
      <c r="B310" s="11" t="s">
        <v>32</v>
      </c>
      <c r="C310" s="11" t="s">
        <v>18</v>
      </c>
      <c r="D310" s="11" t="s">
        <v>693</v>
      </c>
      <c r="E310" s="12">
        <v>0.0</v>
      </c>
      <c r="F310" s="6"/>
    </row>
    <row r="311">
      <c r="A311" s="11" t="s">
        <v>694</v>
      </c>
      <c r="B311" s="11" t="s">
        <v>32</v>
      </c>
      <c r="C311" s="11" t="s">
        <v>18</v>
      </c>
      <c r="D311" s="11" t="s">
        <v>695</v>
      </c>
      <c r="E311" s="12">
        <v>0.0</v>
      </c>
      <c r="F311" s="6"/>
    </row>
    <row r="312">
      <c r="A312" s="11" t="s">
        <v>696</v>
      </c>
      <c r="B312" s="11" t="s">
        <v>32</v>
      </c>
      <c r="C312" s="11" t="s">
        <v>10</v>
      </c>
      <c r="D312" s="11" t="s">
        <v>697</v>
      </c>
      <c r="E312" s="12">
        <v>0.0</v>
      </c>
      <c r="F312" s="6"/>
    </row>
    <row r="313">
      <c r="A313" s="11" t="s">
        <v>698</v>
      </c>
      <c r="B313" s="11" t="s">
        <v>32</v>
      </c>
      <c r="C313" s="11" t="s">
        <v>18</v>
      </c>
      <c r="D313" s="11" t="s">
        <v>699</v>
      </c>
      <c r="E313" s="12">
        <v>0.0</v>
      </c>
      <c r="F313" s="6"/>
    </row>
    <row r="314">
      <c r="A314" s="11" t="s">
        <v>700</v>
      </c>
      <c r="B314" s="11" t="s">
        <v>32</v>
      </c>
      <c r="C314" s="11" t="s">
        <v>18</v>
      </c>
      <c r="D314" s="11" t="s">
        <v>701</v>
      </c>
      <c r="E314" s="12">
        <v>0.0</v>
      </c>
      <c r="F314" s="6"/>
    </row>
    <row r="315">
      <c r="A315" s="11" t="s">
        <v>702</v>
      </c>
      <c r="B315" s="11" t="s">
        <v>62</v>
      </c>
      <c r="C315" s="11" t="s">
        <v>18</v>
      </c>
      <c r="D315" s="11" t="s">
        <v>703</v>
      </c>
      <c r="E315" s="12">
        <v>0.0</v>
      </c>
      <c r="F315" s="6"/>
    </row>
    <row r="316">
      <c r="A316" s="11" t="s">
        <v>704</v>
      </c>
      <c r="B316" s="11" t="s">
        <v>363</v>
      </c>
      <c r="C316" s="11" t="s">
        <v>10</v>
      </c>
      <c r="D316" s="11" t="s">
        <v>705</v>
      </c>
      <c r="E316" s="12">
        <v>0.0</v>
      </c>
      <c r="F316" s="6"/>
    </row>
    <row r="317">
      <c r="A317" s="11" t="s">
        <v>706</v>
      </c>
      <c r="B317" s="11" t="s">
        <v>109</v>
      </c>
      <c r="C317" s="11" t="s">
        <v>10</v>
      </c>
      <c r="D317" s="11" t="s">
        <v>707</v>
      </c>
      <c r="E317" s="12">
        <v>0.0</v>
      </c>
      <c r="F317" s="6"/>
    </row>
    <row r="318">
      <c r="A318" s="11" t="s">
        <v>708</v>
      </c>
      <c r="B318" s="11" t="s">
        <v>21</v>
      </c>
      <c r="C318" s="11" t="s">
        <v>10</v>
      </c>
      <c r="D318" s="11" t="s">
        <v>709</v>
      </c>
      <c r="E318" s="12">
        <v>0.0</v>
      </c>
      <c r="F318" s="6"/>
    </row>
    <row r="319">
      <c r="A319" s="11" t="s">
        <v>710</v>
      </c>
      <c r="B319" s="11" t="s">
        <v>47</v>
      </c>
      <c r="C319" s="11" t="s">
        <v>10</v>
      </c>
      <c r="D319" s="11" t="s">
        <v>711</v>
      </c>
      <c r="E319" s="12">
        <v>0.0</v>
      </c>
      <c r="F319" s="6"/>
    </row>
    <row r="320">
      <c r="A320" s="11" t="s">
        <v>712</v>
      </c>
      <c r="B320" s="11" t="s">
        <v>227</v>
      </c>
      <c r="C320" s="11" t="s">
        <v>26</v>
      </c>
      <c r="D320" s="11" t="s">
        <v>713</v>
      </c>
      <c r="E320" s="12">
        <v>0.0</v>
      </c>
      <c r="F320" s="6"/>
    </row>
    <row r="321">
      <c r="A321" s="11" t="s">
        <v>714</v>
      </c>
      <c r="B321" s="11" t="s">
        <v>32</v>
      </c>
      <c r="C321" s="11" t="s">
        <v>10</v>
      </c>
      <c r="D321" s="11" t="s">
        <v>715</v>
      </c>
      <c r="E321" s="12">
        <v>0.0</v>
      </c>
      <c r="F321" s="6"/>
    </row>
    <row r="322">
      <c r="A322" s="11" t="s">
        <v>716</v>
      </c>
      <c r="B322" s="11" t="s">
        <v>83</v>
      </c>
      <c r="C322" s="11" t="s">
        <v>18</v>
      </c>
      <c r="D322" s="11" t="s">
        <v>717</v>
      </c>
      <c r="E322" s="12">
        <v>0.0</v>
      </c>
      <c r="F322" s="6"/>
    </row>
    <row r="323">
      <c r="A323" s="11" t="s">
        <v>718</v>
      </c>
      <c r="B323" s="11" t="s">
        <v>83</v>
      </c>
      <c r="C323" s="11" t="s">
        <v>10</v>
      </c>
      <c r="D323" s="11" t="s">
        <v>719</v>
      </c>
      <c r="E323" s="12">
        <v>0.0</v>
      </c>
      <c r="F323" s="6"/>
    </row>
    <row r="324">
      <c r="A324" s="11" t="s">
        <v>720</v>
      </c>
      <c r="B324" s="11" t="s">
        <v>122</v>
      </c>
      <c r="C324" s="11" t="s">
        <v>10</v>
      </c>
      <c r="D324" s="11" t="s">
        <v>721</v>
      </c>
      <c r="E324" s="12">
        <v>0.0</v>
      </c>
      <c r="F324" s="6"/>
    </row>
    <row r="325">
      <c r="A325" s="11" t="s">
        <v>722</v>
      </c>
      <c r="B325" s="11" t="s">
        <v>17</v>
      </c>
      <c r="C325" s="11" t="s">
        <v>14</v>
      </c>
      <c r="D325" s="11" t="s">
        <v>723</v>
      </c>
      <c r="E325" s="12">
        <v>0.0</v>
      </c>
      <c r="F325" s="6"/>
    </row>
    <row r="326">
      <c r="A326" s="11" t="s">
        <v>724</v>
      </c>
      <c r="B326" s="11" t="s">
        <v>83</v>
      </c>
      <c r="C326" s="11" t="s">
        <v>63</v>
      </c>
      <c r="D326" s="11" t="s">
        <v>725</v>
      </c>
      <c r="E326" s="12">
        <v>0.0</v>
      </c>
      <c r="F326" s="6"/>
    </row>
    <row r="327">
      <c r="A327" s="11" t="s">
        <v>726</v>
      </c>
      <c r="B327" s="11" t="s">
        <v>83</v>
      </c>
      <c r="C327" s="11" t="s">
        <v>10</v>
      </c>
      <c r="D327" s="11" t="s">
        <v>727</v>
      </c>
      <c r="E327" s="12">
        <v>0.0</v>
      </c>
      <c r="F327" s="6"/>
    </row>
    <row r="328">
      <c r="A328" s="11" t="s">
        <v>728</v>
      </c>
      <c r="B328" s="11" t="s">
        <v>83</v>
      </c>
      <c r="C328" s="11" t="s">
        <v>10</v>
      </c>
      <c r="D328" s="11" t="s">
        <v>729</v>
      </c>
      <c r="E328" s="12">
        <v>0.0</v>
      </c>
      <c r="F328" s="6"/>
    </row>
    <row r="329">
      <c r="A329" s="11" t="s">
        <v>730</v>
      </c>
      <c r="B329" s="11" t="s">
        <v>731</v>
      </c>
      <c r="C329" s="11" t="s">
        <v>10</v>
      </c>
      <c r="D329" s="11" t="s">
        <v>732</v>
      </c>
      <c r="E329" s="12">
        <v>0.0</v>
      </c>
      <c r="F329" s="6"/>
    </row>
    <row r="330">
      <c r="A330" s="11" t="s">
        <v>733</v>
      </c>
      <c r="B330" s="11" t="s">
        <v>21</v>
      </c>
      <c r="C330" s="11" t="s">
        <v>10</v>
      </c>
      <c r="D330" s="11" t="s">
        <v>734</v>
      </c>
      <c r="E330" s="12">
        <v>0.0</v>
      </c>
      <c r="F330" s="6"/>
    </row>
    <row r="331">
      <c r="A331" s="11" t="s">
        <v>735</v>
      </c>
      <c r="B331" s="11" t="s">
        <v>17</v>
      </c>
      <c r="C331" s="11" t="s">
        <v>10</v>
      </c>
      <c r="D331" s="11" t="s">
        <v>736</v>
      </c>
      <c r="E331" s="12">
        <v>0.0</v>
      </c>
      <c r="F331" s="6"/>
    </row>
    <row r="332">
      <c r="A332" s="11" t="s">
        <v>737</v>
      </c>
      <c r="B332" s="11" t="s">
        <v>9</v>
      </c>
      <c r="C332" s="11" t="s">
        <v>10</v>
      </c>
      <c r="D332" s="11" t="s">
        <v>738</v>
      </c>
      <c r="E332" s="12">
        <v>0.0</v>
      </c>
      <c r="F332" s="6"/>
    </row>
    <row r="333">
      <c r="A333" s="11" t="s">
        <v>739</v>
      </c>
      <c r="B333" s="11" t="s">
        <v>686</v>
      </c>
      <c r="C333" s="11" t="s">
        <v>18</v>
      </c>
      <c r="D333" s="11" t="s">
        <v>740</v>
      </c>
      <c r="E333" s="12">
        <v>0.0</v>
      </c>
      <c r="F333" s="6"/>
    </row>
    <row r="334">
      <c r="A334" s="11" t="s">
        <v>741</v>
      </c>
      <c r="B334" s="11" t="s">
        <v>686</v>
      </c>
      <c r="C334" s="11" t="s">
        <v>18</v>
      </c>
      <c r="D334" s="11" t="s">
        <v>742</v>
      </c>
      <c r="E334" s="12">
        <v>0.0</v>
      </c>
      <c r="F334" s="6"/>
    </row>
    <row r="335">
      <c r="A335" s="11" t="s">
        <v>743</v>
      </c>
      <c r="B335" s="11" t="s">
        <v>686</v>
      </c>
      <c r="C335" s="11" t="s">
        <v>18</v>
      </c>
      <c r="D335" s="11" t="s">
        <v>744</v>
      </c>
      <c r="E335" s="12">
        <v>0.0</v>
      </c>
      <c r="F335" s="6"/>
    </row>
    <row r="336">
      <c r="A336" s="11" t="s">
        <v>745</v>
      </c>
      <c r="B336" s="11" t="s">
        <v>686</v>
      </c>
      <c r="C336" s="11" t="s">
        <v>10</v>
      </c>
      <c r="D336" s="11" t="s">
        <v>746</v>
      </c>
      <c r="E336" s="12">
        <v>0.0</v>
      </c>
      <c r="F336" s="6"/>
    </row>
    <row r="337">
      <c r="A337" s="11" t="s">
        <v>747</v>
      </c>
      <c r="B337" s="11" t="s">
        <v>21</v>
      </c>
      <c r="C337" s="11" t="s">
        <v>18</v>
      </c>
      <c r="D337" s="11" t="s">
        <v>748</v>
      </c>
      <c r="E337" s="12">
        <v>0.0</v>
      </c>
      <c r="F337" s="6"/>
    </row>
    <row r="338">
      <c r="A338" s="11" t="s">
        <v>749</v>
      </c>
      <c r="B338" s="11" t="s">
        <v>32</v>
      </c>
      <c r="C338" s="11" t="s">
        <v>10</v>
      </c>
      <c r="D338" s="11" t="s">
        <v>750</v>
      </c>
      <c r="E338" s="12">
        <v>0.0</v>
      </c>
      <c r="F338" s="6"/>
    </row>
    <row r="339">
      <c r="A339" s="11" t="s">
        <v>751</v>
      </c>
      <c r="B339" s="11" t="s">
        <v>17</v>
      </c>
      <c r="C339" s="11" t="s">
        <v>10</v>
      </c>
      <c r="D339" s="11" t="s">
        <v>752</v>
      </c>
      <c r="E339" s="12">
        <v>0.0</v>
      </c>
      <c r="F339" s="6"/>
    </row>
    <row r="340">
      <c r="A340" s="11" t="s">
        <v>753</v>
      </c>
      <c r="B340" s="11" t="s">
        <v>754</v>
      </c>
      <c r="C340" s="11" t="s">
        <v>10</v>
      </c>
      <c r="D340" s="11" t="s">
        <v>755</v>
      </c>
      <c r="E340" s="12">
        <v>0.0</v>
      </c>
      <c r="F340" s="6"/>
    </row>
    <row r="341">
      <c r="A341" s="11" t="s">
        <v>756</v>
      </c>
      <c r="B341" s="11" t="s">
        <v>731</v>
      </c>
      <c r="C341" s="11" t="s">
        <v>18</v>
      </c>
      <c r="D341" s="11" t="s">
        <v>757</v>
      </c>
      <c r="E341" s="12">
        <v>8.0</v>
      </c>
      <c r="F341" s="6"/>
    </row>
    <row r="342">
      <c r="A342" s="11" t="s">
        <v>758</v>
      </c>
      <c r="B342" s="11"/>
      <c r="C342" s="11" t="s">
        <v>18</v>
      </c>
      <c r="D342" s="11" t="s">
        <v>759</v>
      </c>
      <c r="E342" s="12">
        <v>0.0</v>
      </c>
      <c r="F342" s="6"/>
    </row>
    <row r="343">
      <c r="A343" s="11" t="s">
        <v>760</v>
      </c>
      <c r="B343" s="11" t="s">
        <v>9</v>
      </c>
      <c r="C343" s="11" t="s">
        <v>18</v>
      </c>
      <c r="D343" s="11" t="s">
        <v>761</v>
      </c>
      <c r="E343" s="12">
        <v>0.0</v>
      </c>
      <c r="F343" s="6"/>
    </row>
    <row r="344">
      <c r="A344" s="11" t="s">
        <v>762</v>
      </c>
      <c r="B344" s="11" t="s">
        <v>9</v>
      </c>
      <c r="C344" s="11" t="s">
        <v>18</v>
      </c>
      <c r="D344" s="11" t="s">
        <v>763</v>
      </c>
      <c r="E344" s="12">
        <v>0.0</v>
      </c>
      <c r="F344" s="6"/>
    </row>
    <row r="345">
      <c r="A345" s="11" t="s">
        <v>764</v>
      </c>
      <c r="B345" s="11"/>
      <c r="C345" s="11" t="s">
        <v>18</v>
      </c>
      <c r="D345" s="11" t="s">
        <v>765</v>
      </c>
      <c r="E345" s="12">
        <v>0.0</v>
      </c>
      <c r="F345" s="6"/>
    </row>
    <row r="346">
      <c r="A346" s="11" t="s">
        <v>766</v>
      </c>
      <c r="B346" s="11" t="s">
        <v>109</v>
      </c>
      <c r="C346" s="11" t="s">
        <v>10</v>
      </c>
      <c r="D346" s="11" t="s">
        <v>767</v>
      </c>
      <c r="E346" s="12">
        <v>0.0</v>
      </c>
      <c r="F346" s="6"/>
    </row>
    <row r="347">
      <c r="A347" s="11" t="s">
        <v>768</v>
      </c>
      <c r="B347" s="11" t="s">
        <v>17</v>
      </c>
      <c r="C347" s="11" t="s">
        <v>26</v>
      </c>
      <c r="D347" s="11" t="s">
        <v>769</v>
      </c>
      <c r="E347" s="12">
        <v>0.0</v>
      </c>
      <c r="F347" s="6"/>
    </row>
    <row r="348">
      <c r="A348" s="11" t="s">
        <v>770</v>
      </c>
      <c r="B348" s="11" t="s">
        <v>83</v>
      </c>
      <c r="C348" s="11" t="s">
        <v>10</v>
      </c>
      <c r="D348" s="11" t="s">
        <v>771</v>
      </c>
      <c r="E348" s="12">
        <v>0.0</v>
      </c>
      <c r="F348" s="6"/>
    </row>
    <row r="349">
      <c r="A349" s="11" t="s">
        <v>772</v>
      </c>
      <c r="B349" s="11" t="s">
        <v>17</v>
      </c>
      <c r="C349" s="11" t="s">
        <v>18</v>
      </c>
      <c r="D349" s="11" t="s">
        <v>773</v>
      </c>
      <c r="E349" s="12">
        <v>0.0</v>
      </c>
      <c r="F349" s="6"/>
    </row>
    <row r="350">
      <c r="A350" s="11" t="s">
        <v>774</v>
      </c>
      <c r="B350" s="11" t="s">
        <v>29</v>
      </c>
      <c r="C350" s="11" t="s">
        <v>10</v>
      </c>
      <c r="D350" s="11" t="s">
        <v>775</v>
      </c>
      <c r="E350" s="12">
        <v>0.0</v>
      </c>
      <c r="F350" s="6"/>
    </row>
    <row r="351">
      <c r="A351" s="11" t="s">
        <v>776</v>
      </c>
      <c r="B351" s="11" t="s">
        <v>17</v>
      </c>
      <c r="C351" s="11" t="s">
        <v>10</v>
      </c>
      <c r="D351" s="11" t="s">
        <v>777</v>
      </c>
      <c r="E351" s="12">
        <v>7.0</v>
      </c>
      <c r="F351" s="3" t="s">
        <v>778</v>
      </c>
    </row>
    <row r="352">
      <c r="A352" s="11" t="s">
        <v>779</v>
      </c>
      <c r="B352" s="11" t="s">
        <v>17</v>
      </c>
      <c r="C352" s="11" t="s">
        <v>10</v>
      </c>
      <c r="D352" s="11" t="s">
        <v>780</v>
      </c>
      <c r="E352" s="12">
        <v>0.0</v>
      </c>
      <c r="F352" s="6"/>
    </row>
    <row r="353">
      <c r="A353" s="11" t="s">
        <v>781</v>
      </c>
      <c r="B353" s="11" t="s">
        <v>109</v>
      </c>
      <c r="C353" s="11" t="s">
        <v>10</v>
      </c>
      <c r="D353" s="11" t="s">
        <v>782</v>
      </c>
      <c r="E353" s="12">
        <v>0.0</v>
      </c>
      <c r="F353" s="6"/>
    </row>
    <row r="354">
      <c r="A354" s="11" t="s">
        <v>783</v>
      </c>
      <c r="B354" s="11" t="s">
        <v>83</v>
      </c>
      <c r="C354" s="11" t="s">
        <v>63</v>
      </c>
      <c r="D354" s="11" t="s">
        <v>784</v>
      </c>
      <c r="E354" s="12">
        <v>0.0</v>
      </c>
      <c r="F354" s="6"/>
    </row>
    <row r="355">
      <c r="A355" s="11" t="s">
        <v>785</v>
      </c>
      <c r="B355" s="11" t="s">
        <v>17</v>
      </c>
      <c r="C355" s="11" t="s">
        <v>151</v>
      </c>
      <c r="D355" s="11" t="s">
        <v>786</v>
      </c>
      <c r="E355" s="12">
        <v>0.0</v>
      </c>
      <c r="F355" s="6"/>
    </row>
    <row r="356">
      <c r="A356" s="11" t="s">
        <v>787</v>
      </c>
      <c r="B356" s="11" t="s">
        <v>83</v>
      </c>
      <c r="C356" s="11" t="s">
        <v>18</v>
      </c>
      <c r="D356" s="11" t="s">
        <v>788</v>
      </c>
      <c r="E356" s="12">
        <v>7.0</v>
      </c>
      <c r="F356" s="3" t="s">
        <v>789</v>
      </c>
    </row>
    <row r="357">
      <c r="A357" s="11" t="s">
        <v>790</v>
      </c>
      <c r="B357" s="11" t="s">
        <v>32</v>
      </c>
      <c r="C357" s="11" t="s">
        <v>10</v>
      </c>
      <c r="D357" s="11" t="s">
        <v>791</v>
      </c>
      <c r="E357" s="12">
        <v>0.0</v>
      </c>
      <c r="F357" s="6"/>
    </row>
    <row r="358">
      <c r="A358" s="11" t="s">
        <v>792</v>
      </c>
      <c r="B358" s="11" t="s">
        <v>21</v>
      </c>
      <c r="C358" s="11" t="s">
        <v>10</v>
      </c>
      <c r="D358" s="11" t="s">
        <v>793</v>
      </c>
      <c r="E358" s="12">
        <v>0.0</v>
      </c>
      <c r="F358" s="6"/>
    </row>
    <row r="359">
      <c r="A359" s="11" t="s">
        <v>794</v>
      </c>
      <c r="B359" s="11" t="s">
        <v>109</v>
      </c>
      <c r="C359" s="11" t="s">
        <v>10</v>
      </c>
      <c r="D359" s="11" t="s">
        <v>795</v>
      </c>
      <c r="E359" s="12">
        <v>0.0</v>
      </c>
      <c r="F359" s="6"/>
    </row>
    <row r="360">
      <c r="A360" s="11" t="s">
        <v>796</v>
      </c>
      <c r="B360" s="11" t="s">
        <v>35</v>
      </c>
      <c r="C360" s="11" t="s">
        <v>10</v>
      </c>
      <c r="D360" s="11" t="s">
        <v>797</v>
      </c>
      <c r="E360" s="12">
        <v>0.0</v>
      </c>
      <c r="F360" s="6"/>
    </row>
    <row r="361">
      <c r="A361" s="11" t="s">
        <v>798</v>
      </c>
      <c r="B361" s="11" t="s">
        <v>21</v>
      </c>
      <c r="C361" s="11" t="s">
        <v>26</v>
      </c>
      <c r="D361" s="11" t="s">
        <v>799</v>
      </c>
      <c r="E361" s="12">
        <v>0.0</v>
      </c>
      <c r="F361" s="6"/>
    </row>
    <row r="362">
      <c r="A362" s="11" t="s">
        <v>800</v>
      </c>
      <c r="B362" s="11" t="s">
        <v>102</v>
      </c>
      <c r="C362" s="11" t="s">
        <v>10</v>
      </c>
      <c r="D362" s="11" t="s">
        <v>801</v>
      </c>
      <c r="E362" s="12">
        <v>0.0</v>
      </c>
      <c r="F362" s="6"/>
    </row>
    <row r="363">
      <c r="A363" s="11" t="s">
        <v>802</v>
      </c>
      <c r="B363" s="11" t="s">
        <v>32</v>
      </c>
      <c r="C363" s="11" t="s">
        <v>10</v>
      </c>
      <c r="D363" s="11" t="s">
        <v>803</v>
      </c>
      <c r="E363" s="12">
        <v>0.0</v>
      </c>
      <c r="F363" s="6"/>
    </row>
    <row r="364">
      <c r="A364" s="11" t="s">
        <v>804</v>
      </c>
      <c r="B364" s="11" t="s">
        <v>805</v>
      </c>
      <c r="C364" s="11" t="s">
        <v>18</v>
      </c>
      <c r="D364" s="11" t="s">
        <v>806</v>
      </c>
      <c r="E364" s="12">
        <v>0.0</v>
      </c>
      <c r="F364" s="6"/>
    </row>
    <row r="365">
      <c r="A365" s="11" t="s">
        <v>807</v>
      </c>
      <c r="B365" s="11" t="s">
        <v>17</v>
      </c>
      <c r="C365" s="11" t="s">
        <v>10</v>
      </c>
      <c r="D365" s="11" t="s">
        <v>808</v>
      </c>
      <c r="E365" s="12">
        <v>0.0</v>
      </c>
      <c r="F365" s="6"/>
    </row>
    <row r="366">
      <c r="A366" s="11" t="s">
        <v>809</v>
      </c>
      <c r="B366" s="11" t="s">
        <v>32</v>
      </c>
      <c r="C366" s="11" t="s">
        <v>26</v>
      </c>
      <c r="D366" s="11" t="s">
        <v>810</v>
      </c>
      <c r="E366" s="12">
        <v>0.0</v>
      </c>
      <c r="F366" s="6"/>
    </row>
    <row r="367">
      <c r="A367" s="11" t="s">
        <v>811</v>
      </c>
      <c r="B367" s="11" t="s">
        <v>291</v>
      </c>
      <c r="C367" s="11" t="s">
        <v>18</v>
      </c>
      <c r="D367" s="11" t="s">
        <v>812</v>
      </c>
      <c r="E367" s="12">
        <v>0.0</v>
      </c>
      <c r="F367" s="6"/>
    </row>
    <row r="368">
      <c r="A368" s="11" t="s">
        <v>813</v>
      </c>
      <c r="B368" s="11" t="s">
        <v>17</v>
      </c>
      <c r="C368" s="11" t="s">
        <v>26</v>
      </c>
      <c r="D368" s="11" t="s">
        <v>814</v>
      </c>
      <c r="E368" s="12">
        <v>0.0</v>
      </c>
      <c r="F368" s="6"/>
    </row>
    <row r="369">
      <c r="A369" s="11" t="s">
        <v>815</v>
      </c>
      <c r="B369" s="11" t="s">
        <v>363</v>
      </c>
      <c r="C369" s="11" t="s">
        <v>26</v>
      </c>
      <c r="D369" s="11" t="s">
        <v>816</v>
      </c>
      <c r="E369" s="12">
        <v>0.0</v>
      </c>
      <c r="F369" s="6"/>
    </row>
    <row r="370">
      <c r="A370" s="11" t="s">
        <v>817</v>
      </c>
      <c r="B370" s="11" t="s">
        <v>731</v>
      </c>
      <c r="C370" s="11" t="s">
        <v>10</v>
      </c>
      <c r="D370" s="11" t="s">
        <v>818</v>
      </c>
      <c r="E370" s="12">
        <v>0.0</v>
      </c>
      <c r="F370" s="6"/>
    </row>
    <row r="371">
      <c r="A371" s="11" t="s">
        <v>819</v>
      </c>
      <c r="B371" s="11" t="s">
        <v>32</v>
      </c>
      <c r="C371" s="11" t="s">
        <v>10</v>
      </c>
      <c r="D371" s="11" t="s">
        <v>820</v>
      </c>
      <c r="E371" s="12">
        <v>0.0</v>
      </c>
      <c r="F371" s="6"/>
    </row>
    <row r="372">
      <c r="A372" s="11" t="s">
        <v>821</v>
      </c>
      <c r="B372" s="11" t="s">
        <v>267</v>
      </c>
      <c r="C372" s="11" t="s">
        <v>10</v>
      </c>
      <c r="D372" s="11" t="s">
        <v>822</v>
      </c>
      <c r="E372" s="12">
        <v>0.0</v>
      </c>
      <c r="F372" s="6"/>
    </row>
    <row r="373">
      <c r="A373" s="11" t="s">
        <v>823</v>
      </c>
      <c r="B373" s="11" t="s">
        <v>32</v>
      </c>
      <c r="C373" s="11" t="s">
        <v>10</v>
      </c>
      <c r="D373" s="11" t="s">
        <v>824</v>
      </c>
      <c r="E373" s="12">
        <v>0.0</v>
      </c>
      <c r="F373" s="6"/>
    </row>
    <row r="374">
      <c r="A374" s="11" t="s">
        <v>825</v>
      </c>
      <c r="B374" s="11" t="s">
        <v>32</v>
      </c>
      <c r="C374" s="11" t="s">
        <v>26</v>
      </c>
      <c r="D374" s="11" t="s">
        <v>826</v>
      </c>
      <c r="E374" s="12">
        <v>0.0</v>
      </c>
      <c r="F374" s="6"/>
    </row>
    <row r="375">
      <c r="A375" s="11" t="s">
        <v>827</v>
      </c>
      <c r="B375" s="11" t="s">
        <v>828</v>
      </c>
      <c r="C375" s="11" t="s">
        <v>18</v>
      </c>
      <c r="D375" s="11" t="s">
        <v>829</v>
      </c>
      <c r="E375" s="12">
        <v>0.0</v>
      </c>
      <c r="F375" s="6"/>
    </row>
    <row r="376">
      <c r="A376" s="11" t="s">
        <v>830</v>
      </c>
      <c r="B376" s="11" t="s">
        <v>109</v>
      </c>
      <c r="C376" s="11" t="s">
        <v>10</v>
      </c>
      <c r="D376" s="11" t="s">
        <v>831</v>
      </c>
      <c r="E376" s="12">
        <v>0.0</v>
      </c>
      <c r="F376" s="6"/>
    </row>
    <row r="377">
      <c r="A377" s="11" t="s">
        <v>832</v>
      </c>
      <c r="B377" s="11" t="s">
        <v>17</v>
      </c>
      <c r="C377" s="11" t="s">
        <v>10</v>
      </c>
      <c r="D377" s="11" t="s">
        <v>833</v>
      </c>
      <c r="E377" s="12">
        <v>0.0</v>
      </c>
      <c r="F377" s="6"/>
    </row>
    <row r="378">
      <c r="A378" s="11" t="s">
        <v>834</v>
      </c>
      <c r="B378" s="11" t="s">
        <v>109</v>
      </c>
      <c r="C378" s="11" t="s">
        <v>10</v>
      </c>
      <c r="D378" s="11" t="s">
        <v>835</v>
      </c>
      <c r="E378" s="12">
        <v>0.0</v>
      </c>
      <c r="F378" s="6"/>
    </row>
    <row r="379">
      <c r="A379" s="11" t="s">
        <v>836</v>
      </c>
      <c r="B379" s="11" t="s">
        <v>83</v>
      </c>
      <c r="C379" s="11" t="s">
        <v>431</v>
      </c>
      <c r="D379" s="11" t="s">
        <v>837</v>
      </c>
      <c r="E379" s="12">
        <v>0.0</v>
      </c>
      <c r="F379" s="6"/>
    </row>
    <row r="380">
      <c r="A380" s="11" t="s">
        <v>838</v>
      </c>
      <c r="B380" s="11" t="s">
        <v>109</v>
      </c>
      <c r="C380" s="11" t="s">
        <v>839</v>
      </c>
      <c r="D380" s="11" t="s">
        <v>840</v>
      </c>
      <c r="E380" s="12">
        <v>0.0</v>
      </c>
      <c r="F380" s="6"/>
    </row>
    <row r="381">
      <c r="A381" s="11" t="s">
        <v>841</v>
      </c>
      <c r="B381" s="11" t="s">
        <v>83</v>
      </c>
      <c r="C381" s="11" t="s">
        <v>18</v>
      </c>
      <c r="D381" s="11" t="s">
        <v>842</v>
      </c>
      <c r="E381" s="12">
        <v>0.0</v>
      </c>
      <c r="F381" s="6"/>
    </row>
    <row r="382">
      <c r="A382" s="11" t="s">
        <v>843</v>
      </c>
      <c r="B382" s="11" t="s">
        <v>363</v>
      </c>
      <c r="C382" s="11" t="s">
        <v>26</v>
      </c>
      <c r="D382" s="11" t="s">
        <v>844</v>
      </c>
      <c r="E382" s="12">
        <v>0.0</v>
      </c>
      <c r="F382" s="6"/>
    </row>
    <row r="383">
      <c r="A383" s="11" t="s">
        <v>845</v>
      </c>
      <c r="B383" s="11" t="s">
        <v>731</v>
      </c>
      <c r="C383" s="11" t="s">
        <v>26</v>
      </c>
      <c r="D383" s="11" t="s">
        <v>846</v>
      </c>
      <c r="E383" s="12">
        <v>0.0</v>
      </c>
      <c r="F383" s="6"/>
    </row>
    <row r="384">
      <c r="A384" s="11" t="s">
        <v>847</v>
      </c>
      <c r="B384" s="11" t="s">
        <v>47</v>
      </c>
      <c r="C384" s="11" t="s">
        <v>10</v>
      </c>
      <c r="D384" s="11" t="s">
        <v>848</v>
      </c>
      <c r="E384" s="12">
        <v>0.0</v>
      </c>
      <c r="F384" s="6"/>
    </row>
    <row r="385">
      <c r="A385" s="11" t="s">
        <v>849</v>
      </c>
      <c r="B385" s="11" t="s">
        <v>17</v>
      </c>
      <c r="C385" s="11" t="s">
        <v>10</v>
      </c>
      <c r="D385" s="11" t="s">
        <v>850</v>
      </c>
      <c r="E385" s="12">
        <v>0.0</v>
      </c>
      <c r="F385" s="6"/>
    </row>
    <row r="386">
      <c r="A386" s="11" t="s">
        <v>851</v>
      </c>
      <c r="B386" s="11" t="s">
        <v>109</v>
      </c>
      <c r="C386" s="11" t="s">
        <v>10</v>
      </c>
      <c r="D386" s="11" t="s">
        <v>852</v>
      </c>
      <c r="E386" s="12">
        <v>0.0</v>
      </c>
      <c r="F386" s="6"/>
    </row>
    <row r="387">
      <c r="A387" s="11" t="s">
        <v>853</v>
      </c>
      <c r="B387" s="11" t="s">
        <v>211</v>
      </c>
      <c r="C387" s="11" t="s">
        <v>10</v>
      </c>
      <c r="D387" s="11" t="s">
        <v>854</v>
      </c>
      <c r="E387" s="12">
        <v>0.0</v>
      </c>
      <c r="F387" s="6"/>
    </row>
    <row r="388">
      <c r="A388" s="11" t="s">
        <v>855</v>
      </c>
      <c r="B388" s="11" t="s">
        <v>165</v>
      </c>
      <c r="C388" s="11" t="s">
        <v>18</v>
      </c>
      <c r="D388" s="11" t="s">
        <v>856</v>
      </c>
      <c r="E388" s="12">
        <v>0.0</v>
      </c>
      <c r="F388" s="6"/>
    </row>
    <row r="389">
      <c r="A389" s="11" t="s">
        <v>857</v>
      </c>
      <c r="B389" s="11" t="s">
        <v>109</v>
      </c>
      <c r="C389" s="11" t="s">
        <v>93</v>
      </c>
      <c r="D389" s="11" t="s">
        <v>858</v>
      </c>
      <c r="E389" s="12">
        <v>0.0</v>
      </c>
      <c r="F389" s="6"/>
    </row>
    <row r="390">
      <c r="A390" s="11" t="s">
        <v>859</v>
      </c>
      <c r="B390" s="11" t="s">
        <v>83</v>
      </c>
      <c r="C390" s="11" t="s">
        <v>93</v>
      </c>
      <c r="D390" s="11" t="s">
        <v>860</v>
      </c>
      <c r="E390" s="12">
        <v>0.0</v>
      </c>
      <c r="F390" s="6"/>
    </row>
    <row r="391">
      <c r="A391" s="11" t="s">
        <v>861</v>
      </c>
      <c r="B391" s="11" t="s">
        <v>109</v>
      </c>
      <c r="C391" s="11" t="s">
        <v>10</v>
      </c>
      <c r="D391" s="11" t="s">
        <v>862</v>
      </c>
      <c r="E391" s="12">
        <v>0.0</v>
      </c>
      <c r="F391" s="6"/>
    </row>
    <row r="392">
      <c r="A392" s="11" t="s">
        <v>863</v>
      </c>
      <c r="B392" s="11" t="s">
        <v>32</v>
      </c>
      <c r="C392" s="11" t="s">
        <v>26</v>
      </c>
      <c r="D392" s="11" t="s">
        <v>864</v>
      </c>
      <c r="E392" s="12">
        <v>0.0</v>
      </c>
      <c r="F392" s="6"/>
    </row>
    <row r="393">
      <c r="A393" s="11" t="s">
        <v>865</v>
      </c>
      <c r="B393" s="11" t="s">
        <v>731</v>
      </c>
      <c r="C393" s="11" t="s">
        <v>18</v>
      </c>
      <c r="D393" s="11" t="s">
        <v>866</v>
      </c>
      <c r="E393" s="12">
        <v>0.0</v>
      </c>
      <c r="F393" s="6"/>
    </row>
    <row r="394">
      <c r="A394" s="11" t="s">
        <v>867</v>
      </c>
      <c r="B394" s="11" t="s">
        <v>83</v>
      </c>
      <c r="C394" s="11" t="s">
        <v>18</v>
      </c>
      <c r="D394" s="11" t="s">
        <v>868</v>
      </c>
      <c r="E394" s="12">
        <v>0.0</v>
      </c>
      <c r="F394" s="6"/>
    </row>
    <row r="395">
      <c r="A395" s="11" t="s">
        <v>869</v>
      </c>
      <c r="B395" s="11" t="s">
        <v>731</v>
      </c>
      <c r="C395" s="11" t="s">
        <v>18</v>
      </c>
      <c r="D395" s="11" t="s">
        <v>870</v>
      </c>
      <c r="E395" s="12">
        <v>0.0</v>
      </c>
      <c r="F395" s="6"/>
    </row>
    <row r="396">
      <c r="A396" s="11" t="s">
        <v>871</v>
      </c>
      <c r="B396" s="11" t="s">
        <v>83</v>
      </c>
      <c r="C396" s="11" t="s">
        <v>10</v>
      </c>
      <c r="D396" s="11" t="s">
        <v>872</v>
      </c>
      <c r="E396" s="12">
        <v>0.0</v>
      </c>
      <c r="F396" s="6"/>
    </row>
    <row r="397">
      <c r="A397" s="11" t="s">
        <v>873</v>
      </c>
      <c r="B397" s="11" t="s">
        <v>83</v>
      </c>
      <c r="C397" s="11" t="s">
        <v>10</v>
      </c>
      <c r="D397" s="11" t="s">
        <v>874</v>
      </c>
      <c r="E397" s="12">
        <v>0.0</v>
      </c>
      <c r="F397" s="6"/>
    </row>
    <row r="398">
      <c r="A398" s="11" t="s">
        <v>875</v>
      </c>
      <c r="B398" s="11" t="s">
        <v>17</v>
      </c>
      <c r="C398" s="11" t="s">
        <v>40</v>
      </c>
      <c r="D398" s="11" t="s">
        <v>876</v>
      </c>
      <c r="E398" s="12">
        <v>0.0</v>
      </c>
      <c r="F398" s="6"/>
    </row>
    <row r="399">
      <c r="A399" s="16" t="s">
        <v>877</v>
      </c>
      <c r="B399" s="11" t="s">
        <v>47</v>
      </c>
      <c r="C399" s="11" t="s">
        <v>151</v>
      </c>
      <c r="D399" s="11" t="s">
        <v>878</v>
      </c>
      <c r="E399" s="12">
        <v>0.0</v>
      </c>
      <c r="F399" s="6"/>
    </row>
    <row r="400">
      <c r="A400" s="16" t="s">
        <v>879</v>
      </c>
      <c r="B400" s="11" t="s">
        <v>83</v>
      </c>
      <c r="C400" s="11" t="s">
        <v>10</v>
      </c>
      <c r="D400" s="15" t="s">
        <v>880</v>
      </c>
      <c r="E400" s="12">
        <v>0.0</v>
      </c>
      <c r="F400" s="6"/>
    </row>
    <row r="401">
      <c r="A401" s="11" t="s">
        <v>881</v>
      </c>
      <c r="B401" s="11" t="s">
        <v>35</v>
      </c>
      <c r="C401" s="11" t="s">
        <v>10</v>
      </c>
      <c r="D401" s="11" t="s">
        <v>882</v>
      </c>
      <c r="E401" s="12">
        <v>0.0</v>
      </c>
      <c r="F401" s="6"/>
    </row>
    <row r="402">
      <c r="A402" s="11" t="s">
        <v>883</v>
      </c>
      <c r="B402" s="11" t="s">
        <v>109</v>
      </c>
      <c r="C402" s="11" t="s">
        <v>26</v>
      </c>
      <c r="D402" s="11" t="s">
        <v>884</v>
      </c>
      <c r="E402" s="12">
        <v>0.0</v>
      </c>
      <c r="F402" s="6"/>
    </row>
    <row r="403">
      <c r="A403" s="11" t="s">
        <v>885</v>
      </c>
      <c r="B403" s="11" t="s">
        <v>35</v>
      </c>
      <c r="C403" s="11" t="s">
        <v>93</v>
      </c>
      <c r="D403" s="11" t="s">
        <v>886</v>
      </c>
      <c r="E403" s="12">
        <v>0.0</v>
      </c>
      <c r="F403" s="6"/>
    </row>
    <row r="404">
      <c r="A404" s="11" t="s">
        <v>887</v>
      </c>
      <c r="B404" s="11" t="s">
        <v>32</v>
      </c>
      <c r="C404" s="11" t="s">
        <v>10</v>
      </c>
      <c r="D404" s="11" t="s">
        <v>888</v>
      </c>
      <c r="E404" s="12">
        <v>0.0</v>
      </c>
      <c r="F404" s="6"/>
    </row>
    <row r="405">
      <c r="A405" s="11" t="s">
        <v>889</v>
      </c>
      <c r="B405" s="11" t="s">
        <v>227</v>
      </c>
      <c r="C405" s="11" t="s">
        <v>26</v>
      </c>
      <c r="D405" s="11" t="s">
        <v>890</v>
      </c>
      <c r="E405" s="12">
        <v>0.0</v>
      </c>
      <c r="F405" s="6"/>
    </row>
    <row r="406">
      <c r="A406" s="11" t="s">
        <v>891</v>
      </c>
      <c r="B406" s="11" t="s">
        <v>9</v>
      </c>
      <c r="C406" s="11" t="s">
        <v>18</v>
      </c>
      <c r="D406" s="11" t="s">
        <v>892</v>
      </c>
      <c r="E406" s="12">
        <v>0.0</v>
      </c>
      <c r="F406" s="6"/>
    </row>
    <row r="407">
      <c r="A407" s="11" t="s">
        <v>893</v>
      </c>
      <c r="B407" s="11" t="s">
        <v>32</v>
      </c>
      <c r="C407" s="11" t="s">
        <v>10</v>
      </c>
      <c r="D407" s="11" t="s">
        <v>894</v>
      </c>
      <c r="E407" s="12">
        <v>0.0</v>
      </c>
      <c r="F407" s="6"/>
    </row>
    <row r="408">
      <c r="A408" s="11" t="s">
        <v>895</v>
      </c>
      <c r="B408" s="11" t="s">
        <v>83</v>
      </c>
      <c r="C408" s="11" t="s">
        <v>10</v>
      </c>
      <c r="D408" s="11" t="s">
        <v>896</v>
      </c>
      <c r="E408" s="12">
        <v>0.0</v>
      </c>
      <c r="F408" s="6"/>
    </row>
    <row r="409">
      <c r="A409" s="11" t="s">
        <v>897</v>
      </c>
      <c r="B409" s="11" t="s">
        <v>150</v>
      </c>
      <c r="C409" s="11" t="s">
        <v>10</v>
      </c>
      <c r="D409" s="11" t="s">
        <v>898</v>
      </c>
      <c r="E409" s="12">
        <v>0.0</v>
      </c>
      <c r="F409" s="6"/>
    </row>
    <row r="410">
      <c r="A410" s="11" t="s">
        <v>899</v>
      </c>
      <c r="B410" s="11" t="s">
        <v>83</v>
      </c>
      <c r="C410" s="11" t="s">
        <v>10</v>
      </c>
      <c r="D410" s="11" t="s">
        <v>900</v>
      </c>
      <c r="E410" s="12">
        <v>0.0</v>
      </c>
      <c r="F410" s="6"/>
    </row>
    <row r="411">
      <c r="A411" s="11" t="s">
        <v>901</v>
      </c>
      <c r="B411" s="11" t="s">
        <v>83</v>
      </c>
      <c r="C411" s="11" t="s">
        <v>10</v>
      </c>
      <c r="D411" s="11" t="s">
        <v>902</v>
      </c>
      <c r="E411" s="12">
        <v>0.0</v>
      </c>
      <c r="F411" s="6"/>
    </row>
    <row r="412">
      <c r="A412" s="11" t="s">
        <v>903</v>
      </c>
      <c r="B412" s="11" t="s">
        <v>83</v>
      </c>
      <c r="C412" s="11" t="s">
        <v>63</v>
      </c>
      <c r="D412" s="11" t="s">
        <v>904</v>
      </c>
      <c r="E412" s="12">
        <v>0.0</v>
      </c>
      <c r="F412" s="6"/>
    </row>
    <row r="413">
      <c r="A413" s="11" t="s">
        <v>905</v>
      </c>
      <c r="B413" s="11" t="s">
        <v>47</v>
      </c>
      <c r="C413" s="11" t="s">
        <v>10</v>
      </c>
      <c r="D413" s="11" t="s">
        <v>906</v>
      </c>
      <c r="E413" s="12">
        <v>0.0</v>
      </c>
      <c r="F413" s="6"/>
    </row>
    <row r="414">
      <c r="A414" s="16" t="s">
        <v>907</v>
      </c>
      <c r="B414" s="11" t="s">
        <v>47</v>
      </c>
      <c r="C414" s="11" t="s">
        <v>10</v>
      </c>
      <c r="D414" s="11" t="s">
        <v>908</v>
      </c>
      <c r="E414" s="12">
        <v>8.0</v>
      </c>
      <c r="F414" s="3" t="s">
        <v>909</v>
      </c>
    </row>
    <row r="415">
      <c r="A415" s="11" t="s">
        <v>910</v>
      </c>
      <c r="B415" s="11" t="s">
        <v>47</v>
      </c>
      <c r="C415" s="11" t="s">
        <v>18</v>
      </c>
      <c r="D415" s="11" t="s">
        <v>911</v>
      </c>
      <c r="E415" s="12">
        <v>0.0</v>
      </c>
      <c r="F415" s="6"/>
    </row>
    <row r="416">
      <c r="A416" s="11" t="s">
        <v>912</v>
      </c>
      <c r="B416" s="11" t="s">
        <v>21</v>
      </c>
      <c r="C416" s="11" t="s">
        <v>10</v>
      </c>
      <c r="D416" s="11" t="s">
        <v>913</v>
      </c>
      <c r="E416" s="12">
        <v>0.0</v>
      </c>
      <c r="F416" s="6"/>
    </row>
    <row r="417">
      <c r="A417" s="11" t="s">
        <v>914</v>
      </c>
      <c r="B417" s="11" t="s">
        <v>32</v>
      </c>
      <c r="C417" s="11" t="s">
        <v>10</v>
      </c>
      <c r="D417" s="11" t="s">
        <v>915</v>
      </c>
      <c r="E417" s="12">
        <v>0.0</v>
      </c>
      <c r="F417" s="6"/>
    </row>
    <row r="418">
      <c r="A418" s="11" t="s">
        <v>916</v>
      </c>
      <c r="B418" s="11" t="s">
        <v>32</v>
      </c>
      <c r="C418" s="11" t="s">
        <v>10</v>
      </c>
      <c r="D418" s="11" t="s">
        <v>917</v>
      </c>
      <c r="E418" s="12">
        <v>0.0</v>
      </c>
      <c r="F418" s="6"/>
    </row>
    <row r="419">
      <c r="A419" s="11" t="s">
        <v>918</v>
      </c>
      <c r="B419" s="11" t="s">
        <v>83</v>
      </c>
      <c r="C419" s="11" t="s">
        <v>10</v>
      </c>
      <c r="D419" s="11" t="s">
        <v>919</v>
      </c>
      <c r="E419" s="12">
        <v>0.0</v>
      </c>
      <c r="F419" s="6"/>
    </row>
    <row r="420">
      <c r="A420" s="11" t="s">
        <v>920</v>
      </c>
      <c r="B420" s="11" t="s">
        <v>32</v>
      </c>
      <c r="C420" s="11" t="s">
        <v>10</v>
      </c>
      <c r="D420" s="11" t="s">
        <v>921</v>
      </c>
      <c r="E420" s="12">
        <v>0.0</v>
      </c>
      <c r="F420" s="6"/>
    </row>
    <row r="421">
      <c r="A421" s="11" t="s">
        <v>922</v>
      </c>
      <c r="B421" s="11" t="s">
        <v>83</v>
      </c>
      <c r="C421" s="11" t="s">
        <v>63</v>
      </c>
      <c r="D421" s="11" t="s">
        <v>923</v>
      </c>
      <c r="E421" s="12">
        <v>0.0</v>
      </c>
      <c r="F421" s="6"/>
    </row>
    <row r="422">
      <c r="A422" s="11" t="s">
        <v>924</v>
      </c>
      <c r="B422" s="11" t="s">
        <v>80</v>
      </c>
      <c r="C422" s="11" t="s">
        <v>10</v>
      </c>
      <c r="D422" s="11" t="s">
        <v>925</v>
      </c>
      <c r="E422" s="12">
        <v>0.0</v>
      </c>
      <c r="F422" s="6"/>
    </row>
    <row r="423">
      <c r="A423" s="11" t="s">
        <v>926</v>
      </c>
      <c r="B423" s="11" t="s">
        <v>109</v>
      </c>
      <c r="C423" s="11" t="s">
        <v>10</v>
      </c>
      <c r="D423" s="11" t="s">
        <v>927</v>
      </c>
      <c r="E423" s="12">
        <v>0.0</v>
      </c>
      <c r="F423" s="6"/>
    </row>
    <row r="424">
      <c r="A424" s="11" t="s">
        <v>928</v>
      </c>
      <c r="B424" s="11" t="s">
        <v>17</v>
      </c>
      <c r="C424" s="11" t="s">
        <v>18</v>
      </c>
      <c r="D424" s="11" t="s">
        <v>929</v>
      </c>
      <c r="E424" s="12">
        <v>0.0</v>
      </c>
      <c r="F424" s="6"/>
    </row>
    <row r="425">
      <c r="A425" s="11" t="s">
        <v>930</v>
      </c>
      <c r="B425" s="11" t="s">
        <v>17</v>
      </c>
      <c r="C425" s="11" t="s">
        <v>10</v>
      </c>
      <c r="D425" s="11" t="s">
        <v>931</v>
      </c>
      <c r="E425" s="12">
        <v>0.0</v>
      </c>
      <c r="F425" s="6"/>
    </row>
    <row r="426">
      <c r="A426" s="11" t="s">
        <v>932</v>
      </c>
      <c r="B426" s="11" t="s">
        <v>17</v>
      </c>
      <c r="C426" s="11" t="s">
        <v>10</v>
      </c>
      <c r="D426" s="11" t="s">
        <v>933</v>
      </c>
      <c r="E426" s="12">
        <v>0.0</v>
      </c>
      <c r="F426" s="6"/>
    </row>
    <row r="427">
      <c r="A427" s="11" t="s">
        <v>934</v>
      </c>
      <c r="B427" s="11" t="s">
        <v>109</v>
      </c>
      <c r="C427" s="11" t="s">
        <v>10</v>
      </c>
      <c r="D427" s="11" t="s">
        <v>935</v>
      </c>
      <c r="E427" s="12">
        <v>0.0</v>
      </c>
      <c r="F427" s="6"/>
    </row>
    <row r="428">
      <c r="A428" s="11" t="s">
        <v>936</v>
      </c>
      <c r="B428" s="11" t="s">
        <v>21</v>
      </c>
      <c r="C428" s="11" t="s">
        <v>26</v>
      </c>
      <c r="D428" s="11" t="s">
        <v>937</v>
      </c>
      <c r="E428" s="12">
        <v>0.0</v>
      </c>
      <c r="F428" s="6"/>
    </row>
    <row r="429">
      <c r="A429" s="11" t="s">
        <v>938</v>
      </c>
      <c r="B429" s="11" t="s">
        <v>21</v>
      </c>
      <c r="C429" s="11" t="s">
        <v>10</v>
      </c>
      <c r="D429" s="11" t="s">
        <v>939</v>
      </c>
      <c r="E429" s="12">
        <v>0.0</v>
      </c>
      <c r="F429" s="6"/>
    </row>
    <row r="430">
      <c r="A430" s="11" t="s">
        <v>940</v>
      </c>
      <c r="B430" s="11" t="s">
        <v>363</v>
      </c>
      <c r="C430" s="11" t="s">
        <v>18</v>
      </c>
      <c r="D430" s="11" t="s">
        <v>941</v>
      </c>
      <c r="E430" s="12">
        <v>0.0</v>
      </c>
      <c r="F430" s="6"/>
    </row>
    <row r="431">
      <c r="A431" s="11" t="s">
        <v>942</v>
      </c>
      <c r="B431" s="11" t="s">
        <v>21</v>
      </c>
      <c r="C431" s="11" t="s">
        <v>18</v>
      </c>
      <c r="D431" s="11" t="s">
        <v>943</v>
      </c>
      <c r="E431" s="12">
        <v>0.0</v>
      </c>
      <c r="F431" s="6"/>
    </row>
    <row r="432">
      <c r="A432" s="11" t="s">
        <v>944</v>
      </c>
      <c r="B432" s="11" t="s">
        <v>109</v>
      </c>
      <c r="C432" s="11" t="s">
        <v>10</v>
      </c>
      <c r="D432" s="11" t="s">
        <v>945</v>
      </c>
      <c r="E432" s="12">
        <v>0.0</v>
      </c>
      <c r="F432" s="6"/>
    </row>
    <row r="433">
      <c r="A433" s="11" t="s">
        <v>946</v>
      </c>
      <c r="B433" s="11" t="s">
        <v>83</v>
      </c>
      <c r="C433" s="11" t="s">
        <v>10</v>
      </c>
      <c r="D433" s="11" t="s">
        <v>947</v>
      </c>
      <c r="E433" s="12">
        <v>0.0</v>
      </c>
      <c r="F433" s="6"/>
    </row>
    <row r="434">
      <c r="A434" s="11" t="s">
        <v>948</v>
      </c>
      <c r="B434" s="11" t="s">
        <v>83</v>
      </c>
      <c r="C434" s="11" t="s">
        <v>18</v>
      </c>
      <c r="D434" s="11" t="s">
        <v>949</v>
      </c>
      <c r="E434" s="12">
        <v>0.0</v>
      </c>
      <c r="F434" s="6"/>
    </row>
    <row r="435">
      <c r="A435" s="11" t="s">
        <v>950</v>
      </c>
      <c r="B435" s="11" t="s">
        <v>21</v>
      </c>
      <c r="C435" s="11" t="s">
        <v>26</v>
      </c>
      <c r="D435" s="11" t="s">
        <v>951</v>
      </c>
      <c r="E435" s="12">
        <v>0.0</v>
      </c>
      <c r="F435" s="6"/>
    </row>
    <row r="436">
      <c r="A436" s="11" t="s">
        <v>952</v>
      </c>
      <c r="B436" s="11" t="s">
        <v>17</v>
      </c>
      <c r="C436" s="11" t="s">
        <v>10</v>
      </c>
      <c r="D436" s="11" t="s">
        <v>953</v>
      </c>
      <c r="E436" s="12">
        <v>0.0</v>
      </c>
      <c r="F436" s="6"/>
    </row>
    <row r="437">
      <c r="A437" s="11" t="s">
        <v>954</v>
      </c>
      <c r="B437" s="11" t="s">
        <v>21</v>
      </c>
      <c r="C437" s="11" t="s">
        <v>10</v>
      </c>
      <c r="D437" s="11" t="s">
        <v>955</v>
      </c>
      <c r="E437" s="12">
        <v>0.0</v>
      </c>
      <c r="F437" s="6"/>
    </row>
    <row r="438">
      <c r="A438" s="11" t="s">
        <v>956</v>
      </c>
      <c r="B438" s="11" t="s">
        <v>83</v>
      </c>
      <c r="C438" s="11" t="s">
        <v>18</v>
      </c>
      <c r="D438" s="11" t="s">
        <v>957</v>
      </c>
      <c r="E438" s="12">
        <v>0.0</v>
      </c>
      <c r="F438" s="6"/>
    </row>
    <row r="439">
      <c r="A439" s="11" t="s">
        <v>958</v>
      </c>
      <c r="B439" s="11" t="s">
        <v>21</v>
      </c>
      <c r="C439" s="11" t="s">
        <v>18</v>
      </c>
      <c r="D439" s="11" t="s">
        <v>959</v>
      </c>
      <c r="E439" s="12">
        <v>0.0</v>
      </c>
      <c r="F439" s="6"/>
    </row>
    <row r="440">
      <c r="A440" s="11" t="s">
        <v>960</v>
      </c>
      <c r="B440" s="11" t="s">
        <v>122</v>
      </c>
      <c r="C440" s="11" t="s">
        <v>18</v>
      </c>
      <c r="D440" s="11" t="s">
        <v>961</v>
      </c>
      <c r="E440" s="12">
        <v>0.0</v>
      </c>
      <c r="F440" s="6"/>
    </row>
    <row r="441">
      <c r="A441" s="11" t="s">
        <v>962</v>
      </c>
      <c r="B441" s="11" t="s">
        <v>963</v>
      </c>
      <c r="C441" s="11" t="s">
        <v>10</v>
      </c>
      <c r="D441" s="11" t="s">
        <v>964</v>
      </c>
      <c r="E441" s="12">
        <v>0.0</v>
      </c>
      <c r="F441" s="6"/>
    </row>
    <row r="442">
      <c r="A442" s="11" t="s">
        <v>965</v>
      </c>
      <c r="B442" s="11" t="s">
        <v>9</v>
      </c>
      <c r="C442" s="11" t="s">
        <v>10</v>
      </c>
      <c r="D442" s="11" t="s">
        <v>966</v>
      </c>
      <c r="E442" s="12">
        <v>0.0</v>
      </c>
      <c r="F442" s="6"/>
    </row>
    <row r="443">
      <c r="A443" s="16" t="s">
        <v>967</v>
      </c>
      <c r="B443" s="11" t="s">
        <v>76</v>
      </c>
      <c r="C443" s="11" t="s">
        <v>18</v>
      </c>
      <c r="D443" s="11" t="s">
        <v>968</v>
      </c>
      <c r="E443" s="12">
        <v>0.0</v>
      </c>
      <c r="F443" s="6"/>
    </row>
    <row r="444">
      <c r="A444" s="11" t="s">
        <v>969</v>
      </c>
      <c r="B444" s="11" t="s">
        <v>32</v>
      </c>
      <c r="C444" s="11" t="s">
        <v>10</v>
      </c>
      <c r="D444" s="11" t="s">
        <v>970</v>
      </c>
      <c r="E444" s="12">
        <v>0.0</v>
      </c>
      <c r="F444" s="6"/>
    </row>
    <row r="445">
      <c r="A445" s="11" t="s">
        <v>971</v>
      </c>
      <c r="B445" s="11" t="s">
        <v>83</v>
      </c>
      <c r="C445" s="11" t="s">
        <v>10</v>
      </c>
      <c r="D445" s="11" t="s">
        <v>972</v>
      </c>
      <c r="E445" s="12">
        <v>0.0</v>
      </c>
      <c r="F445" s="6"/>
    </row>
    <row r="446">
      <c r="A446" s="11" t="s">
        <v>973</v>
      </c>
      <c r="B446" s="11" t="s">
        <v>21</v>
      </c>
      <c r="C446" s="11" t="s">
        <v>10</v>
      </c>
      <c r="D446" s="11" t="s">
        <v>974</v>
      </c>
      <c r="E446" s="12">
        <v>0.0</v>
      </c>
      <c r="F446" s="6"/>
    </row>
    <row r="447">
      <c r="A447" s="11" t="s">
        <v>975</v>
      </c>
      <c r="B447" s="11"/>
      <c r="C447" s="11" t="s">
        <v>93</v>
      </c>
      <c r="D447" s="11" t="s">
        <v>976</v>
      </c>
      <c r="E447" s="12">
        <v>0.0</v>
      </c>
      <c r="F447" s="6"/>
    </row>
    <row r="448">
      <c r="A448" s="11" t="s">
        <v>977</v>
      </c>
      <c r="B448" s="11"/>
      <c r="C448" s="11" t="s">
        <v>10</v>
      </c>
      <c r="D448" s="11" t="s">
        <v>978</v>
      </c>
      <c r="E448" s="12">
        <v>0.0</v>
      </c>
      <c r="F448" s="6"/>
    </row>
    <row r="449">
      <c r="A449" s="11" t="s">
        <v>979</v>
      </c>
      <c r="B449" s="11" t="s">
        <v>21</v>
      </c>
      <c r="C449" s="11" t="s">
        <v>26</v>
      </c>
      <c r="D449" s="11" t="s">
        <v>980</v>
      </c>
      <c r="E449" s="12">
        <v>0.0</v>
      </c>
      <c r="F449" s="6"/>
    </row>
    <row r="450">
      <c r="A450" s="11" t="s">
        <v>981</v>
      </c>
      <c r="B450" s="11" t="s">
        <v>227</v>
      </c>
      <c r="C450" s="11" t="s">
        <v>10</v>
      </c>
      <c r="D450" s="11" t="s">
        <v>982</v>
      </c>
      <c r="E450" s="12">
        <v>0.0</v>
      </c>
      <c r="F450" s="6"/>
    </row>
    <row r="451">
      <c r="A451" s="11" t="s">
        <v>983</v>
      </c>
      <c r="B451" s="11" t="s">
        <v>109</v>
      </c>
      <c r="C451" s="11" t="s">
        <v>10</v>
      </c>
      <c r="D451" s="11" t="s">
        <v>984</v>
      </c>
      <c r="E451" s="12">
        <v>0.0</v>
      </c>
      <c r="F451" s="6"/>
    </row>
    <row r="452">
      <c r="A452" s="11" t="s">
        <v>985</v>
      </c>
      <c r="B452" s="11" t="s">
        <v>570</v>
      </c>
      <c r="C452" s="11" t="s">
        <v>18</v>
      </c>
      <c r="D452" s="11" t="s">
        <v>986</v>
      </c>
      <c r="E452" s="12">
        <v>0.0</v>
      </c>
      <c r="F452" s="6"/>
    </row>
    <row r="453">
      <c r="A453" s="11" t="s">
        <v>987</v>
      </c>
      <c r="B453" s="11" t="s">
        <v>83</v>
      </c>
      <c r="C453" s="11" t="s">
        <v>10</v>
      </c>
      <c r="D453" s="11" t="s">
        <v>988</v>
      </c>
      <c r="E453" s="12">
        <v>0.0</v>
      </c>
      <c r="F453" s="6"/>
    </row>
    <row r="454">
      <c r="A454" s="11" t="s">
        <v>989</v>
      </c>
      <c r="B454" s="11" t="s">
        <v>32</v>
      </c>
      <c r="C454" s="11" t="s">
        <v>10</v>
      </c>
      <c r="D454" s="11" t="s">
        <v>990</v>
      </c>
      <c r="E454" s="12">
        <v>0.0</v>
      </c>
      <c r="F454" s="6"/>
    </row>
    <row r="455">
      <c r="A455" s="11" t="s">
        <v>991</v>
      </c>
      <c r="B455" s="11" t="s">
        <v>21</v>
      </c>
      <c r="C455" s="11" t="s">
        <v>18</v>
      </c>
      <c r="D455" s="11" t="s">
        <v>992</v>
      </c>
      <c r="E455" s="12">
        <v>0.0</v>
      </c>
      <c r="F455" s="6"/>
    </row>
    <row r="456">
      <c r="A456" s="11" t="s">
        <v>993</v>
      </c>
      <c r="B456" s="11"/>
      <c r="C456" s="11" t="s">
        <v>93</v>
      </c>
      <c r="D456" s="11" t="s">
        <v>994</v>
      </c>
      <c r="E456" s="12">
        <v>0.0</v>
      </c>
      <c r="F456" s="6"/>
    </row>
    <row r="457">
      <c r="A457" s="11" t="s">
        <v>995</v>
      </c>
      <c r="B457" s="11" t="s">
        <v>122</v>
      </c>
      <c r="C457" s="11" t="s">
        <v>93</v>
      </c>
      <c r="D457" s="11" t="s">
        <v>996</v>
      </c>
      <c r="E457" s="12">
        <v>0.0</v>
      </c>
      <c r="F457" s="6"/>
    </row>
    <row r="458">
      <c r="A458" s="11" t="s">
        <v>997</v>
      </c>
      <c r="B458" s="11" t="s">
        <v>83</v>
      </c>
      <c r="C458" s="11" t="s">
        <v>10</v>
      </c>
      <c r="D458" s="11" t="s">
        <v>998</v>
      </c>
      <c r="E458" s="12">
        <v>0.0</v>
      </c>
      <c r="F458" s="6"/>
    </row>
    <row r="459">
      <c r="A459" s="11" t="s">
        <v>999</v>
      </c>
      <c r="B459" s="11" t="s">
        <v>1000</v>
      </c>
      <c r="C459" s="11" t="s">
        <v>10</v>
      </c>
      <c r="D459" s="11" t="s">
        <v>1001</v>
      </c>
      <c r="E459" s="12">
        <v>0.0</v>
      </c>
      <c r="F459" s="6"/>
    </row>
    <row r="460">
      <c r="A460" s="11" t="s">
        <v>1002</v>
      </c>
      <c r="B460" s="11" t="s">
        <v>109</v>
      </c>
      <c r="C460" s="11" t="s">
        <v>10</v>
      </c>
      <c r="D460" s="11" t="s">
        <v>1003</v>
      </c>
      <c r="E460" s="12">
        <v>0.0</v>
      </c>
      <c r="F460" s="6"/>
    </row>
    <row r="461">
      <c r="A461" s="11" t="s">
        <v>1004</v>
      </c>
      <c r="B461" s="11" t="s">
        <v>32</v>
      </c>
      <c r="C461" s="11" t="s">
        <v>26</v>
      </c>
      <c r="D461" s="11" t="s">
        <v>1005</v>
      </c>
      <c r="E461" s="12">
        <v>0.0</v>
      </c>
      <c r="F461" s="6"/>
    </row>
    <row r="462">
      <c r="A462" s="11" t="s">
        <v>1006</v>
      </c>
      <c r="B462" s="11" t="s">
        <v>122</v>
      </c>
      <c r="C462" s="11" t="s">
        <v>10</v>
      </c>
      <c r="D462" s="11" t="s">
        <v>1007</v>
      </c>
      <c r="E462" s="12">
        <v>0.0</v>
      </c>
      <c r="F462" s="6"/>
    </row>
    <row r="463">
      <c r="A463" s="11" t="s">
        <v>1008</v>
      </c>
      <c r="B463" s="11" t="s">
        <v>32</v>
      </c>
      <c r="C463" s="11" t="s">
        <v>10</v>
      </c>
      <c r="D463" s="11" t="s">
        <v>1009</v>
      </c>
      <c r="E463" s="12">
        <v>0.0</v>
      </c>
      <c r="F463" s="6"/>
    </row>
    <row r="464">
      <c r="A464" s="11" t="s">
        <v>1010</v>
      </c>
      <c r="B464" s="11" t="s">
        <v>35</v>
      </c>
      <c r="C464" s="11" t="s">
        <v>26</v>
      </c>
      <c r="D464" s="11" t="s">
        <v>1011</v>
      </c>
      <c r="E464" s="12">
        <v>0.0</v>
      </c>
      <c r="F464" s="6"/>
    </row>
    <row r="465">
      <c r="A465" s="11" t="s">
        <v>1012</v>
      </c>
      <c r="B465" s="11" t="s">
        <v>32</v>
      </c>
      <c r="C465" s="11" t="s">
        <v>18</v>
      </c>
      <c r="D465" s="11" t="s">
        <v>1013</v>
      </c>
      <c r="E465" s="12">
        <v>0.0</v>
      </c>
      <c r="F465" s="6"/>
    </row>
    <row r="466">
      <c r="A466" s="11" t="s">
        <v>1014</v>
      </c>
      <c r="B466" s="11" t="s">
        <v>13</v>
      </c>
      <c r="C466" s="11" t="s">
        <v>18</v>
      </c>
      <c r="D466" s="11" t="s">
        <v>1015</v>
      </c>
      <c r="E466" s="12">
        <v>0.0</v>
      </c>
      <c r="F466" s="6"/>
    </row>
    <row r="467">
      <c r="A467" s="11" t="s">
        <v>1016</v>
      </c>
      <c r="B467" s="11" t="s">
        <v>122</v>
      </c>
      <c r="C467" s="11" t="s">
        <v>18</v>
      </c>
      <c r="D467" s="11" t="s">
        <v>1017</v>
      </c>
      <c r="E467" s="12">
        <v>0.0</v>
      </c>
      <c r="F467" s="6"/>
    </row>
    <row r="468">
      <c r="A468" s="11" t="s">
        <v>1018</v>
      </c>
      <c r="B468" s="11" t="s">
        <v>122</v>
      </c>
      <c r="C468" s="11" t="s">
        <v>10</v>
      </c>
      <c r="D468" s="11" t="s">
        <v>1019</v>
      </c>
      <c r="E468" s="12">
        <v>0.0</v>
      </c>
      <c r="F468" s="6"/>
    </row>
    <row r="469">
      <c r="A469" s="11" t="s">
        <v>1020</v>
      </c>
      <c r="B469" s="11" t="s">
        <v>109</v>
      </c>
      <c r="C469" s="11" t="s">
        <v>10</v>
      </c>
      <c r="D469" s="11" t="s">
        <v>1021</v>
      </c>
      <c r="E469" s="12">
        <v>0.0</v>
      </c>
      <c r="F469" s="6"/>
    </row>
    <row r="470">
      <c r="A470" s="11" t="s">
        <v>1022</v>
      </c>
      <c r="B470" s="11" t="s">
        <v>83</v>
      </c>
      <c r="C470" s="11" t="s">
        <v>10</v>
      </c>
      <c r="D470" s="11" t="s">
        <v>1023</v>
      </c>
      <c r="E470" s="12">
        <v>0.0</v>
      </c>
      <c r="F470" s="6"/>
    </row>
    <row r="471">
      <c r="A471" s="11" t="s">
        <v>1024</v>
      </c>
      <c r="B471" s="11" t="s">
        <v>109</v>
      </c>
      <c r="C471" s="11" t="s">
        <v>18</v>
      </c>
      <c r="D471" s="11" t="s">
        <v>1025</v>
      </c>
      <c r="E471" s="12">
        <v>0.0</v>
      </c>
      <c r="F471" s="6"/>
    </row>
    <row r="472">
      <c r="A472" s="11" t="s">
        <v>1026</v>
      </c>
      <c r="B472" s="11"/>
      <c r="C472" s="11" t="s">
        <v>93</v>
      </c>
      <c r="D472" s="11" t="s">
        <v>1027</v>
      </c>
      <c r="E472" s="12">
        <v>0.0</v>
      </c>
      <c r="F472" s="6"/>
    </row>
    <row r="473">
      <c r="A473" s="11" t="s">
        <v>1028</v>
      </c>
      <c r="B473" s="11" t="s">
        <v>32</v>
      </c>
      <c r="C473" s="11" t="s">
        <v>18</v>
      </c>
      <c r="D473" s="11" t="s">
        <v>1029</v>
      </c>
      <c r="E473" s="12">
        <v>0.0</v>
      </c>
      <c r="F473" s="6"/>
    </row>
    <row r="474">
      <c r="A474" s="11" t="s">
        <v>1030</v>
      </c>
      <c r="B474" s="11" t="s">
        <v>17</v>
      </c>
      <c r="C474" s="11" t="s">
        <v>10</v>
      </c>
      <c r="D474" s="11" t="s">
        <v>1031</v>
      </c>
      <c r="E474" s="12">
        <v>0.0</v>
      </c>
      <c r="F474" s="6"/>
    </row>
    <row r="475">
      <c r="A475" s="11" t="s">
        <v>1032</v>
      </c>
      <c r="B475" s="11" t="s">
        <v>83</v>
      </c>
      <c r="C475" s="11" t="s">
        <v>10</v>
      </c>
      <c r="D475" s="11" t="s">
        <v>1033</v>
      </c>
      <c r="E475" s="12">
        <v>0.0</v>
      </c>
      <c r="F475" s="6"/>
    </row>
    <row r="476">
      <c r="A476" s="11" t="s">
        <v>1034</v>
      </c>
      <c r="B476" s="11" t="s">
        <v>32</v>
      </c>
      <c r="C476" s="11" t="s">
        <v>10</v>
      </c>
      <c r="D476" s="11" t="s">
        <v>1035</v>
      </c>
      <c r="E476" s="12">
        <v>0.0</v>
      </c>
      <c r="F476" s="6"/>
    </row>
    <row r="477">
      <c r="A477" s="11" t="s">
        <v>1036</v>
      </c>
      <c r="B477" s="11" t="s">
        <v>21</v>
      </c>
      <c r="C477" s="11" t="s">
        <v>10</v>
      </c>
      <c r="D477" s="11" t="s">
        <v>1037</v>
      </c>
      <c r="E477" s="12">
        <v>0.0</v>
      </c>
      <c r="F477" s="6"/>
    </row>
    <row r="478">
      <c r="A478" s="11" t="s">
        <v>1038</v>
      </c>
      <c r="B478" s="11" t="s">
        <v>109</v>
      </c>
      <c r="C478" s="11" t="s">
        <v>10</v>
      </c>
      <c r="D478" s="11" t="s">
        <v>1039</v>
      </c>
      <c r="E478" s="12">
        <v>0.0</v>
      </c>
      <c r="F478" s="6"/>
    </row>
    <row r="479">
      <c r="A479" s="11" t="s">
        <v>1040</v>
      </c>
      <c r="B479" s="11" t="s">
        <v>363</v>
      </c>
      <c r="C479" s="11" t="s">
        <v>10</v>
      </c>
      <c r="D479" s="11" t="s">
        <v>1041</v>
      </c>
      <c r="E479" s="12">
        <v>0.0</v>
      </c>
      <c r="F479" s="6"/>
    </row>
    <row r="480">
      <c r="A480" s="11" t="s">
        <v>1042</v>
      </c>
      <c r="B480" s="11" t="s">
        <v>731</v>
      </c>
      <c r="C480" s="11" t="s">
        <v>10</v>
      </c>
      <c r="D480" s="11" t="s">
        <v>1043</v>
      </c>
      <c r="E480" s="12">
        <v>0.0</v>
      </c>
      <c r="F480" s="6"/>
    </row>
    <row r="481">
      <c r="A481" s="11" t="s">
        <v>1044</v>
      </c>
      <c r="B481" s="11" t="s">
        <v>83</v>
      </c>
      <c r="C481" s="11" t="s">
        <v>10</v>
      </c>
      <c r="D481" s="11" t="s">
        <v>1045</v>
      </c>
      <c r="E481" s="12">
        <v>0.0</v>
      </c>
      <c r="F481" s="6"/>
    </row>
    <row r="482">
      <c r="A482" s="11" t="s">
        <v>1046</v>
      </c>
      <c r="B482" s="11" t="s">
        <v>32</v>
      </c>
      <c r="C482" s="11" t="s">
        <v>10</v>
      </c>
      <c r="D482" s="11" t="s">
        <v>1047</v>
      </c>
      <c r="E482" s="12">
        <v>0.0</v>
      </c>
      <c r="F482" s="6"/>
    </row>
    <row r="483">
      <c r="A483" s="11" t="s">
        <v>1048</v>
      </c>
      <c r="B483" s="11" t="s">
        <v>35</v>
      </c>
      <c r="C483" s="11" t="s">
        <v>18</v>
      </c>
      <c r="D483" s="11" t="s">
        <v>1049</v>
      </c>
      <c r="E483" s="12">
        <v>0.0</v>
      </c>
      <c r="F483" s="6"/>
    </row>
    <row r="484">
      <c r="A484" s="11" t="s">
        <v>1050</v>
      </c>
      <c r="B484" s="11" t="s">
        <v>21</v>
      </c>
      <c r="C484" s="11" t="s">
        <v>18</v>
      </c>
      <c r="D484" s="11" t="s">
        <v>1051</v>
      </c>
      <c r="E484" s="12">
        <v>0.0</v>
      </c>
      <c r="F484" s="6"/>
    </row>
    <row r="485">
      <c r="A485" s="11" t="s">
        <v>1052</v>
      </c>
      <c r="B485" s="11" t="s">
        <v>363</v>
      </c>
      <c r="C485" s="11" t="s">
        <v>10</v>
      </c>
      <c r="D485" s="11" t="s">
        <v>1053</v>
      </c>
      <c r="E485" s="12">
        <v>0.0</v>
      </c>
      <c r="F485" s="6"/>
    </row>
    <row r="486">
      <c r="A486" s="11" t="s">
        <v>1054</v>
      </c>
      <c r="B486" s="11" t="s">
        <v>109</v>
      </c>
      <c r="C486" s="11" t="s">
        <v>26</v>
      </c>
      <c r="D486" s="11" t="s">
        <v>1055</v>
      </c>
      <c r="E486" s="12">
        <v>0.0</v>
      </c>
      <c r="F486" s="6"/>
    </row>
    <row r="487">
      <c r="A487" s="11" t="s">
        <v>1056</v>
      </c>
      <c r="B487" s="11" t="s">
        <v>29</v>
      </c>
      <c r="C487" s="11" t="s">
        <v>26</v>
      </c>
      <c r="D487" s="11" t="s">
        <v>1057</v>
      </c>
      <c r="E487" s="12">
        <v>0.0</v>
      </c>
      <c r="F487" s="6"/>
    </row>
    <row r="488">
      <c r="A488" s="11" t="s">
        <v>1058</v>
      </c>
      <c r="B488" s="11" t="s">
        <v>291</v>
      </c>
      <c r="C488" s="11" t="s">
        <v>18</v>
      </c>
      <c r="D488" s="11" t="s">
        <v>1059</v>
      </c>
      <c r="E488" s="12">
        <v>0.0</v>
      </c>
      <c r="F488" s="6"/>
    </row>
    <row r="489">
      <c r="A489" s="11" t="s">
        <v>1060</v>
      </c>
      <c r="B489" s="11" t="s">
        <v>35</v>
      </c>
      <c r="C489" s="11" t="s">
        <v>10</v>
      </c>
      <c r="D489" s="11" t="s">
        <v>1061</v>
      </c>
      <c r="E489" s="12">
        <v>0.0</v>
      </c>
      <c r="F489" s="6"/>
    </row>
    <row r="490">
      <c r="A490" s="11" t="s">
        <v>1062</v>
      </c>
      <c r="B490" s="11" t="s">
        <v>21</v>
      </c>
      <c r="C490" s="11" t="s">
        <v>10</v>
      </c>
      <c r="D490" s="11" t="s">
        <v>1063</v>
      </c>
      <c r="E490" s="12">
        <v>0.0</v>
      </c>
      <c r="F490" s="6"/>
    </row>
    <row r="491">
      <c r="A491" s="11" t="s">
        <v>1064</v>
      </c>
      <c r="B491" s="11" t="s">
        <v>731</v>
      </c>
      <c r="C491" s="11" t="s">
        <v>10</v>
      </c>
      <c r="D491" s="11" t="s">
        <v>1065</v>
      </c>
      <c r="E491" s="12">
        <v>0.0</v>
      </c>
      <c r="F491" s="6"/>
    </row>
    <row r="492">
      <c r="A492" s="11" t="s">
        <v>1066</v>
      </c>
      <c r="B492" s="11" t="s">
        <v>150</v>
      </c>
      <c r="C492" s="11" t="s">
        <v>10</v>
      </c>
      <c r="D492" s="11" t="s">
        <v>1067</v>
      </c>
      <c r="E492" s="12">
        <v>0.0</v>
      </c>
      <c r="F492" s="6"/>
    </row>
    <row r="493">
      <c r="A493" s="11" t="s">
        <v>1068</v>
      </c>
      <c r="B493" s="11" t="s">
        <v>150</v>
      </c>
      <c r="C493" s="11" t="s">
        <v>18</v>
      </c>
      <c r="D493" s="11" t="s">
        <v>1069</v>
      </c>
      <c r="E493" s="12">
        <v>0.0</v>
      </c>
      <c r="F493" s="6"/>
    </row>
    <row r="494">
      <c r="A494" s="11" t="s">
        <v>1070</v>
      </c>
      <c r="B494" s="11" t="s">
        <v>83</v>
      </c>
      <c r="C494" s="11" t="s">
        <v>10</v>
      </c>
      <c r="D494" s="11" t="s">
        <v>1071</v>
      </c>
      <c r="E494" s="12">
        <v>0.0</v>
      </c>
      <c r="F494" s="6"/>
    </row>
    <row r="495">
      <c r="A495" s="11" t="s">
        <v>1072</v>
      </c>
      <c r="B495" s="11" t="s">
        <v>109</v>
      </c>
      <c r="C495" s="11" t="s">
        <v>26</v>
      </c>
      <c r="D495" s="11" t="s">
        <v>1073</v>
      </c>
      <c r="E495" s="12">
        <v>0.0</v>
      </c>
      <c r="F495" s="6"/>
    </row>
    <row r="496">
      <c r="A496" s="11" t="s">
        <v>1074</v>
      </c>
      <c r="B496" s="11" t="s">
        <v>122</v>
      </c>
      <c r="C496" s="11" t="s">
        <v>26</v>
      </c>
      <c r="D496" s="11" t="s">
        <v>1075</v>
      </c>
      <c r="E496" s="12">
        <v>0.0</v>
      </c>
      <c r="F496" s="6"/>
    </row>
    <row r="497">
      <c r="A497" s="11" t="s">
        <v>1076</v>
      </c>
      <c r="B497" s="11" t="s">
        <v>227</v>
      </c>
      <c r="C497" s="11" t="s">
        <v>10</v>
      </c>
      <c r="D497" s="11" t="s">
        <v>1077</v>
      </c>
      <c r="E497" s="12">
        <v>0.0</v>
      </c>
      <c r="F497" s="6"/>
    </row>
    <row r="498">
      <c r="A498" s="11" t="s">
        <v>1078</v>
      </c>
      <c r="B498" s="11" t="s">
        <v>109</v>
      </c>
      <c r="C498" s="11" t="s">
        <v>151</v>
      </c>
      <c r="D498" s="11" t="s">
        <v>1079</v>
      </c>
      <c r="E498" s="12">
        <v>0.0</v>
      </c>
      <c r="F498" s="6"/>
    </row>
    <row r="499">
      <c r="A499" s="11" t="s">
        <v>1080</v>
      </c>
      <c r="B499" s="11" t="s">
        <v>17</v>
      </c>
      <c r="C499" s="11" t="s">
        <v>26</v>
      </c>
      <c r="D499" s="11" t="s">
        <v>1081</v>
      </c>
      <c r="E499" s="12">
        <v>0.0</v>
      </c>
      <c r="F499" s="6"/>
    </row>
    <row r="500">
      <c r="A500" s="11" t="s">
        <v>1082</v>
      </c>
      <c r="B500" s="11" t="s">
        <v>32</v>
      </c>
      <c r="C500" s="11" t="s">
        <v>10</v>
      </c>
      <c r="D500" s="11" t="s">
        <v>1083</v>
      </c>
      <c r="E500" s="12">
        <v>0.0</v>
      </c>
      <c r="F500" s="6"/>
    </row>
    <row r="501">
      <c r="A501" s="11" t="s">
        <v>1084</v>
      </c>
      <c r="B501" s="11" t="s">
        <v>109</v>
      </c>
      <c r="C501" s="11" t="s">
        <v>26</v>
      </c>
      <c r="D501" s="11" t="s">
        <v>1085</v>
      </c>
      <c r="E501" s="12">
        <v>0.0</v>
      </c>
      <c r="F501" s="6"/>
    </row>
    <row r="502">
      <c r="A502" s="11" t="s">
        <v>1086</v>
      </c>
      <c r="B502" s="11" t="s">
        <v>109</v>
      </c>
      <c r="C502" s="11" t="s">
        <v>1087</v>
      </c>
      <c r="D502" s="11" t="s">
        <v>1088</v>
      </c>
      <c r="E502" s="12">
        <v>0.0</v>
      </c>
      <c r="F502" s="6"/>
    </row>
    <row r="503">
      <c r="A503" s="11" t="s">
        <v>1089</v>
      </c>
      <c r="B503" s="11" t="s">
        <v>109</v>
      </c>
      <c r="C503" s="11" t="s">
        <v>26</v>
      </c>
      <c r="D503" s="11" t="s">
        <v>1090</v>
      </c>
      <c r="E503" s="12">
        <v>0.0</v>
      </c>
      <c r="F503" s="6"/>
    </row>
    <row r="504">
      <c r="A504" s="11" t="s">
        <v>1091</v>
      </c>
      <c r="B504" s="11" t="s">
        <v>1092</v>
      </c>
      <c r="C504" s="11" t="s">
        <v>18</v>
      </c>
      <c r="D504" s="11" t="s">
        <v>1093</v>
      </c>
      <c r="E504" s="12">
        <v>0.0</v>
      </c>
      <c r="F504" s="6"/>
    </row>
    <row r="505">
      <c r="A505" s="11" t="s">
        <v>1094</v>
      </c>
      <c r="B505" s="11" t="s">
        <v>109</v>
      </c>
      <c r="C505" s="11" t="s">
        <v>18</v>
      </c>
      <c r="D505" s="11" t="s">
        <v>1095</v>
      </c>
      <c r="E505" s="12">
        <v>0.0</v>
      </c>
      <c r="F505" s="6"/>
    </row>
    <row r="506">
      <c r="A506" s="11" t="s">
        <v>1096</v>
      </c>
      <c r="B506" s="11" t="s">
        <v>109</v>
      </c>
      <c r="C506" s="11" t="s">
        <v>10</v>
      </c>
      <c r="D506" s="11" t="s">
        <v>1097</v>
      </c>
      <c r="E506" s="12">
        <v>0.0</v>
      </c>
      <c r="F506" s="6"/>
    </row>
    <row r="507">
      <c r="A507" s="11" t="s">
        <v>1098</v>
      </c>
      <c r="B507" s="11" t="s">
        <v>109</v>
      </c>
      <c r="C507" s="11" t="s">
        <v>10</v>
      </c>
      <c r="D507" s="11" t="s">
        <v>1099</v>
      </c>
      <c r="E507" s="12">
        <v>0.0</v>
      </c>
      <c r="F507" s="6"/>
    </row>
    <row r="508">
      <c r="A508" s="11" t="s">
        <v>1100</v>
      </c>
      <c r="B508" s="11" t="s">
        <v>109</v>
      </c>
      <c r="C508" s="11" t="s">
        <v>63</v>
      </c>
      <c r="D508" s="11" t="s">
        <v>1101</v>
      </c>
      <c r="E508" s="12">
        <v>0.0</v>
      </c>
      <c r="F508" s="6"/>
    </row>
    <row r="509">
      <c r="A509" s="11" t="s">
        <v>1102</v>
      </c>
      <c r="B509" s="11" t="s">
        <v>109</v>
      </c>
      <c r="C509" s="11" t="s">
        <v>10</v>
      </c>
      <c r="D509" s="11" t="s">
        <v>1103</v>
      </c>
      <c r="E509" s="12">
        <v>0.0</v>
      </c>
      <c r="F509" s="6"/>
    </row>
    <row r="510">
      <c r="A510" s="11" t="s">
        <v>1104</v>
      </c>
      <c r="B510" s="11" t="s">
        <v>1105</v>
      </c>
      <c r="C510" s="11" t="s">
        <v>18</v>
      </c>
      <c r="D510" s="11" t="s">
        <v>1106</v>
      </c>
      <c r="E510" s="12">
        <v>0.0</v>
      </c>
      <c r="F510" s="6"/>
    </row>
    <row r="511">
      <c r="A511" s="11" t="s">
        <v>1107</v>
      </c>
      <c r="B511" s="11" t="s">
        <v>35</v>
      </c>
      <c r="C511" s="11" t="s">
        <v>93</v>
      </c>
      <c r="D511" s="11" t="s">
        <v>1108</v>
      </c>
      <c r="E511" s="12">
        <v>6.0</v>
      </c>
      <c r="F511" s="3" t="s">
        <v>1109</v>
      </c>
    </row>
    <row r="512">
      <c r="A512" s="11" t="s">
        <v>1110</v>
      </c>
      <c r="B512" s="11" t="s">
        <v>109</v>
      </c>
      <c r="C512" s="11" t="s">
        <v>18</v>
      </c>
      <c r="D512" s="11" t="s">
        <v>1111</v>
      </c>
      <c r="E512" s="12">
        <v>0.0</v>
      </c>
      <c r="F512" s="6"/>
    </row>
    <row r="513">
      <c r="A513" s="11" t="s">
        <v>1112</v>
      </c>
      <c r="B513" s="11" t="s">
        <v>109</v>
      </c>
      <c r="C513" s="11" t="s">
        <v>18</v>
      </c>
      <c r="D513" s="11" t="s">
        <v>1113</v>
      </c>
      <c r="E513" s="12">
        <v>7.0</v>
      </c>
      <c r="F513" s="3" t="s">
        <v>1114</v>
      </c>
    </row>
    <row r="514">
      <c r="A514" s="11" t="s">
        <v>1115</v>
      </c>
      <c r="B514" s="11" t="s">
        <v>109</v>
      </c>
      <c r="C514" s="11" t="s">
        <v>10</v>
      </c>
      <c r="D514" s="11" t="s">
        <v>1116</v>
      </c>
      <c r="E514" s="12">
        <v>0.0</v>
      </c>
      <c r="F514" s="6"/>
    </row>
    <row r="515">
      <c r="A515" s="11" t="s">
        <v>1117</v>
      </c>
      <c r="B515" s="11" t="s">
        <v>35</v>
      </c>
      <c r="C515" s="11" t="s">
        <v>18</v>
      </c>
      <c r="D515" s="11" t="s">
        <v>1118</v>
      </c>
      <c r="E515" s="12">
        <v>0.0</v>
      </c>
      <c r="F515" s="6"/>
    </row>
    <row r="516">
      <c r="A516" s="11" t="s">
        <v>1119</v>
      </c>
      <c r="B516" s="11" t="s">
        <v>109</v>
      </c>
      <c r="C516" s="11" t="s">
        <v>26</v>
      </c>
      <c r="D516" s="11" t="s">
        <v>1120</v>
      </c>
      <c r="E516" s="12">
        <v>0.0</v>
      </c>
      <c r="F516" s="6"/>
    </row>
    <row r="517">
      <c r="A517" s="11" t="s">
        <v>1121</v>
      </c>
      <c r="B517" s="11" t="s">
        <v>35</v>
      </c>
      <c r="C517" s="11" t="s">
        <v>93</v>
      </c>
      <c r="D517" s="11" t="s">
        <v>1122</v>
      </c>
      <c r="E517" s="12">
        <v>6.0</v>
      </c>
      <c r="F517" s="6"/>
    </row>
    <row r="518">
      <c r="A518" s="2" t="s">
        <v>1123</v>
      </c>
      <c r="B518" s="2" t="s">
        <v>83</v>
      </c>
      <c r="C518" s="2" t="s">
        <v>151</v>
      </c>
      <c r="D518" s="2" t="s">
        <v>1124</v>
      </c>
      <c r="E518" s="2">
        <v>3.0</v>
      </c>
      <c r="F518" s="1" t="s">
        <v>1125</v>
      </c>
    </row>
    <row r="519">
      <c r="A519" s="2" t="s">
        <v>1126</v>
      </c>
      <c r="B519" s="2" t="s">
        <v>1127</v>
      </c>
      <c r="C519" s="2" t="s">
        <v>26</v>
      </c>
      <c r="D519" s="2" t="s">
        <v>1128</v>
      </c>
      <c r="E519" s="2">
        <v>4.0</v>
      </c>
      <c r="F519" s="1" t="s">
        <v>1129</v>
      </c>
    </row>
    <row r="520">
      <c r="A520" s="2" t="s">
        <v>1130</v>
      </c>
      <c r="B520" s="2" t="s">
        <v>1131</v>
      </c>
      <c r="C520" s="2" t="s">
        <v>10</v>
      </c>
      <c r="D520" s="2" t="s">
        <v>1132</v>
      </c>
      <c r="E520" s="2">
        <v>0.0</v>
      </c>
      <c r="F520" s="1" t="s">
        <v>1133</v>
      </c>
    </row>
    <row r="521">
      <c r="A521" s="2" t="s">
        <v>1134</v>
      </c>
      <c r="B521" s="2" t="s">
        <v>1135</v>
      </c>
      <c r="C521" s="2" t="s">
        <v>10</v>
      </c>
      <c r="D521" s="2" t="s">
        <v>1136</v>
      </c>
      <c r="E521" s="2">
        <v>9.0</v>
      </c>
      <c r="F521" s="1" t="s">
        <v>1137</v>
      </c>
    </row>
    <row r="522">
      <c r="A522" s="2" t="s">
        <v>1138</v>
      </c>
      <c r="B522" s="2" t="s">
        <v>47</v>
      </c>
      <c r="C522" s="2" t="s">
        <v>10</v>
      </c>
      <c r="D522" s="2" t="s">
        <v>1139</v>
      </c>
      <c r="E522" s="2">
        <v>9.0</v>
      </c>
      <c r="F522" s="1" t="s">
        <v>1140</v>
      </c>
    </row>
    <row r="523">
      <c r="A523" s="2" t="s">
        <v>1141</v>
      </c>
      <c r="B523" s="2" t="s">
        <v>109</v>
      </c>
      <c r="C523" s="2" t="s">
        <v>10</v>
      </c>
      <c r="D523" s="2" t="s">
        <v>1142</v>
      </c>
      <c r="E523" s="2">
        <v>9.0</v>
      </c>
      <c r="F523" s="1" t="s">
        <v>1143</v>
      </c>
    </row>
    <row r="524">
      <c r="A524" s="2" t="s">
        <v>753</v>
      </c>
      <c r="B524" s="2" t="s">
        <v>35</v>
      </c>
      <c r="C524" s="2" t="s">
        <v>10</v>
      </c>
      <c r="D524" s="2" t="s">
        <v>1144</v>
      </c>
      <c r="E524" s="2">
        <v>9.0</v>
      </c>
      <c r="F524" s="1" t="s">
        <v>1145</v>
      </c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  <row r="1001">
      <c r="A1001" s="8"/>
      <c r="B1001" s="8"/>
      <c r="C1001" s="8"/>
      <c r="D1001" s="8"/>
      <c r="E1001" s="8"/>
    </row>
  </sheetData>
  <conditionalFormatting sqref="E2:E1001">
    <cfRule type="cellIs" dxfId="2" priority="1" operator="equal">
      <formula>0</formula>
    </cfRule>
  </conditionalFormatting>
  <conditionalFormatting sqref="E2:E1001">
    <cfRule type="cellIs" dxfId="3" priority="2" operator="lessThanOrEqual">
      <formula>3</formula>
    </cfRule>
  </conditionalFormatting>
  <conditionalFormatting sqref="E2:E1001">
    <cfRule type="cellIs" dxfId="4" priority="3" operator="lessThanOrEqual">
      <formula>6</formula>
    </cfRule>
  </conditionalFormatting>
  <conditionalFormatting sqref="E2:E1001">
    <cfRule type="cellIs" dxfId="5" priority="4" operator="greaterThan">
      <formula>6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1146</v>
      </c>
      <c r="B1" s="1" t="s">
        <v>1147</v>
      </c>
      <c r="C1" s="1" t="s">
        <v>1148</v>
      </c>
    </row>
    <row r="2">
      <c r="B2" s="1" t="s">
        <v>1149</v>
      </c>
      <c r="C2" s="1" t="s">
        <v>1150</v>
      </c>
    </row>
    <row r="3">
      <c r="B3" s="1" t="s">
        <v>32</v>
      </c>
    </row>
    <row r="4">
      <c r="B4" s="1" t="s">
        <v>9</v>
      </c>
      <c r="C4" s="1" t="s">
        <v>1151</v>
      </c>
      <c r="D4" s="1" t="s">
        <v>1152</v>
      </c>
    </row>
    <row r="5">
      <c r="B5" s="1" t="s">
        <v>17</v>
      </c>
      <c r="C5" s="1" t="s">
        <v>1153</v>
      </c>
    </row>
    <row r="6">
      <c r="B6" s="1" t="s">
        <v>76</v>
      </c>
    </row>
    <row r="7">
      <c r="B7" s="1" t="s">
        <v>83</v>
      </c>
      <c r="C7" s="1" t="s">
        <v>1154</v>
      </c>
    </row>
    <row r="8">
      <c r="B8" s="1" t="s">
        <v>150</v>
      </c>
    </row>
    <row r="9">
      <c r="B9" s="1" t="s">
        <v>1155</v>
      </c>
      <c r="C9" s="1" t="s">
        <v>1150</v>
      </c>
    </row>
    <row r="10">
      <c r="B10" s="1" t="s">
        <v>1156</v>
      </c>
      <c r="C10" s="1" t="s">
        <v>1157</v>
      </c>
    </row>
    <row r="11">
      <c r="B11" s="1" t="s">
        <v>1158</v>
      </c>
    </row>
    <row r="12">
      <c r="B12" s="1" t="s">
        <v>1159</v>
      </c>
    </row>
    <row r="13">
      <c r="B13" s="1" t="s">
        <v>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