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repositories\CORE_VPRO\sw\vpro\cnn_yolo_lite\scripts\"/>
    </mc:Choice>
  </mc:AlternateContent>
  <bookViews>
    <workbookView xWindow="0" yWindow="0" windowWidth="28800" windowHeight="14100"/>
  </bookViews>
  <sheets>
    <sheet name="Sheet1" sheetId="1" r:id="rId1"/>
  </sheets>
  <definedNames>
    <definedName name="L0">Table1[]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7" i="1" l="1"/>
  <c r="BF8" i="1"/>
  <c r="BF9" i="1"/>
  <c r="BF10" i="1"/>
  <c r="BF11" i="1"/>
  <c r="BF12" i="1"/>
  <c r="BF13" i="1"/>
  <c r="BF6" i="1"/>
  <c r="BE7" i="1"/>
  <c r="BE8" i="1"/>
  <c r="BE9" i="1"/>
  <c r="BE10" i="1"/>
  <c r="BE11" i="1"/>
  <c r="BE12" i="1"/>
  <c r="BE6" i="1"/>
  <c r="AY47" i="1"/>
  <c r="AY45" i="1"/>
  <c r="AY44" i="1"/>
  <c r="AY39" i="1"/>
  <c r="AY46" i="1"/>
  <c r="AY43" i="1"/>
  <c r="AY42" i="1"/>
  <c r="AV47" i="1"/>
  <c r="AV50" i="1"/>
  <c r="AU40" i="1"/>
  <c r="AU41" i="1"/>
  <c r="AU42" i="1"/>
  <c r="AU43" i="1"/>
  <c r="AU44" i="1"/>
  <c r="AU45" i="1"/>
  <c r="AU46" i="1"/>
  <c r="AU47" i="1"/>
  <c r="AU39" i="1"/>
  <c r="AY48" i="1" l="1"/>
  <c r="BD6" i="1"/>
  <c r="BD8" i="1"/>
  <c r="BD9" i="1"/>
  <c r="BD10" i="1"/>
  <c r="BD11" i="1"/>
  <c r="BD12" i="1"/>
  <c r="BD7" i="1"/>
  <c r="AH6" i="1" l="1"/>
  <c r="C6" i="1"/>
  <c r="D6" i="1"/>
  <c r="E6" i="1"/>
  <c r="E12" i="1" s="1"/>
  <c r="F6" i="1"/>
  <c r="F12" i="1" s="1"/>
  <c r="G6" i="1"/>
  <c r="G12" i="1" s="1"/>
  <c r="H6" i="1"/>
  <c r="I6" i="1"/>
  <c r="I12" i="1" s="1"/>
  <c r="J6" i="1"/>
  <c r="K6" i="1"/>
  <c r="L6" i="1"/>
  <c r="M6" i="1"/>
  <c r="N6" i="1"/>
  <c r="N12" i="1" s="1"/>
  <c r="O6" i="1"/>
  <c r="O12" i="1" s="1"/>
  <c r="P6" i="1"/>
  <c r="Q6" i="1"/>
  <c r="Q12" i="1" s="1"/>
  <c r="R6" i="1"/>
  <c r="S6" i="1"/>
  <c r="T6" i="1"/>
  <c r="U6" i="1"/>
  <c r="U12" i="1" s="1"/>
  <c r="V6" i="1"/>
  <c r="V12" i="1" s="1"/>
  <c r="W6" i="1"/>
  <c r="W12" i="1" s="1"/>
  <c r="X6" i="1"/>
  <c r="Y6" i="1"/>
  <c r="Y12" i="1" s="1"/>
  <c r="Z6" i="1"/>
  <c r="AA6" i="1"/>
  <c r="AB6" i="1"/>
  <c r="AC6" i="1"/>
  <c r="AD6" i="1"/>
  <c r="AD12" i="1" s="1"/>
  <c r="AE6" i="1"/>
  <c r="AE12" i="1" s="1"/>
  <c r="AF6" i="1"/>
  <c r="AG6" i="1"/>
  <c r="AG12" i="1" s="1"/>
  <c r="B6" i="1"/>
  <c r="C18" i="1"/>
  <c r="D18" i="1"/>
  <c r="E18" i="1"/>
  <c r="F18" i="1"/>
  <c r="G18" i="1"/>
  <c r="H18" i="1"/>
  <c r="I18" i="1"/>
  <c r="I24" i="1" s="1"/>
  <c r="J18" i="1"/>
  <c r="K18" i="1"/>
  <c r="L18" i="1"/>
  <c r="M18" i="1"/>
  <c r="N18" i="1"/>
  <c r="O18" i="1"/>
  <c r="O24" i="1" s="1"/>
  <c r="P18" i="1"/>
  <c r="P24" i="1" s="1"/>
  <c r="Q18" i="1"/>
  <c r="Q24" i="1" s="1"/>
  <c r="R18" i="1"/>
  <c r="R24" i="1" s="1"/>
  <c r="S18" i="1"/>
  <c r="T18" i="1"/>
  <c r="U18" i="1"/>
  <c r="V18" i="1"/>
  <c r="W18" i="1"/>
  <c r="W24" i="1" s="1"/>
  <c r="X18" i="1"/>
  <c r="X24" i="1" s="1"/>
  <c r="Y18" i="1"/>
  <c r="Y24" i="1" s="1"/>
  <c r="Z18" i="1"/>
  <c r="Z24" i="1" s="1"/>
  <c r="AA18" i="1"/>
  <c r="AB18" i="1"/>
  <c r="AC18" i="1"/>
  <c r="AD18" i="1"/>
  <c r="AE18" i="1"/>
  <c r="AE24" i="1" s="1"/>
  <c r="AF18" i="1"/>
  <c r="AF24" i="1" s="1"/>
  <c r="AG18" i="1"/>
  <c r="AG24" i="1" s="1"/>
  <c r="AH18" i="1"/>
  <c r="AH24" i="1" s="1"/>
  <c r="B18" i="1"/>
  <c r="C30" i="1"/>
  <c r="D30" i="1"/>
  <c r="E30" i="1"/>
  <c r="F30" i="1"/>
  <c r="G30" i="1"/>
  <c r="H30" i="1"/>
  <c r="H36" i="1" s="1"/>
  <c r="I30" i="1"/>
  <c r="I36" i="1" s="1"/>
  <c r="J30" i="1"/>
  <c r="K30" i="1"/>
  <c r="L30" i="1"/>
  <c r="M30" i="1"/>
  <c r="N30" i="1"/>
  <c r="O30" i="1"/>
  <c r="P30" i="1"/>
  <c r="Q30" i="1"/>
  <c r="Q36" i="1" s="1"/>
  <c r="R30" i="1"/>
  <c r="R36" i="1" s="1"/>
  <c r="S30" i="1"/>
  <c r="T30" i="1"/>
  <c r="U30" i="1"/>
  <c r="V30" i="1"/>
  <c r="W30" i="1"/>
  <c r="X30" i="1"/>
  <c r="X36" i="1" s="1"/>
  <c r="Y30" i="1"/>
  <c r="Y36" i="1" s="1"/>
  <c r="Z30" i="1"/>
  <c r="Z36" i="1" s="1"/>
  <c r="AA30" i="1"/>
  <c r="AB30" i="1"/>
  <c r="AC30" i="1"/>
  <c r="AD30" i="1"/>
  <c r="AE30" i="1"/>
  <c r="AF30" i="1"/>
  <c r="AF36" i="1" s="1"/>
  <c r="AG30" i="1"/>
  <c r="AH30" i="1"/>
  <c r="AH36" i="1" s="1"/>
  <c r="AI30" i="1"/>
  <c r="AJ30" i="1"/>
  <c r="AK30" i="1"/>
  <c r="AL30" i="1"/>
  <c r="AM30" i="1"/>
  <c r="AN30" i="1"/>
  <c r="AN36" i="1" s="1"/>
  <c r="AO30" i="1"/>
  <c r="AP30" i="1"/>
  <c r="AP36" i="1" s="1"/>
  <c r="B30" i="1"/>
  <c r="C42" i="1"/>
  <c r="D42" i="1"/>
  <c r="E42" i="1"/>
  <c r="F42" i="1"/>
  <c r="G42" i="1"/>
  <c r="H42" i="1"/>
  <c r="I42" i="1"/>
  <c r="I48" i="1" s="1"/>
  <c r="J42" i="1"/>
  <c r="J48" i="1" s="1"/>
  <c r="K42" i="1"/>
  <c r="L42" i="1"/>
  <c r="M42" i="1"/>
  <c r="N42" i="1"/>
  <c r="N48" i="1" s="1"/>
  <c r="O42" i="1"/>
  <c r="O48" i="1" s="1"/>
  <c r="P42" i="1"/>
  <c r="Q42" i="1"/>
  <c r="Q48" i="1" s="1"/>
  <c r="R42" i="1"/>
  <c r="R48" i="1" s="1"/>
  <c r="S42" i="1"/>
  <c r="T42" i="1"/>
  <c r="U42" i="1"/>
  <c r="V42" i="1"/>
  <c r="V48" i="1" s="1"/>
  <c r="W42" i="1"/>
  <c r="W48" i="1" s="1"/>
  <c r="X42" i="1"/>
  <c r="Y42" i="1"/>
  <c r="Y48" i="1" s="1"/>
  <c r="Z42" i="1"/>
  <c r="Z48" i="1" s="1"/>
  <c r="AA42" i="1"/>
  <c r="AB42" i="1"/>
  <c r="AC42" i="1"/>
  <c r="AD42" i="1"/>
  <c r="AD48" i="1" s="1"/>
  <c r="AE42" i="1"/>
  <c r="AE48" i="1" s="1"/>
  <c r="AF42" i="1"/>
  <c r="AG42" i="1"/>
  <c r="AG48" i="1" s="1"/>
  <c r="AH42" i="1"/>
  <c r="AH48" i="1" s="1"/>
  <c r="B42" i="1"/>
  <c r="B48" i="1" s="1"/>
  <c r="C54" i="1"/>
  <c r="D54" i="1"/>
  <c r="D60" i="1" s="1"/>
  <c r="E54" i="1"/>
  <c r="F54" i="1"/>
  <c r="F60" i="1" s="1"/>
  <c r="G54" i="1"/>
  <c r="H54" i="1"/>
  <c r="I54" i="1"/>
  <c r="J54" i="1"/>
  <c r="J60" i="1" s="1"/>
  <c r="K54" i="1"/>
  <c r="L54" i="1"/>
  <c r="L60" i="1" s="1"/>
  <c r="M54" i="1"/>
  <c r="N54" i="1"/>
  <c r="N60" i="1" s="1"/>
  <c r="O54" i="1"/>
  <c r="P54" i="1"/>
  <c r="Q54" i="1"/>
  <c r="Q60" i="1" s="1"/>
  <c r="R54" i="1"/>
  <c r="R60" i="1" s="1"/>
  <c r="S54" i="1"/>
  <c r="T54" i="1"/>
  <c r="U54" i="1"/>
  <c r="V54" i="1"/>
  <c r="V60" i="1" s="1"/>
  <c r="W54" i="1"/>
  <c r="X54" i="1"/>
  <c r="Y54" i="1"/>
  <c r="Y60" i="1" s="1"/>
  <c r="Z54" i="1"/>
  <c r="Z60" i="1" s="1"/>
  <c r="AA54" i="1"/>
  <c r="AB54" i="1"/>
  <c r="AC54" i="1"/>
  <c r="AD54" i="1"/>
  <c r="AE54" i="1"/>
  <c r="AF54" i="1"/>
  <c r="AG54" i="1"/>
  <c r="AG60" i="1" s="1"/>
  <c r="AH54" i="1"/>
  <c r="AH60" i="1" s="1"/>
  <c r="B54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B66" i="1"/>
  <c r="C79" i="1"/>
  <c r="D79" i="1"/>
  <c r="D85" i="1" s="1"/>
  <c r="E79" i="1"/>
  <c r="F79" i="1"/>
  <c r="G79" i="1"/>
  <c r="H79" i="1"/>
  <c r="H85" i="1" s="1"/>
  <c r="I79" i="1"/>
  <c r="I85" i="1" s="1"/>
  <c r="J79" i="1"/>
  <c r="J85" i="1" s="1"/>
  <c r="K79" i="1"/>
  <c r="L79" i="1"/>
  <c r="L85" i="1" s="1"/>
  <c r="M79" i="1"/>
  <c r="N79" i="1"/>
  <c r="O79" i="1"/>
  <c r="P79" i="1"/>
  <c r="P85" i="1" s="1"/>
  <c r="Q79" i="1"/>
  <c r="Q85" i="1" s="1"/>
  <c r="R79" i="1"/>
  <c r="R85" i="1" s="1"/>
  <c r="S79" i="1"/>
  <c r="T79" i="1"/>
  <c r="T85" i="1" s="1"/>
  <c r="U79" i="1"/>
  <c r="V79" i="1"/>
  <c r="W79" i="1"/>
  <c r="X79" i="1"/>
  <c r="X85" i="1" s="1"/>
  <c r="Y79" i="1"/>
  <c r="Y85" i="1" s="1"/>
  <c r="Z79" i="1"/>
  <c r="Z85" i="1" s="1"/>
  <c r="AA79" i="1"/>
  <c r="AB79" i="1"/>
  <c r="AC79" i="1"/>
  <c r="AD79" i="1"/>
  <c r="AE79" i="1"/>
  <c r="AF79" i="1"/>
  <c r="AF85" i="1" s="1"/>
  <c r="AG79" i="1"/>
  <c r="AG85" i="1" s="1"/>
  <c r="AH79" i="1"/>
  <c r="AH85" i="1" s="1"/>
  <c r="B79" i="1"/>
  <c r="B85" i="1" s="1"/>
  <c r="C85" i="1"/>
  <c r="E85" i="1"/>
  <c r="F85" i="1"/>
  <c r="G85" i="1"/>
  <c r="K85" i="1"/>
  <c r="M85" i="1"/>
  <c r="N85" i="1"/>
  <c r="O85" i="1"/>
  <c r="S85" i="1"/>
  <c r="U85" i="1"/>
  <c r="V85" i="1"/>
  <c r="W85" i="1"/>
  <c r="AA85" i="1"/>
  <c r="AB85" i="1"/>
  <c r="AC85" i="1"/>
  <c r="AD85" i="1"/>
  <c r="AE85" i="1"/>
  <c r="AI85" i="1"/>
  <c r="AJ85" i="1"/>
  <c r="AK85" i="1"/>
  <c r="AL85" i="1"/>
  <c r="AM85" i="1"/>
  <c r="AN85" i="1"/>
  <c r="AO85" i="1"/>
  <c r="AP85" i="1"/>
  <c r="C48" i="1"/>
  <c r="D48" i="1"/>
  <c r="E48" i="1"/>
  <c r="F48" i="1"/>
  <c r="G48" i="1"/>
  <c r="H48" i="1"/>
  <c r="K48" i="1"/>
  <c r="L48" i="1"/>
  <c r="M48" i="1"/>
  <c r="P48" i="1"/>
  <c r="S48" i="1"/>
  <c r="T48" i="1"/>
  <c r="U48" i="1"/>
  <c r="X48" i="1"/>
  <c r="AA48" i="1"/>
  <c r="AB48" i="1"/>
  <c r="AC48" i="1"/>
  <c r="AF48" i="1"/>
  <c r="AI48" i="1"/>
  <c r="AJ48" i="1"/>
  <c r="AK48" i="1"/>
  <c r="AL48" i="1"/>
  <c r="AM48" i="1"/>
  <c r="AN48" i="1"/>
  <c r="AO48" i="1"/>
  <c r="AP48" i="1"/>
  <c r="B36" i="1"/>
  <c r="C36" i="1"/>
  <c r="D36" i="1"/>
  <c r="E36" i="1"/>
  <c r="F36" i="1"/>
  <c r="G36" i="1"/>
  <c r="K36" i="1"/>
  <c r="L36" i="1"/>
  <c r="M36" i="1"/>
  <c r="N36" i="1"/>
  <c r="O36" i="1"/>
  <c r="P36" i="1"/>
  <c r="S36" i="1"/>
  <c r="T36" i="1"/>
  <c r="U36" i="1"/>
  <c r="V36" i="1"/>
  <c r="W36" i="1"/>
  <c r="AA36" i="1"/>
  <c r="AB36" i="1"/>
  <c r="AC36" i="1"/>
  <c r="AD36" i="1"/>
  <c r="AE36" i="1"/>
  <c r="AG36" i="1"/>
  <c r="AI36" i="1"/>
  <c r="AJ36" i="1"/>
  <c r="AK36" i="1"/>
  <c r="AL36" i="1"/>
  <c r="AM36" i="1"/>
  <c r="AO36" i="1"/>
  <c r="B24" i="1"/>
  <c r="C24" i="1"/>
  <c r="D24" i="1"/>
  <c r="E24" i="1"/>
  <c r="F24" i="1"/>
  <c r="G24" i="1"/>
  <c r="H24" i="1"/>
  <c r="K24" i="1"/>
  <c r="L24" i="1"/>
  <c r="M24" i="1"/>
  <c r="N24" i="1"/>
  <c r="S24" i="1"/>
  <c r="T24" i="1"/>
  <c r="U24" i="1"/>
  <c r="V24" i="1"/>
  <c r="AA24" i="1"/>
  <c r="AB24" i="1"/>
  <c r="AC24" i="1"/>
  <c r="AD24" i="1"/>
  <c r="AI24" i="1"/>
  <c r="AJ24" i="1"/>
  <c r="AK24" i="1"/>
  <c r="AL24" i="1"/>
  <c r="AM24" i="1"/>
  <c r="AN24" i="1"/>
  <c r="AO24" i="1"/>
  <c r="AP24" i="1"/>
  <c r="B12" i="1"/>
  <c r="C12" i="1"/>
  <c r="D12" i="1"/>
  <c r="H12" i="1"/>
  <c r="J12" i="1"/>
  <c r="K12" i="1"/>
  <c r="L12" i="1"/>
  <c r="M12" i="1"/>
  <c r="P12" i="1"/>
  <c r="R12" i="1"/>
  <c r="S12" i="1"/>
  <c r="T12" i="1"/>
  <c r="X12" i="1"/>
  <c r="Z12" i="1"/>
  <c r="AA12" i="1"/>
  <c r="AB12" i="1"/>
  <c r="AC12" i="1"/>
  <c r="AF12" i="1"/>
  <c r="AH12" i="1"/>
  <c r="AI12" i="1"/>
  <c r="AJ12" i="1"/>
  <c r="AK12" i="1"/>
  <c r="AL12" i="1"/>
  <c r="AM12" i="1"/>
  <c r="AN12" i="1"/>
  <c r="AO12" i="1"/>
  <c r="AP12" i="1"/>
  <c r="B60" i="1"/>
  <c r="C60" i="1"/>
  <c r="E60" i="1"/>
  <c r="G60" i="1"/>
  <c r="H60" i="1"/>
  <c r="I60" i="1"/>
  <c r="K60" i="1"/>
  <c r="M60" i="1"/>
  <c r="O60" i="1"/>
  <c r="P60" i="1"/>
  <c r="S60" i="1"/>
  <c r="T60" i="1"/>
  <c r="U60" i="1"/>
  <c r="W60" i="1"/>
  <c r="X60" i="1"/>
  <c r="AA60" i="1"/>
  <c r="AB60" i="1"/>
  <c r="AC60" i="1"/>
  <c r="AD60" i="1"/>
  <c r="AE60" i="1"/>
  <c r="AF60" i="1"/>
  <c r="AI60" i="1"/>
  <c r="AJ60" i="1"/>
  <c r="AK60" i="1"/>
  <c r="AL60" i="1"/>
  <c r="AM60" i="1"/>
  <c r="AN60" i="1"/>
  <c r="AO60" i="1"/>
  <c r="AP60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B72" i="1"/>
  <c r="AQ76" i="1"/>
  <c r="AQ77" i="1"/>
  <c r="AQ78" i="1"/>
  <c r="AQ80" i="1"/>
  <c r="AQ81" i="1"/>
  <c r="AQ82" i="1"/>
  <c r="AQ83" i="1"/>
  <c r="AQ84" i="1"/>
  <c r="AQ63" i="1"/>
  <c r="AQ64" i="1"/>
  <c r="AQ65" i="1"/>
  <c r="AQ67" i="1"/>
  <c r="AQ68" i="1"/>
  <c r="AQ69" i="1"/>
  <c r="AQ70" i="1"/>
  <c r="AQ71" i="1"/>
  <c r="AQ51" i="1"/>
  <c r="AQ52" i="1"/>
  <c r="AQ53" i="1"/>
  <c r="AQ55" i="1"/>
  <c r="AQ56" i="1"/>
  <c r="AQ57" i="1"/>
  <c r="AQ58" i="1"/>
  <c r="AQ59" i="1"/>
  <c r="AQ39" i="1"/>
  <c r="AQ40" i="1"/>
  <c r="AQ41" i="1"/>
  <c r="AQ43" i="1"/>
  <c r="AQ44" i="1"/>
  <c r="AQ45" i="1"/>
  <c r="AQ46" i="1"/>
  <c r="AQ47" i="1"/>
  <c r="AQ27" i="1"/>
  <c r="AQ28" i="1"/>
  <c r="AQ29" i="1"/>
  <c r="AQ31" i="1"/>
  <c r="AQ32" i="1"/>
  <c r="AQ33" i="1"/>
  <c r="AQ34" i="1"/>
  <c r="AQ35" i="1"/>
  <c r="AQ15" i="1"/>
  <c r="AQ16" i="1"/>
  <c r="AQ17" i="1"/>
  <c r="AQ19" i="1"/>
  <c r="AQ20" i="1"/>
  <c r="AQ21" i="1"/>
  <c r="AQ22" i="1"/>
  <c r="AQ23" i="1"/>
  <c r="AQ3" i="1"/>
  <c r="AQ4" i="1"/>
  <c r="AQ5" i="1"/>
  <c r="AQ7" i="1"/>
  <c r="AV43" i="1" s="1"/>
  <c r="AQ8" i="1"/>
  <c r="AQ9" i="1"/>
  <c r="AV45" i="1" s="1"/>
  <c r="AQ10" i="1"/>
  <c r="AV46" i="1" s="1"/>
  <c r="AQ11" i="1"/>
  <c r="AV44" i="1" l="1"/>
  <c r="AV39" i="1"/>
  <c r="AQ18" i="1"/>
  <c r="AQ30" i="1"/>
  <c r="AQ6" i="1"/>
  <c r="J24" i="1"/>
  <c r="J36" i="1"/>
  <c r="AQ42" i="1"/>
  <c r="AQ54" i="1"/>
  <c r="AQ66" i="1"/>
  <c r="AQ79" i="1"/>
  <c r="AQ24" i="1"/>
  <c r="AR22" i="1" s="1"/>
  <c r="AQ72" i="1" l="1"/>
  <c r="AR66" i="1" s="1"/>
  <c r="AQ60" i="1"/>
  <c r="AR54" i="1" s="1"/>
  <c r="AQ48" i="1"/>
  <c r="AR42" i="1" s="1"/>
  <c r="AQ85" i="1"/>
  <c r="AV42" i="1"/>
  <c r="AV48" i="1" s="1"/>
  <c r="AQ12" i="1"/>
  <c r="AR6" i="1" s="1"/>
  <c r="AR17" i="1"/>
  <c r="AR23" i="1"/>
  <c r="AR16" i="1"/>
  <c r="AR15" i="1"/>
  <c r="AR20" i="1"/>
  <c r="AR19" i="1"/>
  <c r="AR21" i="1"/>
  <c r="AR18" i="1"/>
  <c r="AQ36" i="1"/>
  <c r="AR27" i="1" s="1"/>
  <c r="AR76" i="1" l="1"/>
  <c r="AR78" i="1"/>
  <c r="AR84" i="1"/>
  <c r="AR77" i="1"/>
  <c r="AR80" i="1"/>
  <c r="AR83" i="1"/>
  <c r="AR82" i="1"/>
  <c r="AR81" i="1"/>
  <c r="AR79" i="1"/>
  <c r="AR71" i="1"/>
  <c r="AR67" i="1"/>
  <c r="AR64" i="1"/>
  <c r="AR69" i="1"/>
  <c r="AR70" i="1"/>
  <c r="AR63" i="1"/>
  <c r="AR68" i="1"/>
  <c r="AR65" i="1"/>
  <c r="AR56" i="1"/>
  <c r="AR55" i="1"/>
  <c r="AR57" i="1"/>
  <c r="AR52" i="1"/>
  <c r="AR53" i="1"/>
  <c r="AR59" i="1"/>
  <c r="AR51" i="1"/>
  <c r="AR58" i="1"/>
  <c r="AW40" i="1"/>
  <c r="AW41" i="1"/>
  <c r="AW46" i="1"/>
  <c r="AW45" i="1"/>
  <c r="AW43" i="1"/>
  <c r="AW47" i="1"/>
  <c r="AW39" i="1"/>
  <c r="AW44" i="1"/>
  <c r="AR44" i="1"/>
  <c r="AR41" i="1"/>
  <c r="AR46" i="1"/>
  <c r="AR39" i="1"/>
  <c r="AR40" i="1"/>
  <c r="AR47" i="1"/>
  <c r="AR43" i="1"/>
  <c r="AR45" i="1"/>
  <c r="AW42" i="1"/>
  <c r="AR5" i="1"/>
  <c r="AR4" i="1"/>
  <c r="AR11" i="1"/>
  <c r="AR8" i="1"/>
  <c r="AR7" i="1"/>
  <c r="AR3" i="1"/>
  <c r="AR9" i="1"/>
  <c r="AR10" i="1"/>
  <c r="AR28" i="1"/>
  <c r="AR31" i="1"/>
  <c r="AR35" i="1"/>
  <c r="AR34" i="1"/>
  <c r="AR33" i="1"/>
  <c r="AR29" i="1"/>
  <c r="AR32" i="1"/>
  <c r="AR30" i="1"/>
</calcChain>
</file>

<file path=xl/sharedStrings.xml><?xml version="1.0" encoding="utf-8"?>
<sst xmlns="http://schemas.openxmlformats.org/spreadsheetml/2006/main" count="397" uniqueCount="69">
  <si>
    <t>Layer0</t>
  </si>
  <si>
    <t>Step</t>
  </si>
  <si>
    <t xml:space="preserve">NONE     </t>
  </si>
  <si>
    <t xml:space="preserve">LOAD     </t>
  </si>
  <si>
    <t xml:space="preserve">LOADB    </t>
  </si>
  <si>
    <t xml:space="preserve">LOADS    </t>
  </si>
  <si>
    <t xml:space="preserve">LOADBS   </t>
  </si>
  <si>
    <t xml:space="preserve">STORE    </t>
  </si>
  <si>
    <t>LOOP_STRT</t>
  </si>
  <si>
    <t xml:space="preserve">LOOP_END </t>
  </si>
  <si>
    <t>LOOP_MASK</t>
  </si>
  <si>
    <t xml:space="preserve">ADD      </t>
  </si>
  <si>
    <t xml:space="preserve">SUB      </t>
  </si>
  <si>
    <t xml:space="preserve">MULL     </t>
  </si>
  <si>
    <t xml:space="preserve">MULH     </t>
  </si>
  <si>
    <t xml:space="preserve">MACL     </t>
  </si>
  <si>
    <t xml:space="preserve">DIVL     </t>
  </si>
  <si>
    <t xml:space="preserve">DIVH     </t>
  </si>
  <si>
    <t xml:space="preserve">MACH     </t>
  </si>
  <si>
    <t xml:space="preserve">MACL_PRE </t>
  </si>
  <si>
    <t xml:space="preserve">MACH_PRE </t>
  </si>
  <si>
    <t xml:space="preserve">XOR      </t>
  </si>
  <si>
    <t xml:space="preserve">XNOR     </t>
  </si>
  <si>
    <t xml:space="preserve">AND      </t>
  </si>
  <si>
    <t xml:space="preserve">ANDN     </t>
  </si>
  <si>
    <t xml:space="preserve">NAND     </t>
  </si>
  <si>
    <t xml:space="preserve">OR       </t>
  </si>
  <si>
    <t xml:space="preserve">ORN      </t>
  </si>
  <si>
    <t xml:space="preserve">NOR      </t>
  </si>
  <si>
    <t xml:space="preserve">SHIFT_LR </t>
  </si>
  <si>
    <t xml:space="preserve">SHIFT_AR </t>
  </si>
  <si>
    <t xml:space="preserve">SHIFT_LL </t>
  </si>
  <si>
    <t xml:space="preserve">ABS      </t>
  </si>
  <si>
    <t xml:space="preserve">MIN      </t>
  </si>
  <si>
    <t xml:space="preserve">MAX      </t>
  </si>
  <si>
    <t xml:space="preserve">MV_ZE    </t>
  </si>
  <si>
    <t xml:space="preserve">MV_NZ    </t>
  </si>
  <si>
    <t xml:space="preserve">MV_MI    </t>
  </si>
  <si>
    <t xml:space="preserve">MV_PL    </t>
  </si>
  <si>
    <t xml:space="preserve">NOP      </t>
  </si>
  <si>
    <t>WAIT_BUSY</t>
  </si>
  <si>
    <t>PIPELN_W8</t>
  </si>
  <si>
    <t>IDMASK_GLOBAL: 4294967295</t>
  </si>
  <si>
    <t>Padding</t>
  </si>
  <si>
    <t>Convolution</t>
  </si>
  <si>
    <t>Convolution Add</t>
  </si>
  <si>
    <t>Bias Shift</t>
  </si>
  <si>
    <t>Pooling</t>
  </si>
  <si>
    <t>Relu Rect</t>
  </si>
  <si>
    <t>Relu Leaky</t>
  </si>
  <si>
    <t>Store</t>
  </si>
  <si>
    <t>Layer 1</t>
  </si>
  <si>
    <t>Layer 2</t>
  </si>
  <si>
    <t>Layer 3</t>
  </si>
  <si>
    <t>Layer 4</t>
  </si>
  <si>
    <t>Layer 5</t>
  </si>
  <si>
    <t>Layer 6</t>
  </si>
  <si>
    <t>Cycle Sum</t>
  </si>
  <si>
    <t>Total</t>
  </si>
  <si>
    <t>Conv</t>
  </si>
  <si>
    <t>Layer Cycle Count</t>
  </si>
  <si>
    <t>Column1</t>
  </si>
  <si>
    <t>All Layers</t>
  </si>
  <si>
    <t>no chain</t>
  </si>
  <si>
    <t>2/5 chain</t>
  </si>
  <si>
    <t>1/1 chain</t>
  </si>
  <si>
    <t>chaining:</t>
  </si>
  <si>
    <t>rel of all cycles</t>
  </si>
  <si>
    <t>padding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</si>
</sst>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10" fontId="0" fillId="0" borderId="0" xfId="0" applyNumberFormat="1"/>
    <xf numFmtId="10" fontId="0" fillId="0" borderId="0" xfId="1" applyNumberFormat="1" applyFont="1"/>
    <xf numFmtId="0" fontId="0" fillId="0" borderId="2" xfId="0" applyBorder="1"/>
    <xf numFmtId="1" fontId="0" fillId="0" borderId="2" xfId="0" applyNumberFormat="1" applyBorder="1"/>
    <xf numFmtId="10" fontId="0" fillId="0" borderId="2" xfId="1" applyNumberFormat="1" applyFont="1" applyBorder="1"/>
  </cellXfs>
  <cellStyles count="2">
    <cellStyle name="Normal" xfId="0" builtinId="0"/>
    <cellStyle name="Percent" xfId="1" builtinId="5"/>
  </cellStyles>
  <dxfs count="59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NONE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(Sheet1!$B$12,Sheet1!$B$24,Sheet1!$B$36,Sheet1!$B$48,Sheet1!$B$60,Sheet1!$B$72,Sheet1!$B$85)</c:f>
              <c:numCache>
                <c:formatCode>0</c:formatCode>
                <c:ptCount val="7"/>
                <c:pt idx="0">
                  <c:v>4591498</c:v>
                </c:pt>
                <c:pt idx="1">
                  <c:v>3823042</c:v>
                </c:pt>
                <c:pt idx="2">
                  <c:v>2238656</c:v>
                </c:pt>
                <c:pt idx="3">
                  <c:v>1454144</c:v>
                </c:pt>
                <c:pt idx="4">
                  <c:v>1560068</c:v>
                </c:pt>
                <c:pt idx="5">
                  <c:v>2641632</c:v>
                </c:pt>
                <c:pt idx="6">
                  <c:v>11673600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1-454F-B9FE-A93C54ED20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(Sheet1!$C$12,Sheet1!$C$24,Sheet1!$C$36,Sheet1!$C$48,Sheet1!$C$60,Sheet1!$C$72,Sheet1!$C$85)</c:f>
            </c:numRef>
          </c:val>
          <c:extLst>
            <c:ext xmlns:c16="http://schemas.microsoft.com/office/drawing/2014/chart" uri="{C3380CC4-5D6E-409C-BE32-E72D297353CC}">
              <c16:uniqueId val="{00000001-D5D1-454F-B9FE-A93C54ED20E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(Sheet1!$D$12,Sheet1!$D$24,Sheet1!$D$36,Sheet1!$D$48,Sheet1!$D$60,Sheet1!$D$72,Sheet1!$D$85)</c:f>
            </c:numRef>
          </c:val>
          <c:extLst>
            <c:ext xmlns:c16="http://schemas.microsoft.com/office/drawing/2014/chart" uri="{C3380CC4-5D6E-409C-BE32-E72D297353CC}">
              <c16:uniqueId val="{00000002-D5D1-454F-B9FE-A93C54ED20E3}"/>
            </c:ext>
          </c:extLst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LOADS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(Sheet1!$E$12,Sheet1!$E$24,Sheet1!$E$36,Sheet1!$E$48,Sheet1!$E$60,Sheet1!$E$72,Sheet1!$E$85)</c:f>
              <c:numCache>
                <c:formatCode>0</c:formatCode>
                <c:ptCount val="7"/>
                <c:pt idx="0">
                  <c:v>21703660</c:v>
                </c:pt>
                <c:pt idx="1">
                  <c:v>57876480</c:v>
                </c:pt>
                <c:pt idx="2">
                  <c:v>57876440</c:v>
                </c:pt>
                <c:pt idx="3">
                  <c:v>57876520</c:v>
                </c:pt>
                <c:pt idx="4">
                  <c:v>29048844</c:v>
                </c:pt>
                <c:pt idx="5">
                  <c:v>14745600</c:v>
                </c:pt>
                <c:pt idx="6">
                  <c:v>1638400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D1-454F-B9FE-A93C54ED20E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(Sheet1!$F$12,Sheet1!$F$24,Sheet1!$F$36,Sheet1!$F$48,Sheet1!$F$60,Sheet1!$F$72,Sheet1!$F$85)</c:f>
            </c:numRef>
          </c:val>
          <c:extLst>
            <c:ext xmlns:c16="http://schemas.microsoft.com/office/drawing/2014/chart" uri="{C3380CC4-5D6E-409C-BE32-E72D297353CC}">
              <c16:uniqueId val="{00000004-D5D1-454F-B9FE-A93C54ED20E3}"/>
            </c:ext>
          </c:extLst>
        </c:ser>
        <c:ser>
          <c:idx val="5"/>
          <c:order val="5"/>
          <c:tx>
            <c:strRef>
              <c:f>Sheet1!$G$14</c:f>
              <c:strCache>
                <c:ptCount val="1"/>
                <c:pt idx="0">
                  <c:v>STORE  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(Sheet1!$G$12,Sheet1!$G$24,Sheet1!$G$36,Sheet1!$G$48,Sheet1!$G$60,Sheet1!$G$72,Sheet1!$G$85)</c:f>
              <c:numCache>
                <c:formatCode>0</c:formatCode>
                <c:ptCount val="7"/>
                <c:pt idx="0">
                  <c:v>212992</c:v>
                </c:pt>
                <c:pt idx="1">
                  <c:v>165888</c:v>
                </c:pt>
                <c:pt idx="2">
                  <c:v>181248</c:v>
                </c:pt>
                <c:pt idx="3">
                  <c:v>287232</c:v>
                </c:pt>
                <c:pt idx="4">
                  <c:v>530560</c:v>
                </c:pt>
                <c:pt idx="5">
                  <c:v>536832</c:v>
                </c:pt>
                <c:pt idx="6">
                  <c:v>6272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D1-454F-B9FE-A93C54ED20E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(Sheet1!$H$12,Sheet1!$H$24,Sheet1!$H$36,Sheet1!$H$48,Sheet1!$H$60,Sheet1!$H$72,Sheet1!$H$85)</c:f>
            </c:numRef>
          </c:val>
          <c:extLst>
            <c:ext xmlns:c16="http://schemas.microsoft.com/office/drawing/2014/chart" uri="{C3380CC4-5D6E-409C-BE32-E72D297353CC}">
              <c16:uniqueId val="{00000006-D5D1-454F-B9FE-A93C54ED20E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(Sheet1!$I$12,Sheet1!$I$24,Sheet1!$I$36,Sheet1!$I$48,Sheet1!$I$60,Sheet1!$I$72,Sheet1!$I$85)</c:f>
            </c:numRef>
          </c:val>
          <c:extLst>
            <c:ext xmlns:c16="http://schemas.microsoft.com/office/drawing/2014/chart" uri="{C3380CC4-5D6E-409C-BE32-E72D297353CC}">
              <c16:uniqueId val="{00000007-D5D1-454F-B9FE-A93C54ED20E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(Sheet1!$J$12,Sheet1!$J$24,Sheet1!$J$36,Sheet1!$J$48,Sheet1!$J$60,Sheet1!$J$72,Sheet1!$J$85)</c:f>
            </c:numRef>
          </c:val>
          <c:extLst>
            <c:ext xmlns:c16="http://schemas.microsoft.com/office/drawing/2014/chart" uri="{C3380CC4-5D6E-409C-BE32-E72D297353CC}">
              <c16:uniqueId val="{00000008-D5D1-454F-B9FE-A93C54ED20E3}"/>
            </c:ext>
          </c:extLst>
        </c:ser>
        <c:ser>
          <c:idx val="9"/>
          <c:order val="9"/>
          <c:tx>
            <c:strRef>
              <c:f>Sheet1!$K$14</c:f>
              <c:strCache>
                <c:ptCount val="1"/>
                <c:pt idx="0">
                  <c:v>ADD     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(Sheet1!$K$12,Sheet1!$K$24,Sheet1!$K$36,Sheet1!$K$48,Sheet1!$K$60,Sheet1!$K$72,Sheet1!$K$85)</c:f>
              <c:numCache>
                <c:formatCode>0</c:formatCode>
                <c:ptCount val="7"/>
                <c:pt idx="0">
                  <c:v>4628476</c:v>
                </c:pt>
                <c:pt idx="1">
                  <c:v>12810200</c:v>
                </c:pt>
                <c:pt idx="2">
                  <c:v>12925904</c:v>
                </c:pt>
                <c:pt idx="3">
                  <c:v>13082160</c:v>
                </c:pt>
                <c:pt idx="4">
                  <c:v>6940542</c:v>
                </c:pt>
                <c:pt idx="5">
                  <c:v>3760644</c:v>
                </c:pt>
                <c:pt idx="6">
                  <c:v>3223808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D1-454F-B9FE-A93C54ED20E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(Sheet1!$L$12,Sheet1!$L$24,Sheet1!$L$36,Sheet1!$L$48,Sheet1!$L$60,Sheet1!$L$72,Sheet1!$L$85)</c:f>
            </c:numRef>
          </c:val>
          <c:extLst>
            <c:ext xmlns:c16="http://schemas.microsoft.com/office/drawing/2014/chart" uri="{C3380CC4-5D6E-409C-BE32-E72D297353CC}">
              <c16:uniqueId val="{0000000A-D5D1-454F-B9FE-A93C54ED20E3}"/>
            </c:ext>
          </c:extLst>
        </c:ser>
        <c:ser>
          <c:idx val="11"/>
          <c:order val="11"/>
          <c:tx>
            <c:strRef>
              <c:f>Sheet1!$M$14</c:f>
              <c:strCache>
                <c:ptCount val="1"/>
                <c:pt idx="0">
                  <c:v>MULL    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(Sheet1!$M$12,Sheet1!$M$24,Sheet1!$M$36,Sheet1!$M$48,Sheet1!$M$60,Sheet1!$M$72,Sheet1!$M$85)</c:f>
              <c:numCache>
                <c:formatCode>0</c:formatCode>
                <c:ptCount val="7"/>
                <c:pt idx="0">
                  <c:v>200704</c:v>
                </c:pt>
                <c:pt idx="1">
                  <c:v>100352</c:v>
                </c:pt>
                <c:pt idx="2">
                  <c:v>50176</c:v>
                </c:pt>
                <c:pt idx="3">
                  <c:v>25088</c:v>
                </c:pt>
                <c:pt idx="4">
                  <c:v>6272</c:v>
                </c:pt>
                <c:pt idx="5">
                  <c:v>12544</c:v>
                </c:pt>
                <c:pt idx="6">
                  <c:v>6272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D1-454F-B9FE-A93C54ED20E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(Sheet1!$N$12,Sheet1!$N$24,Sheet1!$N$36,Sheet1!$N$48,Sheet1!$N$60,Sheet1!$N$72,Sheet1!$N$85)</c:f>
            </c:numRef>
          </c:val>
          <c:extLst>
            <c:ext xmlns:c16="http://schemas.microsoft.com/office/drawing/2014/chart" uri="{C3380CC4-5D6E-409C-BE32-E72D297353CC}">
              <c16:uniqueId val="{0000000C-D5D1-454F-B9FE-A93C54ED20E3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(Sheet1!$O$12,Sheet1!$O$24,Sheet1!$O$36,Sheet1!$O$48,Sheet1!$O$60,Sheet1!$O$72,Sheet1!$O$85)</c:f>
            </c:numRef>
          </c:val>
          <c:extLst>
            <c:ext xmlns:c16="http://schemas.microsoft.com/office/drawing/2014/chart" uri="{C3380CC4-5D6E-409C-BE32-E72D297353CC}">
              <c16:uniqueId val="{0000000D-D5D1-454F-B9FE-A93C54ED20E3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(Sheet1!$P$12,Sheet1!$P$24,Sheet1!$P$36,Sheet1!$P$48,Sheet1!$P$60,Sheet1!$P$72,Sheet1!$P$85)</c:f>
            </c:numRef>
          </c:val>
          <c:extLst>
            <c:ext xmlns:c16="http://schemas.microsoft.com/office/drawing/2014/chart" uri="{C3380CC4-5D6E-409C-BE32-E72D297353CC}">
              <c16:uniqueId val="{0000000E-D5D1-454F-B9FE-A93C54ED20E3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(Sheet1!$Q$12,Sheet1!$Q$24,Sheet1!$Q$36,Sheet1!$Q$48,Sheet1!$Q$60,Sheet1!$Q$72,Sheet1!$Q$85)</c:f>
            </c:numRef>
          </c:val>
          <c:extLst>
            <c:ext xmlns:c16="http://schemas.microsoft.com/office/drawing/2014/chart" uri="{C3380CC4-5D6E-409C-BE32-E72D297353CC}">
              <c16:uniqueId val="{0000000F-D5D1-454F-B9FE-A93C54ED20E3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(Sheet1!$R$12,Sheet1!$R$24,Sheet1!$R$36,Sheet1!$R$48,Sheet1!$R$60,Sheet1!$R$72,Sheet1!$R$85)</c:f>
            </c:numRef>
          </c:val>
          <c:extLst>
            <c:ext xmlns:c16="http://schemas.microsoft.com/office/drawing/2014/chart" uri="{C3380CC4-5D6E-409C-BE32-E72D297353CC}">
              <c16:uniqueId val="{00000010-D5D1-454F-B9FE-A93C54ED20E3}"/>
            </c:ext>
          </c:extLst>
        </c:ser>
        <c:ser>
          <c:idx val="17"/>
          <c:order val="17"/>
          <c:tx>
            <c:strRef>
              <c:f>Sheet1!$S$14</c:f>
              <c:strCache>
                <c:ptCount val="1"/>
                <c:pt idx="0">
                  <c:v>MACL_PRE 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(Sheet1!$S$12,Sheet1!$S$24,Sheet1!$S$36,Sheet1!$S$48,Sheet1!$S$60,Sheet1!$S$72,Sheet1!$S$85)</c:f>
              <c:numCache>
                <c:formatCode>0</c:formatCode>
                <c:ptCount val="7"/>
                <c:pt idx="0">
                  <c:v>21676040</c:v>
                </c:pt>
                <c:pt idx="1">
                  <c:v>57802770</c:v>
                </c:pt>
                <c:pt idx="2">
                  <c:v>57802740</c:v>
                </c:pt>
                <c:pt idx="3">
                  <c:v>57802768</c:v>
                </c:pt>
                <c:pt idx="4">
                  <c:v>28901392</c:v>
                </c:pt>
                <c:pt idx="5">
                  <c:v>14450696</c:v>
                </c:pt>
                <c:pt idx="6">
                  <c:v>1605632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5D1-454F-B9FE-A93C54ED20E3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(Sheet1!$T$12,Sheet1!$T$24,Sheet1!$T$36,Sheet1!$T$48,Sheet1!$T$60,Sheet1!$T$72,Sheet1!$T$85)</c:f>
            </c:numRef>
          </c:val>
          <c:extLst>
            <c:ext xmlns:c16="http://schemas.microsoft.com/office/drawing/2014/chart" uri="{C3380CC4-5D6E-409C-BE32-E72D297353CC}">
              <c16:uniqueId val="{00000012-D5D1-454F-B9FE-A93C54ED20E3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(Sheet1!$U$12,Sheet1!$U$24,Sheet1!$U$36,Sheet1!$U$48,Sheet1!$U$60,Sheet1!$U$72,Sheet1!$U$85)</c:f>
            </c:numRef>
          </c:val>
          <c:extLst>
            <c:ext xmlns:c16="http://schemas.microsoft.com/office/drawing/2014/chart" uri="{C3380CC4-5D6E-409C-BE32-E72D297353CC}">
              <c16:uniqueId val="{00000013-D5D1-454F-B9FE-A93C54ED20E3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(Sheet1!$V$12,Sheet1!$V$24,Sheet1!$V$36,Sheet1!$V$48,Sheet1!$V$60,Sheet1!$V$72,Sheet1!$V$85)</c:f>
            </c:numRef>
          </c:val>
          <c:extLst>
            <c:ext xmlns:c16="http://schemas.microsoft.com/office/drawing/2014/chart" uri="{C3380CC4-5D6E-409C-BE32-E72D297353CC}">
              <c16:uniqueId val="{00000014-D5D1-454F-B9FE-A93C54ED20E3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(Sheet1!$W$12,Sheet1!$W$24,Sheet1!$W$36,Sheet1!$W$48,Sheet1!$W$60,Sheet1!$W$72,Sheet1!$W$85)</c:f>
            </c:numRef>
          </c:val>
          <c:extLst>
            <c:ext xmlns:c16="http://schemas.microsoft.com/office/drawing/2014/chart" uri="{C3380CC4-5D6E-409C-BE32-E72D297353CC}">
              <c16:uniqueId val="{00000015-D5D1-454F-B9FE-A93C54ED20E3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(Sheet1!$X$12,Sheet1!$X$24,Sheet1!$X$36,Sheet1!$X$48,Sheet1!$X$60,Sheet1!$X$72,Sheet1!$X$85)</c:f>
            </c:numRef>
          </c:val>
          <c:extLst>
            <c:ext xmlns:c16="http://schemas.microsoft.com/office/drawing/2014/chart" uri="{C3380CC4-5D6E-409C-BE32-E72D297353CC}">
              <c16:uniqueId val="{00000016-D5D1-454F-B9FE-A93C54ED20E3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(Sheet1!$Y$12,Sheet1!$Y$24,Sheet1!$Y$36,Sheet1!$Y$48,Sheet1!$Y$60,Sheet1!$Y$72,Sheet1!$Y$85)</c:f>
            </c:numRef>
          </c:val>
          <c:extLst>
            <c:ext xmlns:c16="http://schemas.microsoft.com/office/drawing/2014/chart" uri="{C3380CC4-5D6E-409C-BE32-E72D297353CC}">
              <c16:uniqueId val="{00000017-D5D1-454F-B9FE-A93C54ED20E3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(Sheet1!$Z$12,Sheet1!$Z$24,Sheet1!$Z$36,Sheet1!$Z$48,Sheet1!$Z$60,Sheet1!$Z$72,Sheet1!$Z$85)</c:f>
            </c:numRef>
          </c:val>
          <c:extLst>
            <c:ext xmlns:c16="http://schemas.microsoft.com/office/drawing/2014/chart" uri="{C3380CC4-5D6E-409C-BE32-E72D297353CC}">
              <c16:uniqueId val="{00000018-D5D1-454F-B9FE-A93C54ED20E3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(Sheet1!$AA$12,Sheet1!$AA$24,Sheet1!$AA$36,Sheet1!$AA$48,Sheet1!$AA$60,Sheet1!$AA$72,Sheet1!$AA$85)</c:f>
            </c:numRef>
          </c:val>
          <c:extLst>
            <c:ext xmlns:c16="http://schemas.microsoft.com/office/drawing/2014/chart" uri="{C3380CC4-5D6E-409C-BE32-E72D297353CC}">
              <c16:uniqueId val="{00000019-D5D1-454F-B9FE-A93C54ED20E3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(Sheet1!$AB$12,Sheet1!$AB$24,Sheet1!$AB$36,Sheet1!$AB$48,Sheet1!$AB$60,Sheet1!$AB$72,Sheet1!$AB$85)</c:f>
            </c:numRef>
          </c:val>
          <c:extLst>
            <c:ext xmlns:c16="http://schemas.microsoft.com/office/drawing/2014/chart" uri="{C3380CC4-5D6E-409C-BE32-E72D297353CC}">
              <c16:uniqueId val="{0000001A-D5D1-454F-B9FE-A93C54ED20E3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(Sheet1!$AC$12,Sheet1!$AC$24,Sheet1!$AC$36,Sheet1!$AC$48,Sheet1!$AC$60,Sheet1!$AC$72,Sheet1!$AC$85)</c:f>
            </c:numRef>
          </c:val>
          <c:extLst>
            <c:ext xmlns:c16="http://schemas.microsoft.com/office/drawing/2014/chart" uri="{C3380CC4-5D6E-409C-BE32-E72D297353CC}">
              <c16:uniqueId val="{0000001B-D5D1-454F-B9FE-A93C54ED20E3}"/>
            </c:ext>
          </c:extLst>
        </c:ser>
        <c:ser>
          <c:idx val="28"/>
          <c:order val="28"/>
          <c:tx>
            <c:strRef>
              <c:f>Sheet1!$AD$14</c:f>
              <c:strCache>
                <c:ptCount val="1"/>
                <c:pt idx="0">
                  <c:v>SHIFT_AR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(Sheet1!$AD$12,Sheet1!$AD$24,Sheet1!$AD$36,Sheet1!$AD$48,Sheet1!$AD$60,Sheet1!$AD$72,Sheet1!$AD$85)</c:f>
              <c:numCache>
                <c:formatCode>0</c:formatCode>
                <c:ptCount val="7"/>
                <c:pt idx="0">
                  <c:v>1003520</c:v>
                </c:pt>
                <c:pt idx="1">
                  <c:v>501760</c:v>
                </c:pt>
                <c:pt idx="2">
                  <c:v>250880</c:v>
                </c:pt>
                <c:pt idx="3">
                  <c:v>125440</c:v>
                </c:pt>
                <c:pt idx="4">
                  <c:v>31360</c:v>
                </c:pt>
                <c:pt idx="5">
                  <c:v>25088</c:v>
                </c:pt>
                <c:pt idx="6">
                  <c:v>12544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5D1-454F-B9FE-A93C54ED20E3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(Sheet1!$AE$12,Sheet1!$AE$24,Sheet1!$AE$36,Sheet1!$AE$48,Sheet1!$AE$60,Sheet1!$AE$72,Sheet1!$AE$85)</c:f>
            </c:numRef>
          </c:val>
          <c:extLst>
            <c:ext xmlns:c16="http://schemas.microsoft.com/office/drawing/2014/chart" uri="{C3380CC4-5D6E-409C-BE32-E72D297353CC}">
              <c16:uniqueId val="{0000001D-D5D1-454F-B9FE-A93C54ED20E3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(Sheet1!$AF$12,Sheet1!$AF$24,Sheet1!$AF$36,Sheet1!$AF$48,Sheet1!$AF$60,Sheet1!$AF$72,Sheet1!$AF$85)</c:f>
            </c:numRef>
          </c:val>
          <c:extLst>
            <c:ext xmlns:c16="http://schemas.microsoft.com/office/drawing/2014/chart" uri="{C3380CC4-5D6E-409C-BE32-E72D297353CC}">
              <c16:uniqueId val="{0000001E-D5D1-454F-B9FE-A93C54ED20E3}"/>
            </c:ext>
          </c:extLst>
        </c:ser>
        <c:ser>
          <c:idx val="31"/>
          <c:order val="31"/>
          <c:tx>
            <c:strRef>
              <c:f>Sheet1!$AG$14</c:f>
              <c:strCache>
                <c:ptCount val="1"/>
                <c:pt idx="0">
                  <c:v>MIN      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(Sheet1!$AG$12,Sheet1!$AG$24,Sheet1!$AG$36,Sheet1!$AG$48,Sheet1!$AG$60,Sheet1!$AG$72,Sheet1!$AG$85)</c:f>
              <c:numCache>
                <c:formatCode>0</c:formatCode>
                <c:ptCount val="7"/>
                <c:pt idx="0">
                  <c:v>200704</c:v>
                </c:pt>
                <c:pt idx="1">
                  <c:v>100352</c:v>
                </c:pt>
                <c:pt idx="2">
                  <c:v>50176</c:v>
                </c:pt>
                <c:pt idx="3">
                  <c:v>25088</c:v>
                </c:pt>
                <c:pt idx="4">
                  <c:v>6272</c:v>
                </c:pt>
                <c:pt idx="5">
                  <c:v>12544</c:v>
                </c:pt>
                <c:pt idx="6">
                  <c:v>6272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5D1-454F-B9FE-A93C54ED20E3}"/>
            </c:ext>
          </c:extLst>
        </c:ser>
        <c:ser>
          <c:idx val="32"/>
          <c:order val="32"/>
          <c:tx>
            <c:strRef>
              <c:f>Sheet1!$AH$14</c:f>
              <c:strCache>
                <c:ptCount val="1"/>
                <c:pt idx="0">
                  <c:v>MAX      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(Sheet1!$A$1,Sheet1!$A$13,Sheet1!$A$25,Sheet1!$A$37,Sheet1!$A$49,Sheet1!$A$61,Sheet1!$A$74)</c:f>
              <c:strCache>
                <c:ptCount val="7"/>
                <c:pt idx="0">
                  <c:v>Layer0</c:v>
                </c:pt>
                <c:pt idx="1">
                  <c:v>Layer 1</c:v>
                </c:pt>
                <c:pt idx="2">
                  <c:v>Layer 2</c:v>
                </c:pt>
                <c:pt idx="3">
                  <c:v>Layer 3</c:v>
                </c:pt>
                <c:pt idx="4">
                  <c:v>Layer 4</c:v>
                </c:pt>
                <c:pt idx="5">
                  <c:v>Layer 5</c:v>
                </c:pt>
                <c:pt idx="6">
                  <c:v>Layer 6</c:v>
                </c:pt>
              </c:strCache>
            </c:strRef>
          </c:cat>
          <c:val>
            <c:numRef>
              <c:f>(Sheet1!$AH$12,Sheet1!$AH$24,Sheet1!$AH$36,Sheet1!$AH$48,Sheet1!$AH$60,Sheet1!$AH$72,Sheet1!$AH$85)</c:f>
              <c:numCache>
                <c:formatCode>0</c:formatCode>
                <c:ptCount val="7"/>
                <c:pt idx="0">
                  <c:v>888832</c:v>
                </c:pt>
                <c:pt idx="1">
                  <c:v>444416</c:v>
                </c:pt>
                <c:pt idx="2">
                  <c:v>222208</c:v>
                </c:pt>
                <c:pt idx="3">
                  <c:v>111104</c:v>
                </c:pt>
                <c:pt idx="4">
                  <c:v>27776</c:v>
                </c:pt>
                <c:pt idx="5">
                  <c:v>12544</c:v>
                </c:pt>
                <c:pt idx="6">
                  <c:v>6272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5D1-454F-B9FE-A93C54ED2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5238127"/>
        <c:axId val="2035238543"/>
      </c:barChart>
      <c:catAx>
        <c:axId val="203523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5238543"/>
        <c:crosses val="autoZero"/>
        <c:auto val="1"/>
        <c:lblAlgn val="ctr"/>
        <c:lblOffset val="100"/>
        <c:noMultiLvlLbl val="0"/>
      </c:catAx>
      <c:valAx>
        <c:axId val="203523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523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1"/>
          <c:tx>
            <c:v>Chain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Sheet1!$BE$6:$BE$12</c:f>
              <c:numCache>
                <c:formatCode>General</c:formatCode>
                <c:ptCount val="7"/>
                <c:pt idx="0">
                  <c:v>483324.51161768002</c:v>
                </c:pt>
                <c:pt idx="1">
                  <c:v>1094845.0515441711</c:v>
                </c:pt>
                <c:pt idx="2">
                  <c:v>1070653.8866180023</c:v>
                </c:pt>
                <c:pt idx="3">
                  <c:v>1085181.0552463459</c:v>
                </c:pt>
                <c:pt idx="4">
                  <c:v>683532.89943609107</c:v>
                </c:pt>
                <c:pt idx="5">
                  <c:v>507500.0894530458</c:v>
                </c:pt>
                <c:pt idx="6">
                  <c:v>209030.68121287727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5-4ED5-94E6-F78A2482AC04}"/>
            </c:ext>
          </c:extLst>
        </c:ser>
        <c:ser>
          <c:idx val="1"/>
          <c:order val="2"/>
          <c:tx>
            <c:v>No Chain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Sheet1!$BF$6:$BF$12</c:f>
              <c:numCache>
                <c:formatCode>General</c:formatCode>
                <c:ptCount val="7"/>
                <c:pt idx="0">
                  <c:v>12803.488382319965</c:v>
                </c:pt>
                <c:pt idx="1">
                  <c:v>29002.948455828995</c:v>
                </c:pt>
                <c:pt idx="2">
                  <c:v>28362.113381997708</c:v>
                </c:pt>
                <c:pt idx="3">
                  <c:v>28746.944753654123</c:v>
                </c:pt>
                <c:pt idx="4">
                  <c:v>18107.100563908869</c:v>
                </c:pt>
                <c:pt idx="5">
                  <c:v>13443.910546954197</c:v>
                </c:pt>
                <c:pt idx="6">
                  <c:v>5537.3187871227392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5-4ED5-94E6-F78A2482A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0143471"/>
        <c:axId val="4301401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Sheet1!$BD$6:$BD$12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496128</c:v>
                      </c:pt>
                      <c:pt idx="1">
                        <c:v>1123848</c:v>
                      </c:pt>
                      <c:pt idx="2">
                        <c:v>1099016</c:v>
                      </c:pt>
                      <c:pt idx="3">
                        <c:v>1113928</c:v>
                      </c:pt>
                      <c:pt idx="4">
                        <c:v>701640</c:v>
                      </c:pt>
                      <c:pt idx="5">
                        <c:v>520944</c:v>
                      </c:pt>
                      <c:pt idx="6">
                        <c:v>214568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241-449D-8324-434E7CB5CC22}"/>
                  </c:ext>
                </c:extLst>
              </c15:ser>
            </c15:filteredBarSeries>
          </c:ext>
        </c:extLst>
      </c:barChart>
      <c:catAx>
        <c:axId val="43014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Layer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140143"/>
        <c:crosses val="autoZero"/>
        <c:auto val="1"/>
        <c:lblAlgn val="ctr"/>
        <c:lblOffset val="100"/>
        <c:noMultiLvlLbl val="0"/>
      </c:catAx>
      <c:valAx>
        <c:axId val="4301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Executed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&quot; 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143471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238125</xdr:colOff>
      <xdr:row>19</xdr:row>
      <xdr:rowOff>104775</xdr:rowOff>
    </xdr:from>
    <xdr:to>
      <xdr:col>52</xdr:col>
      <xdr:colOff>542925</xdr:colOff>
      <xdr:row>35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228600</xdr:colOff>
      <xdr:row>0</xdr:row>
      <xdr:rowOff>171450</xdr:rowOff>
    </xdr:from>
    <xdr:to>
      <xdr:col>52</xdr:col>
      <xdr:colOff>533400</xdr:colOff>
      <xdr:row>19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AR12" totalsRowCount="1" headerRowDxfId="594">
  <autoFilter ref="A2:AR11"/>
  <tableColumns count="44">
    <tableColumn id="1" name="Step" totalsRowLabel="Total"/>
    <tableColumn id="2" name="NONE     " totalsRowFunction="sum" dataDxfId="593" totalsRowDxfId="41"/>
    <tableColumn id="3" name="LOAD     " totalsRowFunction="sum" dataDxfId="592" totalsRowDxfId="40"/>
    <tableColumn id="4" name="LOADB    " totalsRowFunction="sum" dataDxfId="591" totalsRowDxfId="39"/>
    <tableColumn id="5" name="LOADS    " totalsRowFunction="sum" dataDxfId="590" totalsRowDxfId="38"/>
    <tableColumn id="6" name="LOADBS   " totalsRowFunction="sum" dataDxfId="589" totalsRowDxfId="37"/>
    <tableColumn id="7" name="STORE    " totalsRowFunction="sum" dataDxfId="588" totalsRowDxfId="36"/>
    <tableColumn id="8" name="LOOP_STRT" totalsRowFunction="sum" dataDxfId="587" totalsRowDxfId="35"/>
    <tableColumn id="9" name="LOOP_END " totalsRowFunction="sum" dataDxfId="586" totalsRowDxfId="34"/>
    <tableColumn id="10" name="LOOP_MASK" totalsRowFunction="sum" dataDxfId="585" totalsRowDxfId="33"/>
    <tableColumn id="11" name="ADD      " totalsRowFunction="sum" dataDxfId="584" totalsRowDxfId="32"/>
    <tableColumn id="12" name="SUB      " totalsRowFunction="sum" dataDxfId="583" totalsRowDxfId="31"/>
    <tableColumn id="13" name="MULL     " totalsRowFunction="sum" dataDxfId="582" totalsRowDxfId="30"/>
    <tableColumn id="14" name="MULH     " totalsRowFunction="sum" dataDxfId="581" totalsRowDxfId="29"/>
    <tableColumn id="15" name="MACL     " totalsRowFunction="sum" dataDxfId="580" totalsRowDxfId="28"/>
    <tableColumn id="16" name="DIVL     " totalsRowFunction="sum" dataDxfId="579" totalsRowDxfId="27"/>
    <tableColumn id="17" name="DIVH     " totalsRowFunction="sum" dataDxfId="578" totalsRowDxfId="26"/>
    <tableColumn id="18" name="MACH     " totalsRowFunction="sum" dataDxfId="577" totalsRowDxfId="25"/>
    <tableColumn id="19" name="MACL_PRE " totalsRowFunction="sum" dataDxfId="576" totalsRowDxfId="24"/>
    <tableColumn id="20" name="MACH_PRE " totalsRowFunction="sum" dataDxfId="575" totalsRowDxfId="23"/>
    <tableColumn id="21" name="XOR      " totalsRowFunction="sum" dataDxfId="574" totalsRowDxfId="22"/>
    <tableColumn id="22" name="XNOR     " totalsRowFunction="sum" dataDxfId="573" totalsRowDxfId="21"/>
    <tableColumn id="23" name="AND      " totalsRowFunction="sum" dataDxfId="572" totalsRowDxfId="20"/>
    <tableColumn id="24" name="ANDN     " totalsRowFunction="sum" dataDxfId="571" totalsRowDxfId="19"/>
    <tableColumn id="25" name="NAND     " totalsRowFunction="sum" dataDxfId="570" totalsRowDxfId="18"/>
    <tableColumn id="26" name="OR       " totalsRowFunction="sum" dataDxfId="569" totalsRowDxfId="17"/>
    <tableColumn id="27" name="ORN      " totalsRowFunction="sum" dataDxfId="568" totalsRowDxfId="16"/>
    <tableColumn id="28" name="NOR      " totalsRowFunction="sum" dataDxfId="567" totalsRowDxfId="15"/>
    <tableColumn id="29" name="SHIFT_LR " totalsRowFunction="sum" dataDxfId="566" totalsRowDxfId="14"/>
    <tableColumn id="30" name="SHIFT_AR " totalsRowFunction="sum" dataDxfId="565" totalsRowDxfId="13"/>
    <tableColumn id="31" name="SHIFT_LL " totalsRowFunction="sum" dataDxfId="564" totalsRowDxfId="12"/>
    <tableColumn id="32" name="ABS      " totalsRowFunction="sum" dataDxfId="563" totalsRowDxfId="11"/>
    <tableColumn id="33" name="MIN      " totalsRowFunction="sum" dataDxfId="562" totalsRowDxfId="10"/>
    <tableColumn id="34" name="MAX      " totalsRowFunction="sum" dataDxfId="561" totalsRowDxfId="9"/>
    <tableColumn id="35" name="MV_ZE    " totalsRowFunction="sum" dataDxfId="560" totalsRowDxfId="8"/>
    <tableColumn id="36" name="MV_NZ    " totalsRowFunction="sum" dataDxfId="559" totalsRowDxfId="7"/>
    <tableColumn id="37" name="MV_MI    " totalsRowFunction="sum" dataDxfId="558" totalsRowDxfId="6"/>
    <tableColumn id="38" name="MV_PL    " totalsRowFunction="sum" dataDxfId="557" totalsRowDxfId="5"/>
    <tableColumn id="39" name="NOP      " totalsRowFunction="sum" dataDxfId="556" totalsRowDxfId="4"/>
    <tableColumn id="40" name="WAIT_BUSY" totalsRowFunction="sum" dataDxfId="555" totalsRowDxfId="3"/>
    <tableColumn id="41" name="PIPELN_W8" totalsRowFunction="sum" dataDxfId="554" totalsRowDxfId="2"/>
    <tableColumn id="42" name="IDMASK_GLOBAL: 4294967295" totalsRowFunction="sum" dataDxfId="553" totalsRowDxfId="1"/>
    <tableColumn id="43" name="Cycle Sum" totalsRowFunction="sum" dataDxfId="552" totalsRowDxfId="0">
      <calculatedColumnFormula>SUM(Table1[[#This Row],[NONE     ]:[MAX      ]])</calculatedColumnFormula>
    </tableColumn>
    <tableColumn id="44" name="padding" dataDxfId="551" dataCellStyle="Percent">
      <calculatedColumnFormula>Table1[[#This Row],[Cycle Sum]]/Table1[[#Totals],[Cycle Sum]]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4:AR24" totalsRowCount="1" headerRowDxfId="550">
  <autoFilter ref="A14:AR23"/>
  <tableColumns count="44">
    <tableColumn id="1" name="Step" totalsRowLabel="Total"/>
    <tableColumn id="2" name="NONE     " totalsRowFunction="sum" dataDxfId="549" totalsRowDxfId="548"/>
    <tableColumn id="3" name="LOAD     " totalsRowFunction="sum" dataDxfId="547" totalsRowDxfId="546"/>
    <tableColumn id="4" name="LOADB    " totalsRowFunction="sum" dataDxfId="545" totalsRowDxfId="544"/>
    <tableColumn id="5" name="LOADS    " totalsRowFunction="sum" dataDxfId="543" totalsRowDxfId="542"/>
    <tableColumn id="6" name="LOADBS   " totalsRowFunction="sum" dataDxfId="541" totalsRowDxfId="540"/>
    <tableColumn id="7" name="STORE    " totalsRowFunction="sum" dataDxfId="539" totalsRowDxfId="538"/>
    <tableColumn id="8" name="LOOP_STRT" totalsRowFunction="sum" dataDxfId="537" totalsRowDxfId="536"/>
    <tableColumn id="9" name="LOOP_END " totalsRowFunction="sum" dataDxfId="535" totalsRowDxfId="534"/>
    <tableColumn id="10" name="LOOP_MASK" totalsRowFunction="sum" dataDxfId="533" totalsRowDxfId="532"/>
    <tableColumn id="11" name="ADD      " totalsRowFunction="sum" dataDxfId="531" totalsRowDxfId="530"/>
    <tableColumn id="12" name="SUB      " totalsRowFunction="sum" dataDxfId="529" totalsRowDxfId="528"/>
    <tableColumn id="13" name="MULL     " totalsRowFunction="sum" dataDxfId="527" totalsRowDxfId="526"/>
    <tableColumn id="14" name="MULH     " totalsRowFunction="sum" dataDxfId="525" totalsRowDxfId="524"/>
    <tableColumn id="15" name="MACL     " totalsRowFunction="sum" dataDxfId="523" totalsRowDxfId="522"/>
    <tableColumn id="16" name="DIVL     " totalsRowFunction="sum" dataDxfId="521" totalsRowDxfId="520"/>
    <tableColumn id="17" name="DIVH     " totalsRowFunction="sum" dataDxfId="519" totalsRowDxfId="518"/>
    <tableColumn id="18" name="MACH     " totalsRowFunction="sum" dataDxfId="517" totalsRowDxfId="516"/>
    <tableColumn id="19" name="MACL_PRE " totalsRowFunction="sum" dataDxfId="515" totalsRowDxfId="514"/>
    <tableColumn id="20" name="MACH_PRE " totalsRowFunction="sum" dataDxfId="513" totalsRowDxfId="512"/>
    <tableColumn id="21" name="XOR      " totalsRowFunction="sum" dataDxfId="511" totalsRowDxfId="510"/>
    <tableColumn id="22" name="XNOR     " totalsRowFunction="sum" dataDxfId="509" totalsRowDxfId="508"/>
    <tableColumn id="23" name="AND      " totalsRowFunction="sum" dataDxfId="507" totalsRowDxfId="506"/>
    <tableColumn id="24" name="ANDN     " totalsRowFunction="sum" dataDxfId="505" totalsRowDxfId="504"/>
    <tableColumn id="25" name="NAND     " totalsRowFunction="sum" dataDxfId="503" totalsRowDxfId="502"/>
    <tableColumn id="26" name="OR       " totalsRowFunction="sum" dataDxfId="501" totalsRowDxfId="500"/>
    <tableColumn id="27" name="ORN      " totalsRowFunction="sum" dataDxfId="499" totalsRowDxfId="498"/>
    <tableColumn id="28" name="NOR      " totalsRowFunction="sum" dataDxfId="497" totalsRowDxfId="496"/>
    <tableColumn id="29" name="SHIFT_LR " totalsRowFunction="sum" dataDxfId="495" totalsRowDxfId="494"/>
    <tableColumn id="30" name="SHIFT_AR " totalsRowFunction="sum" dataDxfId="493" totalsRowDxfId="492"/>
    <tableColumn id="31" name="SHIFT_LL " totalsRowFunction="sum" dataDxfId="491" totalsRowDxfId="490"/>
    <tableColumn id="32" name="ABS      " totalsRowFunction="sum" dataDxfId="489" totalsRowDxfId="488"/>
    <tableColumn id="33" name="MIN      " totalsRowFunction="sum" dataDxfId="487" totalsRowDxfId="486"/>
    <tableColumn id="34" name="MAX      " totalsRowFunction="sum" dataDxfId="485" totalsRowDxfId="484"/>
    <tableColumn id="35" name="MV_ZE    " totalsRowFunction="sum" dataDxfId="483" totalsRowDxfId="482"/>
    <tableColumn id="36" name="MV_NZ    " totalsRowFunction="sum" dataDxfId="481" totalsRowDxfId="480"/>
    <tableColumn id="37" name="MV_MI    " totalsRowFunction="sum" dataDxfId="479" totalsRowDxfId="478"/>
    <tableColumn id="38" name="MV_PL    " totalsRowFunction="sum" dataDxfId="477" totalsRowDxfId="476"/>
    <tableColumn id="39" name="NOP      " totalsRowFunction="sum" dataDxfId="475" totalsRowDxfId="474"/>
    <tableColumn id="40" name="WAIT_BUSY" totalsRowFunction="sum" dataDxfId="473" totalsRowDxfId="472"/>
    <tableColumn id="41" name="PIPELN_W8" totalsRowFunction="sum" dataDxfId="471" totalsRowDxfId="470"/>
    <tableColumn id="42" name="IDMASK_GLOBAL: 4294967295" totalsRowFunction="sum" dataDxfId="469" totalsRowDxfId="468"/>
    <tableColumn id="43" name="Cycle Sum" totalsRowFunction="sum" dataDxfId="467" totalsRowDxfId="466">
      <calculatedColumnFormula>SUM(Table2[[#This Row],[NONE     ]:[MAX      ]])</calculatedColumnFormula>
    </tableColumn>
    <tableColumn id="44" name="Column1" dataDxfId="465" totalsRowDxfId="464">
      <calculatedColumnFormula>Table2[[#This Row],[Cycle Sum]]/Table2[[#Totals],[Cycle Sum]]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75:AR85" totalsRowCount="1" headerRowDxfId="463">
  <autoFilter ref="A75:AR84"/>
  <tableColumns count="44">
    <tableColumn id="1" name="Step" totalsRowLabel="Total"/>
    <tableColumn id="2" name="NONE     " totalsRowFunction="sum" dataDxfId="462" totalsRowDxfId="461"/>
    <tableColumn id="3" name="LOAD     " totalsRowFunction="sum" dataDxfId="460" totalsRowDxfId="459"/>
    <tableColumn id="4" name="LOADB    " totalsRowFunction="sum" dataDxfId="458" totalsRowDxfId="457"/>
    <tableColumn id="5" name="LOADS    " totalsRowFunction="sum" dataDxfId="456" totalsRowDxfId="455"/>
    <tableColumn id="6" name="LOADBS   " totalsRowFunction="sum" dataDxfId="454" totalsRowDxfId="453"/>
    <tableColumn id="7" name="STORE    " totalsRowFunction="sum" dataDxfId="452" totalsRowDxfId="451"/>
    <tableColumn id="8" name="LOOP_STRT" totalsRowFunction="sum" dataDxfId="450" totalsRowDxfId="449"/>
    <tableColumn id="9" name="LOOP_END " totalsRowFunction="sum" dataDxfId="448" totalsRowDxfId="447"/>
    <tableColumn id="10" name="LOOP_MASK" totalsRowFunction="sum" dataDxfId="446" totalsRowDxfId="445"/>
    <tableColumn id="11" name="ADD      " totalsRowFunction="sum" dataDxfId="444" totalsRowDxfId="443"/>
    <tableColumn id="12" name="SUB      " totalsRowFunction="sum" dataDxfId="442" totalsRowDxfId="441"/>
    <tableColumn id="13" name="MULL     " totalsRowFunction="sum" dataDxfId="440" totalsRowDxfId="439"/>
    <tableColumn id="14" name="MULH     " totalsRowFunction="sum" dataDxfId="438" totalsRowDxfId="437"/>
    <tableColumn id="15" name="MACL     " totalsRowFunction="sum" dataDxfId="436" totalsRowDxfId="435"/>
    <tableColumn id="16" name="DIVL     " totalsRowFunction="sum" dataDxfId="434" totalsRowDxfId="433"/>
    <tableColumn id="17" name="DIVH     " totalsRowFunction="sum" dataDxfId="432" totalsRowDxfId="431"/>
    <tableColumn id="18" name="MACH     " totalsRowFunction="sum" dataDxfId="430" totalsRowDxfId="429"/>
    <tableColumn id="19" name="MACL_PRE " totalsRowFunction="sum" dataDxfId="428" totalsRowDxfId="427"/>
    <tableColumn id="20" name="MACH_PRE " totalsRowFunction="sum" dataDxfId="426" totalsRowDxfId="425"/>
    <tableColumn id="21" name="XOR      " totalsRowFunction="sum" dataDxfId="424" totalsRowDxfId="423"/>
    <tableColumn id="22" name="XNOR     " totalsRowFunction="sum" dataDxfId="422" totalsRowDxfId="421"/>
    <tableColumn id="23" name="AND      " totalsRowFunction="sum" dataDxfId="420" totalsRowDxfId="419"/>
    <tableColumn id="24" name="ANDN     " totalsRowFunction="sum" dataDxfId="418" totalsRowDxfId="417"/>
    <tableColumn id="25" name="NAND     " totalsRowFunction="sum" dataDxfId="416" totalsRowDxfId="415"/>
    <tableColumn id="26" name="OR       " totalsRowFunction="sum" dataDxfId="414" totalsRowDxfId="413"/>
    <tableColumn id="27" name="ORN      " totalsRowFunction="sum" dataDxfId="412" totalsRowDxfId="411"/>
    <tableColumn id="28" name="NOR      " totalsRowFunction="sum" dataDxfId="410" totalsRowDxfId="409"/>
    <tableColumn id="29" name="SHIFT_LR " totalsRowFunction="sum" dataDxfId="408" totalsRowDxfId="407"/>
    <tableColumn id="30" name="SHIFT_AR " totalsRowFunction="sum" dataDxfId="406" totalsRowDxfId="405"/>
    <tableColumn id="31" name="SHIFT_LL " totalsRowFunction="sum" dataDxfId="404" totalsRowDxfId="403"/>
    <tableColumn id="32" name="ABS      " totalsRowFunction="sum" dataDxfId="402" totalsRowDxfId="401"/>
    <tableColumn id="33" name="MIN      " totalsRowFunction="sum" dataDxfId="400" totalsRowDxfId="399"/>
    <tableColumn id="34" name="MAX      " totalsRowFunction="sum" dataDxfId="398" totalsRowDxfId="397"/>
    <tableColumn id="35" name="MV_ZE    " totalsRowFunction="sum" dataDxfId="396" totalsRowDxfId="395"/>
    <tableColumn id="36" name="MV_NZ    " totalsRowFunction="sum" dataDxfId="394" totalsRowDxfId="393"/>
    <tableColumn id="37" name="MV_MI    " totalsRowFunction="sum" dataDxfId="392" totalsRowDxfId="391"/>
    <tableColumn id="38" name="MV_PL    " totalsRowFunction="sum" dataDxfId="390" totalsRowDxfId="389"/>
    <tableColumn id="39" name="NOP      " totalsRowFunction="sum" dataDxfId="388" totalsRowDxfId="387"/>
    <tableColumn id="40" name="WAIT_BUSY" totalsRowFunction="sum" dataDxfId="386" totalsRowDxfId="385"/>
    <tableColumn id="41" name="PIPELN_W8" totalsRowFunction="sum" dataDxfId="384" totalsRowDxfId="383"/>
    <tableColumn id="42" name="IDMASK_GLOBAL: 4294967295" totalsRowFunction="sum" dataDxfId="382" totalsRowDxfId="381"/>
    <tableColumn id="43" name="Cycle Sum" totalsRowFunction="sum" dataDxfId="380" totalsRowDxfId="379">
      <calculatedColumnFormula>SUM(Table3[[#This Row],[NONE     ]:[MAX      ]])</calculatedColumnFormula>
    </tableColumn>
    <tableColumn id="44" name="Column1" dataDxfId="378" dataCellStyle="Percent">
      <calculatedColumnFormula>Table3[[#This Row],[Cycle Sum]]/Table3[[#Totals],[Cycle Sum]]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62:AR72" totalsRowCount="1" headerRowDxfId="377">
  <autoFilter ref="A62:AR71"/>
  <tableColumns count="44">
    <tableColumn id="1" name="Step" totalsRowLabel="Total"/>
    <tableColumn id="2" name="NONE     " totalsRowFunction="sum" dataDxfId="376" totalsRowDxfId="375"/>
    <tableColumn id="3" name="LOAD     " totalsRowFunction="sum" dataDxfId="374" totalsRowDxfId="373"/>
    <tableColumn id="4" name="LOADB    " totalsRowFunction="sum" dataDxfId="372" totalsRowDxfId="371"/>
    <tableColumn id="5" name="LOADS    " totalsRowFunction="sum" dataDxfId="370" totalsRowDxfId="369"/>
    <tableColumn id="6" name="LOADBS   " totalsRowFunction="sum" dataDxfId="368" totalsRowDxfId="367"/>
    <tableColumn id="7" name="STORE    " totalsRowFunction="sum" dataDxfId="366" totalsRowDxfId="365"/>
    <tableColumn id="8" name="LOOP_STRT" totalsRowFunction="sum" dataDxfId="364" totalsRowDxfId="363"/>
    <tableColumn id="9" name="LOOP_END " totalsRowFunction="sum" dataDxfId="362" totalsRowDxfId="361"/>
    <tableColumn id="10" name="LOOP_MASK" totalsRowFunction="sum" dataDxfId="360" totalsRowDxfId="359"/>
    <tableColumn id="11" name="ADD      " totalsRowFunction="sum" dataDxfId="358" totalsRowDxfId="357"/>
    <tableColumn id="12" name="SUB      " totalsRowFunction="sum" dataDxfId="356" totalsRowDxfId="355"/>
    <tableColumn id="13" name="MULL     " totalsRowFunction="sum" dataDxfId="354" totalsRowDxfId="353"/>
    <tableColumn id="14" name="MULH     " totalsRowFunction="sum" dataDxfId="352" totalsRowDxfId="351"/>
    <tableColumn id="15" name="MACL     " totalsRowFunction="sum" dataDxfId="350" totalsRowDxfId="349"/>
    <tableColumn id="16" name="DIVL     " totalsRowFunction="sum" dataDxfId="348" totalsRowDxfId="347"/>
    <tableColumn id="17" name="DIVH     " totalsRowFunction="sum" dataDxfId="346" totalsRowDxfId="345"/>
    <tableColumn id="18" name="MACH     " totalsRowFunction="sum" dataDxfId="344" totalsRowDxfId="343"/>
    <tableColumn id="19" name="MACL_PRE " totalsRowFunction="sum" dataDxfId="342" totalsRowDxfId="341"/>
    <tableColumn id="20" name="MACH_PRE " totalsRowFunction="sum" dataDxfId="340" totalsRowDxfId="339"/>
    <tableColumn id="21" name="XOR      " totalsRowFunction="sum" dataDxfId="338" totalsRowDxfId="337"/>
    <tableColumn id="22" name="XNOR     " totalsRowFunction="sum" dataDxfId="336" totalsRowDxfId="335"/>
    <tableColumn id="23" name="AND      " totalsRowFunction="sum" dataDxfId="334" totalsRowDxfId="333"/>
    <tableColumn id="24" name="ANDN     " totalsRowFunction="sum" dataDxfId="332" totalsRowDxfId="331"/>
    <tableColumn id="25" name="NAND     " totalsRowFunction="sum" dataDxfId="330" totalsRowDxfId="329"/>
    <tableColumn id="26" name="OR       " totalsRowFunction="sum" dataDxfId="328" totalsRowDxfId="327"/>
    <tableColumn id="27" name="ORN      " totalsRowFunction="sum" dataDxfId="326" totalsRowDxfId="325"/>
    <tableColumn id="28" name="NOR      " totalsRowFunction="sum" dataDxfId="324" totalsRowDxfId="323"/>
    <tableColumn id="29" name="SHIFT_LR " totalsRowFunction="sum" dataDxfId="322" totalsRowDxfId="321"/>
    <tableColumn id="30" name="SHIFT_AR " totalsRowFunction="sum" dataDxfId="320" totalsRowDxfId="319"/>
    <tableColumn id="31" name="SHIFT_LL " totalsRowFunction="sum" dataDxfId="318" totalsRowDxfId="317"/>
    <tableColumn id="32" name="ABS      " totalsRowFunction="sum" dataDxfId="316" totalsRowDxfId="315"/>
    <tableColumn id="33" name="MIN      " totalsRowFunction="sum" dataDxfId="314" totalsRowDxfId="313"/>
    <tableColumn id="34" name="MAX      " totalsRowFunction="sum" dataDxfId="312" totalsRowDxfId="311"/>
    <tableColumn id="35" name="MV_ZE    " dataDxfId="310"/>
    <tableColumn id="36" name="MV_NZ    " dataDxfId="309"/>
    <tableColumn id="37" name="MV_MI    " dataDxfId="308"/>
    <tableColumn id="38" name="MV_PL    " dataDxfId="307"/>
    <tableColumn id="39" name="NOP      " dataDxfId="306"/>
    <tableColumn id="40" name="WAIT_BUSY" dataDxfId="305"/>
    <tableColumn id="41" name="PIPELN_W8" dataDxfId="304"/>
    <tableColumn id="42" name="IDMASK_GLOBAL: 4294967295" dataDxfId="303"/>
    <tableColumn id="43" name="Cycle Sum" totalsRowFunction="sum" dataDxfId="302" totalsRowDxfId="301">
      <calculatedColumnFormula>SUM(Table4[[#This Row],[NONE     ]:[MAX      ]])</calculatedColumnFormula>
    </tableColumn>
    <tableColumn id="44" name="Column1" dataDxfId="300" dataCellStyle="Percent">
      <calculatedColumnFormula>Table4[[#This Row],[Cycle Sum]]/Table4[[#Totals],[Cycle Sum]]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50:AR60" totalsRowCount="1" headerRowDxfId="299">
  <autoFilter ref="A50:AR59"/>
  <tableColumns count="44">
    <tableColumn id="1" name="Step" totalsRowLabel="Total"/>
    <tableColumn id="2" name="NONE     " totalsRowFunction="sum" dataDxfId="298" totalsRowDxfId="297"/>
    <tableColumn id="3" name="LOAD     " totalsRowFunction="sum" dataDxfId="296" totalsRowDxfId="295"/>
    <tableColumn id="4" name="LOADB    " totalsRowFunction="sum" dataDxfId="294" totalsRowDxfId="293"/>
    <tableColumn id="5" name="LOADS    " totalsRowFunction="sum" dataDxfId="292" totalsRowDxfId="291"/>
    <tableColumn id="6" name="LOADBS   " totalsRowFunction="sum" dataDxfId="290" totalsRowDxfId="289"/>
    <tableColumn id="7" name="STORE    " totalsRowFunction="sum" dataDxfId="288" totalsRowDxfId="287"/>
    <tableColumn id="8" name="LOOP_STRT" totalsRowFunction="sum" dataDxfId="286" totalsRowDxfId="285"/>
    <tableColumn id="9" name="LOOP_END " totalsRowFunction="sum" dataDxfId="284" totalsRowDxfId="283"/>
    <tableColumn id="10" name="LOOP_MASK" totalsRowFunction="sum" dataDxfId="282" totalsRowDxfId="281"/>
    <tableColumn id="11" name="ADD      " totalsRowFunction="sum" dataDxfId="280" totalsRowDxfId="279"/>
    <tableColumn id="12" name="SUB      " totalsRowFunction="sum" dataDxfId="278" totalsRowDxfId="277"/>
    <tableColumn id="13" name="MULL     " totalsRowFunction="sum" dataDxfId="276" totalsRowDxfId="275"/>
    <tableColumn id="14" name="MULH     " totalsRowFunction="sum" dataDxfId="274" totalsRowDxfId="273"/>
    <tableColumn id="15" name="MACL     " totalsRowFunction="sum" dataDxfId="272" totalsRowDxfId="271"/>
    <tableColumn id="16" name="DIVL     " totalsRowFunction="sum" dataDxfId="270" totalsRowDxfId="269"/>
    <tableColumn id="17" name="DIVH     " totalsRowFunction="sum" dataDxfId="268" totalsRowDxfId="267"/>
    <tableColumn id="18" name="MACH     " totalsRowFunction="sum" dataDxfId="266" totalsRowDxfId="265"/>
    <tableColumn id="19" name="MACL_PRE " totalsRowFunction="sum" dataDxfId="264" totalsRowDxfId="263"/>
    <tableColumn id="20" name="MACH_PRE " totalsRowFunction="sum" dataDxfId="262" totalsRowDxfId="261"/>
    <tableColumn id="21" name="XOR      " totalsRowFunction="sum" dataDxfId="260" totalsRowDxfId="259"/>
    <tableColumn id="22" name="XNOR     " totalsRowFunction="sum" dataDxfId="258" totalsRowDxfId="257"/>
    <tableColumn id="23" name="AND      " totalsRowFunction="sum" dataDxfId="256" totalsRowDxfId="255"/>
    <tableColumn id="24" name="ANDN     " totalsRowFunction="sum" dataDxfId="254" totalsRowDxfId="253"/>
    <tableColumn id="25" name="NAND     " totalsRowFunction="sum" dataDxfId="252" totalsRowDxfId="251"/>
    <tableColumn id="26" name="OR       " totalsRowFunction="sum" dataDxfId="250" totalsRowDxfId="249"/>
    <tableColumn id="27" name="ORN      " totalsRowFunction="sum" dataDxfId="248" totalsRowDxfId="247"/>
    <tableColumn id="28" name="NOR      " totalsRowFunction="sum" dataDxfId="246" totalsRowDxfId="245"/>
    <tableColumn id="29" name="SHIFT_LR " totalsRowFunction="sum" dataDxfId="244" totalsRowDxfId="243"/>
    <tableColumn id="30" name="SHIFT_AR " totalsRowFunction="sum" dataDxfId="242" totalsRowDxfId="241"/>
    <tableColumn id="31" name="SHIFT_LL " totalsRowFunction="sum" dataDxfId="240" totalsRowDxfId="239"/>
    <tableColumn id="32" name="ABS      " totalsRowFunction="sum" dataDxfId="238" totalsRowDxfId="237"/>
    <tableColumn id="33" name="MIN      " totalsRowFunction="sum" dataDxfId="236" totalsRowDxfId="235"/>
    <tableColumn id="34" name="MAX      " totalsRowFunction="sum" dataDxfId="234" totalsRowDxfId="233"/>
    <tableColumn id="35" name="MV_ZE    " totalsRowFunction="sum" dataDxfId="232" totalsRowDxfId="231"/>
    <tableColumn id="36" name="MV_NZ    " totalsRowFunction="sum" dataDxfId="230" totalsRowDxfId="229"/>
    <tableColumn id="37" name="MV_MI    " totalsRowFunction="sum" dataDxfId="228" totalsRowDxfId="227"/>
    <tableColumn id="38" name="MV_PL    " totalsRowFunction="sum" dataDxfId="226" totalsRowDxfId="225"/>
    <tableColumn id="39" name="NOP      " totalsRowFunction="sum" dataDxfId="224" totalsRowDxfId="223"/>
    <tableColumn id="40" name="WAIT_BUSY" totalsRowFunction="sum" dataDxfId="222" totalsRowDxfId="221"/>
    <tableColumn id="41" name="PIPELN_W8" totalsRowFunction="sum" dataDxfId="220" totalsRowDxfId="219"/>
    <tableColumn id="42" name="IDMASK_GLOBAL: 4294967295" totalsRowFunction="sum" dataDxfId="218" totalsRowDxfId="217"/>
    <tableColumn id="43" name="Cycle Sum" totalsRowFunction="sum" dataDxfId="216" totalsRowDxfId="215">
      <calculatedColumnFormula>SUM(Table5[[#This Row],[NONE     ]:[MAX      ]])</calculatedColumnFormula>
    </tableColumn>
    <tableColumn id="44" name="Column1" dataDxfId="214" dataCellStyle="Percent">
      <calculatedColumnFormula>Table5[[#This Row],[Cycle Sum]]/Table5[[#Totals],[Cycle Sum]]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38:AR48" totalsRowCount="1" headerRowDxfId="213">
  <autoFilter ref="A38:AR47"/>
  <tableColumns count="44">
    <tableColumn id="1" name="Step" totalsRowLabel="Total"/>
    <tableColumn id="2" name="NONE     " totalsRowFunction="sum" dataDxfId="212" totalsRowDxfId="211"/>
    <tableColumn id="3" name="LOAD     " totalsRowFunction="sum" dataDxfId="210" totalsRowDxfId="209"/>
    <tableColumn id="4" name="LOADB    " totalsRowFunction="sum" dataDxfId="208" totalsRowDxfId="207"/>
    <tableColumn id="5" name="LOADS    " totalsRowFunction="sum" dataDxfId="206" totalsRowDxfId="205"/>
    <tableColumn id="6" name="LOADBS   " totalsRowFunction="sum" dataDxfId="204" totalsRowDxfId="203"/>
    <tableColumn id="7" name="STORE    " totalsRowFunction="sum" dataDxfId="202" totalsRowDxfId="201"/>
    <tableColumn id="8" name="LOOP_STRT" totalsRowFunction="sum" dataDxfId="200" totalsRowDxfId="199"/>
    <tableColumn id="9" name="LOOP_END " totalsRowFunction="sum" dataDxfId="198" totalsRowDxfId="197"/>
    <tableColumn id="10" name="LOOP_MASK" totalsRowFunction="sum" dataDxfId="196" totalsRowDxfId="195"/>
    <tableColumn id="11" name="ADD      " totalsRowFunction="sum" dataDxfId="194" totalsRowDxfId="193"/>
    <tableColumn id="12" name="SUB      " totalsRowFunction="sum" dataDxfId="192" totalsRowDxfId="191"/>
    <tableColumn id="13" name="MULL     " totalsRowFunction="sum" dataDxfId="190" totalsRowDxfId="189"/>
    <tableColumn id="14" name="MULH     " totalsRowFunction="sum" dataDxfId="188" totalsRowDxfId="187"/>
    <tableColumn id="15" name="MACL     " totalsRowFunction="sum" dataDxfId="186" totalsRowDxfId="185"/>
    <tableColumn id="16" name="DIVL     " totalsRowFunction="sum" dataDxfId="184" totalsRowDxfId="183"/>
    <tableColumn id="17" name="DIVH     " totalsRowFunction="sum" dataDxfId="182" totalsRowDxfId="181"/>
    <tableColumn id="18" name="MACH     " totalsRowFunction="sum" dataDxfId="180" totalsRowDxfId="179"/>
    <tableColumn id="19" name="MACL_PRE " totalsRowFunction="sum" dataDxfId="178" totalsRowDxfId="177"/>
    <tableColumn id="20" name="MACH_PRE " totalsRowFunction="sum" dataDxfId="176" totalsRowDxfId="175"/>
    <tableColumn id="21" name="XOR      " totalsRowFunction="sum" dataDxfId="174" totalsRowDxfId="173"/>
    <tableColumn id="22" name="XNOR     " totalsRowFunction="sum" dataDxfId="172" totalsRowDxfId="171"/>
    <tableColumn id="23" name="AND      " totalsRowFunction="sum" dataDxfId="170" totalsRowDxfId="169"/>
    <tableColumn id="24" name="ANDN     " totalsRowFunction="sum" dataDxfId="168" totalsRowDxfId="167"/>
    <tableColumn id="25" name="NAND     " totalsRowFunction="sum" dataDxfId="166" totalsRowDxfId="165"/>
    <tableColumn id="26" name="OR       " totalsRowFunction="sum" dataDxfId="164" totalsRowDxfId="163"/>
    <tableColumn id="27" name="ORN      " totalsRowFunction="sum" dataDxfId="162" totalsRowDxfId="161"/>
    <tableColumn id="28" name="NOR      " totalsRowFunction="sum" dataDxfId="160" totalsRowDxfId="159"/>
    <tableColumn id="29" name="SHIFT_LR " totalsRowFunction="sum" dataDxfId="158" totalsRowDxfId="157"/>
    <tableColumn id="30" name="SHIFT_AR " totalsRowFunction="sum" dataDxfId="156" totalsRowDxfId="155"/>
    <tableColumn id="31" name="SHIFT_LL " totalsRowFunction="sum" dataDxfId="154" totalsRowDxfId="153"/>
    <tableColumn id="32" name="ABS      " totalsRowFunction="sum" dataDxfId="152" totalsRowDxfId="151"/>
    <tableColumn id="33" name="MIN      " totalsRowFunction="sum" dataDxfId="150" totalsRowDxfId="149"/>
    <tableColumn id="34" name="MAX      " totalsRowFunction="sum" dataDxfId="148" totalsRowDxfId="147"/>
    <tableColumn id="35" name="MV_ZE    " totalsRowFunction="sum" dataDxfId="146" totalsRowDxfId="145"/>
    <tableColumn id="36" name="MV_NZ    " totalsRowFunction="sum" dataDxfId="144" totalsRowDxfId="143"/>
    <tableColumn id="37" name="MV_MI    " totalsRowFunction="sum" dataDxfId="142" totalsRowDxfId="141"/>
    <tableColumn id="38" name="MV_PL    " totalsRowFunction="sum" dataDxfId="140" totalsRowDxfId="139"/>
    <tableColumn id="39" name="NOP      " totalsRowFunction="sum" dataDxfId="138" totalsRowDxfId="137"/>
    <tableColumn id="40" name="WAIT_BUSY" totalsRowFunction="sum" dataDxfId="136" totalsRowDxfId="135"/>
    <tableColumn id="41" name="PIPELN_W8" totalsRowFunction="sum" dataDxfId="134" totalsRowDxfId="133"/>
    <tableColumn id="42" name="IDMASK_GLOBAL: 4294967295" totalsRowFunction="sum" dataDxfId="132" totalsRowDxfId="131"/>
    <tableColumn id="43" name="Cycle Sum" totalsRowFunction="sum" dataDxfId="130" totalsRowDxfId="129">
      <calculatedColumnFormula>SUM(Table6[[#This Row],[NONE     ]:[MAX      ]])</calculatedColumnFormula>
    </tableColumn>
    <tableColumn id="44" name="Column1" dataDxfId="128" dataCellStyle="Percent">
      <calculatedColumnFormula>Table6[[#This Row],[Cycle Sum]]/Table6[[#Totals],[Cycle Sum]]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26:AR36" totalsRowCount="1" headerRowDxfId="127">
  <autoFilter ref="A26:AR35"/>
  <tableColumns count="44">
    <tableColumn id="1" name="Step" totalsRowLabel="Total"/>
    <tableColumn id="2" name="NONE     " totalsRowFunction="sum" dataDxfId="126" totalsRowDxfId="125"/>
    <tableColumn id="3" name="LOAD     " totalsRowFunction="sum" dataDxfId="124" totalsRowDxfId="123"/>
    <tableColumn id="4" name="LOADB    " totalsRowFunction="sum" dataDxfId="122" totalsRowDxfId="121"/>
    <tableColumn id="5" name="LOADS    " totalsRowFunction="sum" dataDxfId="120" totalsRowDxfId="119"/>
    <tableColumn id="6" name="LOADBS   " totalsRowFunction="sum" dataDxfId="118" totalsRowDxfId="117"/>
    <tableColumn id="7" name="STORE    " totalsRowFunction="sum" dataDxfId="116" totalsRowDxfId="115"/>
    <tableColumn id="8" name="LOOP_STRT" totalsRowFunction="sum" dataDxfId="114" totalsRowDxfId="113"/>
    <tableColumn id="9" name="LOOP_END " totalsRowFunction="sum" dataDxfId="112" totalsRowDxfId="111"/>
    <tableColumn id="10" name="LOOP_MASK" totalsRowFunction="sum" dataDxfId="110" totalsRowDxfId="109"/>
    <tableColumn id="11" name="ADD      " totalsRowFunction="sum" dataDxfId="108" totalsRowDxfId="107"/>
    <tableColumn id="12" name="SUB      " totalsRowFunction="sum" dataDxfId="106" totalsRowDxfId="105"/>
    <tableColumn id="13" name="MULL     " totalsRowFunction="sum" dataDxfId="104" totalsRowDxfId="103"/>
    <tableColumn id="14" name="MULH     " totalsRowFunction="sum" dataDxfId="102" totalsRowDxfId="101"/>
    <tableColumn id="15" name="MACL     " totalsRowFunction="sum" dataDxfId="100" totalsRowDxfId="99"/>
    <tableColumn id="16" name="DIVL     " totalsRowFunction="sum" dataDxfId="98" totalsRowDxfId="97"/>
    <tableColumn id="17" name="DIVH     " totalsRowFunction="sum" dataDxfId="96" totalsRowDxfId="95"/>
    <tableColumn id="18" name="MACH     " totalsRowFunction="sum" dataDxfId="94" totalsRowDxfId="93"/>
    <tableColumn id="19" name="MACL_PRE " totalsRowFunction="sum" dataDxfId="92" totalsRowDxfId="91"/>
    <tableColumn id="20" name="MACH_PRE " totalsRowFunction="sum" dataDxfId="90" totalsRowDxfId="89"/>
    <tableColumn id="21" name="XOR      " totalsRowFunction="sum" dataDxfId="88" totalsRowDxfId="87"/>
    <tableColumn id="22" name="XNOR     " totalsRowFunction="sum" dataDxfId="86" totalsRowDxfId="85"/>
    <tableColumn id="23" name="AND      " totalsRowFunction="sum" dataDxfId="84" totalsRowDxfId="83"/>
    <tableColumn id="24" name="ANDN     " totalsRowFunction="sum" dataDxfId="82" totalsRowDxfId="81"/>
    <tableColumn id="25" name="NAND     " totalsRowFunction="sum" dataDxfId="80" totalsRowDxfId="79"/>
    <tableColumn id="26" name="OR       " totalsRowFunction="sum" dataDxfId="78" totalsRowDxfId="77"/>
    <tableColumn id="27" name="ORN      " totalsRowFunction="sum" dataDxfId="76" totalsRowDxfId="75"/>
    <tableColumn id="28" name="NOR      " totalsRowFunction="sum" dataDxfId="74" totalsRowDxfId="73"/>
    <tableColumn id="29" name="SHIFT_LR " totalsRowFunction="sum" dataDxfId="72" totalsRowDxfId="71"/>
    <tableColumn id="30" name="SHIFT_AR " totalsRowFunction="sum" dataDxfId="70" totalsRowDxfId="69"/>
    <tableColumn id="31" name="SHIFT_LL " totalsRowFunction="sum" dataDxfId="68" totalsRowDxfId="67"/>
    <tableColumn id="32" name="ABS      " totalsRowFunction="sum" dataDxfId="66" totalsRowDxfId="65"/>
    <tableColumn id="33" name="MIN      " totalsRowFunction="sum" dataDxfId="64" totalsRowDxfId="63"/>
    <tableColumn id="34" name="MAX      " totalsRowFunction="sum" dataDxfId="62" totalsRowDxfId="61"/>
    <tableColumn id="35" name="MV_ZE    " totalsRowFunction="sum" dataDxfId="60" totalsRowDxfId="59"/>
    <tableColumn id="36" name="MV_NZ    " totalsRowFunction="sum" dataDxfId="58" totalsRowDxfId="57"/>
    <tableColumn id="37" name="MV_MI    " totalsRowFunction="sum" dataDxfId="56" totalsRowDxfId="55"/>
    <tableColumn id="38" name="MV_PL    " totalsRowFunction="sum" dataDxfId="54" totalsRowDxfId="53"/>
    <tableColumn id="39" name="NOP      " totalsRowFunction="sum" dataDxfId="52" totalsRowDxfId="51"/>
    <tableColumn id="40" name="WAIT_BUSY" totalsRowFunction="sum" dataDxfId="50" totalsRowDxfId="49"/>
    <tableColumn id="41" name="PIPELN_W8" totalsRowFunction="sum" dataDxfId="48" totalsRowDxfId="47"/>
    <tableColumn id="42" name="IDMASK_GLOBAL: 4294967295" totalsRowFunction="sum" dataDxfId="46" totalsRowDxfId="45"/>
    <tableColumn id="43" name="Cycle Sum" totalsRowFunction="sum" dataDxfId="44" totalsRowDxfId="43">
      <calculatedColumnFormula>SUM(Table7[[#This Row],[NONE     ]:[MAX      ]])</calculatedColumnFormula>
    </tableColumn>
    <tableColumn id="44" name="Column1" dataDxfId="42">
      <calculatedColumnFormula>Table7[[#This Row],[Cycle Sum]]/Table7[[#Totals],[Cycle Sum]]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5"/>
  <sheetViews>
    <sheetView tabSelected="1" workbookViewId="0">
      <selection activeCell="AS13" sqref="AS13"/>
    </sheetView>
  </sheetViews>
  <sheetFormatPr defaultRowHeight="15" x14ac:dyDescent="0.25"/>
  <cols>
    <col min="2" max="2" width="10.5703125" customWidth="1"/>
    <col min="3" max="3" width="10.140625" hidden="1" customWidth="1"/>
    <col min="4" max="4" width="10.85546875" hidden="1" customWidth="1"/>
    <col min="5" max="5" width="10.7109375" customWidth="1"/>
    <col min="6" max="6" width="11.42578125" hidden="1" customWidth="1"/>
    <col min="7" max="7" width="10.42578125" customWidth="1"/>
    <col min="8" max="9" width="13.140625" hidden="1" customWidth="1"/>
    <col min="10" max="10" width="14.28515625" hidden="1" customWidth="1"/>
    <col min="11" max="11" width="9.5703125" customWidth="1"/>
    <col min="12" max="12" width="9.28515625" hidden="1" customWidth="1"/>
    <col min="13" max="13" width="10.28515625" customWidth="1"/>
    <col min="14" max="14" width="10.7109375" hidden="1" customWidth="1"/>
    <col min="15" max="15" width="10.42578125" hidden="1" customWidth="1"/>
    <col min="16" max="16" width="9.28515625" hidden="1" customWidth="1"/>
    <col min="17" max="17" width="9.7109375" hidden="1" customWidth="1"/>
    <col min="18" max="18" width="10.85546875" hidden="1" customWidth="1"/>
    <col min="19" max="19" width="13" customWidth="1"/>
    <col min="20" max="20" width="13.42578125" hidden="1" customWidth="1"/>
    <col min="21" max="21" width="9.42578125" hidden="1" customWidth="1"/>
    <col min="22" max="22" width="10.42578125" hidden="1" customWidth="1"/>
    <col min="23" max="23" width="9.7109375" hidden="1" customWidth="1"/>
    <col min="24" max="25" width="10.7109375" hidden="1" customWidth="1"/>
    <col min="26" max="26" width="0" hidden="1" customWidth="1"/>
    <col min="27" max="28" width="9.7109375" hidden="1" customWidth="1"/>
    <col min="29" max="29" width="11.42578125" hidden="1" customWidth="1"/>
    <col min="30" max="30" width="11.85546875" customWidth="1"/>
    <col min="31" max="31" width="11.140625" hidden="1" customWidth="1"/>
    <col min="32" max="32" width="0" hidden="1" customWidth="1"/>
    <col min="33" max="33" width="9.5703125" customWidth="1"/>
    <col min="34" max="34" width="10" customWidth="1"/>
    <col min="35" max="35" width="11" hidden="1" customWidth="1"/>
    <col min="36" max="37" width="11.42578125" hidden="1" customWidth="1"/>
    <col min="38" max="38" width="11" hidden="1" customWidth="1"/>
    <col min="39" max="39" width="9.7109375" hidden="1" customWidth="1"/>
    <col min="40" max="40" width="13.7109375" hidden="1" customWidth="1"/>
    <col min="41" max="41" width="13.28515625" hidden="1" customWidth="1"/>
    <col min="42" max="42" width="29.28515625" hidden="1" customWidth="1"/>
    <col min="43" max="43" width="11.42578125" customWidth="1"/>
    <col min="48" max="48" width="10" bestFit="1" customWidth="1"/>
  </cols>
  <sheetData>
    <row r="1" spans="1:58" x14ac:dyDescent="0.25">
      <c r="A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5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  <c r="AQ2" s="2" t="s">
        <v>57</v>
      </c>
      <c r="AR2" s="2" t="s">
        <v>68</v>
      </c>
    </row>
    <row r="3" spans="1:58" x14ac:dyDescent="0.25">
      <c r="A3" t="s">
        <v>43</v>
      </c>
      <c r="B3" s="1">
        <v>1219460</v>
      </c>
      <c r="C3" s="1">
        <v>0</v>
      </c>
      <c r="D3" s="1">
        <v>0</v>
      </c>
      <c r="E3" s="1">
        <v>0</v>
      </c>
      <c r="F3" s="1">
        <v>0</v>
      </c>
      <c r="G3" s="1">
        <v>12288</v>
      </c>
      <c r="H3" s="1">
        <v>0</v>
      </c>
      <c r="I3" s="1">
        <v>0</v>
      </c>
      <c r="J3" s="1">
        <v>0</v>
      </c>
      <c r="K3" s="1">
        <v>12288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f>SUM(Table1[[#This Row],[NONE     ]:[MAX      ]])</f>
        <v>1244036</v>
      </c>
      <c r="AR3" s="6">
        <f>Table1[[#This Row],[Cycle Sum]]/Table1[[#Totals],[Cycle Sum]]</f>
        <v>2.2575153032061996E-2</v>
      </c>
      <c r="BC3" s="3" t="s">
        <v>60</v>
      </c>
    </row>
    <row r="4" spans="1:58" hidden="1" x14ac:dyDescent="0.25">
      <c r="A4" t="s">
        <v>44</v>
      </c>
      <c r="B4" s="1">
        <v>72704</v>
      </c>
      <c r="C4" s="1">
        <v>0</v>
      </c>
      <c r="D4" s="1">
        <v>0</v>
      </c>
      <c r="E4" s="1">
        <v>7234560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7225340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f>SUM(Table1[[#This Row],[NONE     ]:[MAX      ]])</f>
        <v>14532604</v>
      </c>
      <c r="AR4" s="6">
        <f>Table1[[#This Row],[Cycle Sum]]/Table1[[#Totals],[Cycle Sum]]</f>
        <v>0.26371886284187618</v>
      </c>
      <c r="BC4" s="4"/>
    </row>
    <row r="5" spans="1:58" hidden="1" x14ac:dyDescent="0.25">
      <c r="A5" t="s">
        <v>45</v>
      </c>
      <c r="B5" s="1">
        <v>145408</v>
      </c>
      <c r="C5" s="1">
        <v>0</v>
      </c>
      <c r="D5" s="1">
        <v>0</v>
      </c>
      <c r="E5" s="1">
        <v>14469100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3211260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14450700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f>SUM(Table1[[#This Row],[NONE     ]:[MAX      ]])</f>
        <v>32276468</v>
      </c>
      <c r="AR5" s="6">
        <f>Table1[[#This Row],[Cycle Sum]]/Table1[[#Totals],[Cycle Sum]]</f>
        <v>0.58571151030553137</v>
      </c>
      <c r="BC5" s="3"/>
    </row>
    <row r="6" spans="1:58" x14ac:dyDescent="0.25">
      <c r="A6" t="s">
        <v>59</v>
      </c>
      <c r="B6" s="1">
        <f>SUM(B4:B5)</f>
        <v>218112</v>
      </c>
      <c r="C6" s="1">
        <f t="shared" ref="C6:AG6" si="0">SUM(C4:C5)</f>
        <v>0</v>
      </c>
      <c r="D6" s="1">
        <f t="shared" si="0"/>
        <v>0</v>
      </c>
      <c r="E6" s="1">
        <f t="shared" si="0"/>
        <v>21703660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J6" s="1">
        <f t="shared" si="0"/>
        <v>0</v>
      </c>
      <c r="K6" s="1">
        <f t="shared" si="0"/>
        <v>3211260</v>
      </c>
      <c r="L6" s="1">
        <f t="shared" si="0"/>
        <v>0</v>
      </c>
      <c r="M6" s="1">
        <f t="shared" si="0"/>
        <v>0</v>
      </c>
      <c r="N6" s="1">
        <f t="shared" si="0"/>
        <v>0</v>
      </c>
      <c r="O6" s="1">
        <f t="shared" si="0"/>
        <v>0</v>
      </c>
      <c r="P6" s="1">
        <f t="shared" si="0"/>
        <v>0</v>
      </c>
      <c r="Q6" s="1">
        <f t="shared" si="0"/>
        <v>0</v>
      </c>
      <c r="R6" s="1">
        <f t="shared" si="0"/>
        <v>0</v>
      </c>
      <c r="S6" s="1">
        <f t="shared" si="0"/>
        <v>21676040</v>
      </c>
      <c r="T6" s="1">
        <f t="shared" si="0"/>
        <v>0</v>
      </c>
      <c r="U6" s="1">
        <f t="shared" si="0"/>
        <v>0</v>
      </c>
      <c r="V6" s="1">
        <f t="shared" si="0"/>
        <v>0</v>
      </c>
      <c r="W6" s="1">
        <f t="shared" si="0"/>
        <v>0</v>
      </c>
      <c r="X6" s="1">
        <f t="shared" si="0"/>
        <v>0</v>
      </c>
      <c r="Y6" s="1">
        <f t="shared" si="0"/>
        <v>0</v>
      </c>
      <c r="Z6" s="1">
        <f t="shared" si="0"/>
        <v>0</v>
      </c>
      <c r="AA6" s="1">
        <f t="shared" si="0"/>
        <v>0</v>
      </c>
      <c r="AB6" s="1">
        <f t="shared" si="0"/>
        <v>0</v>
      </c>
      <c r="AC6" s="1">
        <f t="shared" si="0"/>
        <v>0</v>
      </c>
      <c r="AD6" s="1">
        <f t="shared" si="0"/>
        <v>0</v>
      </c>
      <c r="AE6" s="1">
        <f t="shared" si="0"/>
        <v>0</v>
      </c>
      <c r="AF6" s="1">
        <f t="shared" si="0"/>
        <v>0</v>
      </c>
      <c r="AG6" s="1">
        <f t="shared" si="0"/>
        <v>0</v>
      </c>
      <c r="AH6" s="1">
        <f>SUM(AH4:AH5)</f>
        <v>0</v>
      </c>
      <c r="AI6" s="1"/>
      <c r="AJ6" s="1"/>
      <c r="AK6" s="1"/>
      <c r="AL6" s="1"/>
      <c r="AM6" s="1"/>
      <c r="AN6" s="1"/>
      <c r="AO6" s="1"/>
      <c r="AP6" s="1"/>
      <c r="AQ6" s="1">
        <f>SUM(Table1[[#This Row],[NONE     ]:[MAX      ]])</f>
        <v>46809072</v>
      </c>
      <c r="AR6" s="6">
        <f>Table1[[#This Row],[Cycle Sum]]/Table1[[#Totals],[Cycle Sum]]</f>
        <v>0.84943037314740755</v>
      </c>
      <c r="BC6" s="3">
        <v>496128</v>
      </c>
      <c r="BD6">
        <f>BC6</f>
        <v>496128</v>
      </c>
      <c r="BE6">
        <f>AY$48*BD6</f>
        <v>483324.51161768002</v>
      </c>
      <c r="BF6">
        <f>(1-AY$48)*BD6</f>
        <v>12803.488382319965</v>
      </c>
    </row>
    <row r="7" spans="1:58" x14ac:dyDescent="0.25">
      <c r="A7" t="s">
        <v>46</v>
      </c>
      <c r="B7" s="1">
        <v>163840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802816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802816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f>SUM(Table1[[#This Row],[NONE     ]:[MAX      ]])</f>
        <v>1769472</v>
      </c>
      <c r="AR7" s="6">
        <f>Table1[[#This Row],[Cycle Sum]]/Table1[[#Totals],[Cycle Sum]]</f>
        <v>3.2110084584327785E-2</v>
      </c>
      <c r="BC7" s="4">
        <v>1619976</v>
      </c>
      <c r="BD7">
        <f>BC7-BC6</f>
        <v>1123848</v>
      </c>
      <c r="BE7">
        <f t="shared" ref="BE7:BE12" si="1">AY$48*BD7</f>
        <v>1094845.0515441711</v>
      </c>
      <c r="BF7">
        <f t="shared" ref="BF7:BF13" si="2">(1-AY$48)*BD7</f>
        <v>29002.948455828995</v>
      </c>
    </row>
    <row r="8" spans="1:58" x14ac:dyDescent="0.25">
      <c r="A8" t="s">
        <v>47</v>
      </c>
      <c r="B8" s="1">
        <v>1343490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688128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f>SUM(Table1[[#This Row],[NONE     ]:[MAX      ]])</f>
        <v>2031618</v>
      </c>
      <c r="AR8" s="6">
        <f>Table1[[#This Row],[Cycle Sum]]/Table1[[#Totals],[Cycle Sum]]</f>
        <v>3.686717044578431E-2</v>
      </c>
      <c r="BC8" s="3">
        <v>2718992</v>
      </c>
      <c r="BD8">
        <f t="shared" ref="BD8:BD12" si="3">BC8-BC7</f>
        <v>1099016</v>
      </c>
      <c r="BE8">
        <f t="shared" si="1"/>
        <v>1070653.8866180023</v>
      </c>
      <c r="BF8">
        <f t="shared" si="2"/>
        <v>28362.113381997708</v>
      </c>
    </row>
    <row r="9" spans="1:58" x14ac:dyDescent="0.25">
      <c r="A9" t="s">
        <v>48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f>SUM(Table1[[#This Row],[NONE     ]:[MAX      ]])</f>
        <v>0</v>
      </c>
      <c r="AR9" s="6">
        <f>Table1[[#This Row],[Cycle Sum]]/Table1[[#Totals],[Cycle Sum]]</f>
        <v>0</v>
      </c>
      <c r="BC9" s="4">
        <v>3832920</v>
      </c>
      <c r="BD9">
        <f t="shared" si="3"/>
        <v>1113928</v>
      </c>
      <c r="BE9">
        <f t="shared" si="1"/>
        <v>1085181.0552463459</v>
      </c>
      <c r="BF9">
        <f t="shared" si="2"/>
        <v>28746.944753654123</v>
      </c>
    </row>
    <row r="10" spans="1:58" x14ac:dyDescent="0.25">
      <c r="A10" t="s">
        <v>49</v>
      </c>
      <c r="B10" s="1">
        <v>1314820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602112</v>
      </c>
      <c r="L10" s="1">
        <v>0</v>
      </c>
      <c r="M10" s="1">
        <v>200704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200704</v>
      </c>
      <c r="AE10" s="1">
        <v>0</v>
      </c>
      <c r="AF10" s="1">
        <v>0</v>
      </c>
      <c r="AG10" s="1">
        <v>200704</v>
      </c>
      <c r="AH10" s="1">
        <v>200704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f>SUM(Table1[[#This Row],[NONE     ]:[MAX      ]])</f>
        <v>2719748</v>
      </c>
      <c r="AR10" s="6">
        <f>Table1[[#This Row],[Cycle Sum]]/Table1[[#Totals],[Cycle Sum]]</f>
        <v>4.9354461855319741E-2</v>
      </c>
      <c r="BC10" s="3">
        <v>4534560</v>
      </c>
      <c r="BD10">
        <f t="shared" si="3"/>
        <v>701640</v>
      </c>
      <c r="BE10">
        <f t="shared" si="1"/>
        <v>683532.89943609107</v>
      </c>
      <c r="BF10">
        <f t="shared" si="2"/>
        <v>18107.100563908869</v>
      </c>
    </row>
    <row r="11" spans="1:58" x14ac:dyDescent="0.25">
      <c r="A11" t="s">
        <v>50</v>
      </c>
      <c r="B11" s="1">
        <v>331776</v>
      </c>
      <c r="C11" s="1">
        <v>0</v>
      </c>
      <c r="D11" s="1">
        <v>0</v>
      </c>
      <c r="E11" s="1">
        <v>0</v>
      </c>
      <c r="F11" s="1">
        <v>0</v>
      </c>
      <c r="G11" s="1">
        <v>200704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f>SUM(Table1[[#This Row],[NONE     ]:[MAX      ]])</f>
        <v>532480</v>
      </c>
      <c r="AR11" s="6">
        <f>Table1[[#This Row],[Cycle Sum]]/Table1[[#Totals],[Cycle Sum]]</f>
        <v>9.6627569350986407E-3</v>
      </c>
      <c r="BC11" s="4">
        <v>5055504</v>
      </c>
      <c r="BD11">
        <f t="shared" si="3"/>
        <v>520944</v>
      </c>
      <c r="BE11">
        <f t="shared" si="1"/>
        <v>507500.0894530458</v>
      </c>
      <c r="BF11">
        <f t="shared" si="2"/>
        <v>13443.910546954197</v>
      </c>
    </row>
    <row r="12" spans="1:58" x14ac:dyDescent="0.25">
      <c r="A12" t="s">
        <v>58</v>
      </c>
      <c r="B12" s="1">
        <f>SUBTOTAL(109,Table1[[NONE     ]])</f>
        <v>4591498</v>
      </c>
      <c r="C12" s="1">
        <f>SUBTOTAL(109,Table1[[LOAD     ]])</f>
        <v>0</v>
      </c>
      <c r="D12" s="1">
        <f>SUBTOTAL(109,Table1[[LOADB    ]])</f>
        <v>0</v>
      </c>
      <c r="E12" s="1">
        <f>SUBTOTAL(109,Table1[[LOADS    ]])</f>
        <v>21703660</v>
      </c>
      <c r="F12" s="1">
        <f>SUBTOTAL(109,Table1[[LOADBS   ]])</f>
        <v>0</v>
      </c>
      <c r="G12" s="1">
        <f>SUBTOTAL(109,Table1[[STORE    ]])</f>
        <v>212992</v>
      </c>
      <c r="H12" s="1">
        <f>SUBTOTAL(109,Table1[LOOP_STRT])</f>
        <v>0</v>
      </c>
      <c r="I12" s="1">
        <f>SUBTOTAL(109,Table1[LOOP_END ])</f>
        <v>0</v>
      </c>
      <c r="J12" s="1">
        <f>SUBTOTAL(109,Table1[LOOP_MASK])</f>
        <v>0</v>
      </c>
      <c r="K12" s="1">
        <f>SUBTOTAL(109,Table1[[ADD      ]])</f>
        <v>4628476</v>
      </c>
      <c r="L12" s="1">
        <f>SUBTOTAL(109,Table1[[SUB      ]])</f>
        <v>0</v>
      </c>
      <c r="M12" s="1">
        <f>SUBTOTAL(109,Table1[[MULL     ]])</f>
        <v>200704</v>
      </c>
      <c r="N12" s="1">
        <f>SUBTOTAL(109,Table1[[MULH     ]])</f>
        <v>0</v>
      </c>
      <c r="O12" s="1">
        <f>SUBTOTAL(109,Table1[[MACL     ]])</f>
        <v>0</v>
      </c>
      <c r="P12" s="1">
        <f>SUBTOTAL(109,Table1[[DIVL     ]])</f>
        <v>0</v>
      </c>
      <c r="Q12" s="1">
        <f>SUBTOTAL(109,Table1[[DIVH     ]])</f>
        <v>0</v>
      </c>
      <c r="R12" s="1">
        <f>SUBTOTAL(109,Table1[[MACH     ]])</f>
        <v>0</v>
      </c>
      <c r="S12" s="1">
        <f>SUBTOTAL(109,Table1[MACL_PRE ])</f>
        <v>21676040</v>
      </c>
      <c r="T12" s="1">
        <f>SUBTOTAL(109,Table1[MACH_PRE ])</f>
        <v>0</v>
      </c>
      <c r="U12" s="1">
        <f>SUBTOTAL(109,Table1[[XOR      ]])</f>
        <v>0</v>
      </c>
      <c r="V12" s="1">
        <f>SUBTOTAL(109,Table1[[XNOR     ]])</f>
        <v>0</v>
      </c>
      <c r="W12" s="1">
        <f>SUBTOTAL(109,Table1[[AND      ]])</f>
        <v>0</v>
      </c>
      <c r="X12" s="1">
        <f>SUBTOTAL(109,Table1[[ANDN     ]])</f>
        <v>0</v>
      </c>
      <c r="Y12" s="1">
        <f>SUBTOTAL(109,Table1[[NAND     ]])</f>
        <v>0</v>
      </c>
      <c r="Z12" s="1">
        <f>SUBTOTAL(109,Table1[[OR       ]])</f>
        <v>0</v>
      </c>
      <c r="AA12" s="1">
        <f>SUBTOTAL(109,Table1[[ORN      ]])</f>
        <v>0</v>
      </c>
      <c r="AB12" s="1">
        <f>SUBTOTAL(109,Table1[[NOR      ]])</f>
        <v>0</v>
      </c>
      <c r="AC12" s="1">
        <f>SUBTOTAL(109,Table1[SHIFT_LR ])</f>
        <v>0</v>
      </c>
      <c r="AD12" s="1">
        <f>SUBTOTAL(109,Table1[SHIFT_AR ])</f>
        <v>1003520</v>
      </c>
      <c r="AE12" s="1">
        <f>SUBTOTAL(109,Table1[SHIFT_LL ])</f>
        <v>0</v>
      </c>
      <c r="AF12" s="1">
        <f>SUBTOTAL(109,Table1[[ABS      ]])</f>
        <v>0</v>
      </c>
      <c r="AG12" s="1">
        <f>SUBTOTAL(109,Table1[[MIN      ]])</f>
        <v>200704</v>
      </c>
      <c r="AH12" s="1">
        <f>SUBTOTAL(109,Table1[[MAX      ]])</f>
        <v>888832</v>
      </c>
      <c r="AI12" s="1">
        <f>SUBTOTAL(109,Table1[MV_ZE    ])</f>
        <v>0</v>
      </c>
      <c r="AJ12" s="1">
        <f>SUBTOTAL(109,Table1[MV_NZ    ])</f>
        <v>0</v>
      </c>
      <c r="AK12" s="1">
        <f>SUBTOTAL(109,Table1[MV_MI    ])</f>
        <v>0</v>
      </c>
      <c r="AL12" s="1">
        <f>SUBTOTAL(109,Table1[MV_PL    ])</f>
        <v>0</v>
      </c>
      <c r="AM12" s="1">
        <f>SUBTOTAL(109,Table1[[NOP      ]])</f>
        <v>0</v>
      </c>
      <c r="AN12" s="1">
        <f>SUBTOTAL(109,Table1[WAIT_BUSY])</f>
        <v>0</v>
      </c>
      <c r="AO12" s="1">
        <f>SUBTOTAL(109,Table1[PIPELN_W8])</f>
        <v>0</v>
      </c>
      <c r="AP12" s="1">
        <f>SUBTOTAL(109,Table1[IDMASK_GLOBAL: 4294967295])</f>
        <v>0</v>
      </c>
      <c r="AQ12" s="1">
        <f>SUBTOTAL(109,Table1[Cycle Sum])</f>
        <v>55106426</v>
      </c>
      <c r="BC12" s="3">
        <v>5270072</v>
      </c>
      <c r="BD12">
        <f t="shared" si="3"/>
        <v>214568</v>
      </c>
      <c r="BE12">
        <f t="shared" si="1"/>
        <v>209030.68121287727</v>
      </c>
      <c r="BF12">
        <f t="shared" si="2"/>
        <v>5537.3187871227392</v>
      </c>
    </row>
    <row r="13" spans="1:58" x14ac:dyDescent="0.25">
      <c r="A13" t="s">
        <v>51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BC13" s="4">
        <v>5270076</v>
      </c>
      <c r="BF13">
        <f t="shared" si="2"/>
        <v>0</v>
      </c>
    </row>
    <row r="14" spans="1:58" x14ac:dyDescent="0.25">
      <c r="A14" s="2" t="s">
        <v>1</v>
      </c>
      <c r="B14" s="2" t="s">
        <v>2</v>
      </c>
      <c r="C14" s="2" t="s">
        <v>3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8</v>
      </c>
      <c r="I14" s="2" t="s">
        <v>9</v>
      </c>
      <c r="J14" s="2" t="s">
        <v>10</v>
      </c>
      <c r="K14" s="2" t="s">
        <v>11</v>
      </c>
      <c r="L14" s="2" t="s">
        <v>12</v>
      </c>
      <c r="M14" s="2" t="s">
        <v>13</v>
      </c>
      <c r="N14" s="2" t="s">
        <v>14</v>
      </c>
      <c r="O14" s="2" t="s">
        <v>15</v>
      </c>
      <c r="P14" s="2" t="s">
        <v>16</v>
      </c>
      <c r="Q14" s="2" t="s">
        <v>17</v>
      </c>
      <c r="R14" s="2" t="s">
        <v>18</v>
      </c>
      <c r="S14" s="2" t="s">
        <v>19</v>
      </c>
      <c r="T14" s="2" t="s">
        <v>20</v>
      </c>
      <c r="U14" s="2" t="s">
        <v>21</v>
      </c>
      <c r="V14" s="2" t="s">
        <v>22</v>
      </c>
      <c r="W14" s="2" t="s">
        <v>23</v>
      </c>
      <c r="X14" s="2" t="s">
        <v>24</v>
      </c>
      <c r="Y14" s="2" t="s">
        <v>25</v>
      </c>
      <c r="Z14" s="2" t="s">
        <v>26</v>
      </c>
      <c r="AA14" s="2" t="s">
        <v>27</v>
      </c>
      <c r="AB14" s="2" t="s">
        <v>28</v>
      </c>
      <c r="AC14" s="2" t="s">
        <v>29</v>
      </c>
      <c r="AD14" s="2" t="s">
        <v>30</v>
      </c>
      <c r="AE14" s="2" t="s">
        <v>31</v>
      </c>
      <c r="AF14" s="2" t="s">
        <v>32</v>
      </c>
      <c r="AG14" s="2" t="s">
        <v>33</v>
      </c>
      <c r="AH14" s="2" t="s">
        <v>34</v>
      </c>
      <c r="AI14" s="2" t="s">
        <v>35</v>
      </c>
      <c r="AJ14" s="2" t="s">
        <v>36</v>
      </c>
      <c r="AK14" s="2" t="s">
        <v>37</v>
      </c>
      <c r="AL14" s="2" t="s">
        <v>38</v>
      </c>
      <c r="AM14" s="2" t="s">
        <v>39</v>
      </c>
      <c r="AN14" s="2" t="s">
        <v>40</v>
      </c>
      <c r="AO14" s="2" t="s">
        <v>41</v>
      </c>
      <c r="AP14" s="2" t="s">
        <v>42</v>
      </c>
      <c r="AQ14" s="2" t="s">
        <v>57</v>
      </c>
      <c r="AR14" s="5" t="s">
        <v>61</v>
      </c>
    </row>
    <row r="15" spans="1:58" x14ac:dyDescent="0.25">
      <c r="A15" t="s">
        <v>43</v>
      </c>
      <c r="B15" s="1">
        <v>1664450</v>
      </c>
      <c r="C15" s="1">
        <v>0</v>
      </c>
      <c r="D15" s="1">
        <v>0</v>
      </c>
      <c r="E15" s="1">
        <v>0</v>
      </c>
      <c r="F15" s="1">
        <v>0</v>
      </c>
      <c r="G15" s="1">
        <v>65536</v>
      </c>
      <c r="H15" s="1">
        <v>0</v>
      </c>
      <c r="I15" s="1">
        <v>0</v>
      </c>
      <c r="J15" s="1">
        <v>0</v>
      </c>
      <c r="K15" s="1">
        <v>65536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f>SUM(Table2[[#This Row],[NONE     ]:[MAX      ]])</f>
        <v>1795522</v>
      </c>
      <c r="AR15" s="5">
        <f>Table2[[#This Row],[Cycle Sum]]/Table2[[#Totals],[Cycle Sum]]</f>
        <v>1.343699537048609E-2</v>
      </c>
    </row>
    <row r="16" spans="1:58" hidden="1" x14ac:dyDescent="0.25">
      <c r="A16" t="s">
        <v>44</v>
      </c>
      <c r="B16" s="1">
        <v>36352</v>
      </c>
      <c r="C16" s="1">
        <v>0</v>
      </c>
      <c r="D16" s="1">
        <v>0</v>
      </c>
      <c r="E16" s="1">
        <v>3617280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3612670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f>SUM(Table2[[#This Row],[NONE     ]:[MAX      ]])</f>
        <v>7266302</v>
      </c>
      <c r="AR16" s="5">
        <f>Table2[[#This Row],[Cycle Sum]]/Table2[[#Totals],[Cycle Sum]]</f>
        <v>5.4378206635481943E-2</v>
      </c>
    </row>
    <row r="17" spans="1:44" hidden="1" x14ac:dyDescent="0.25">
      <c r="A17" t="s">
        <v>45</v>
      </c>
      <c r="B17" s="1">
        <v>545280</v>
      </c>
      <c r="C17" s="1">
        <v>0</v>
      </c>
      <c r="D17" s="1">
        <v>0</v>
      </c>
      <c r="E17" s="1">
        <v>54259200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12042200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54190100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f>SUM(Table2[[#This Row],[NONE     ]:[MAX      ]])</f>
        <v>121036780</v>
      </c>
      <c r="AR17" s="5">
        <f>Table2[[#This Row],[Cycle Sum]]/Table2[[#Totals],[Cycle Sum]]</f>
        <v>0.90579266225562438</v>
      </c>
    </row>
    <row r="18" spans="1:44" x14ac:dyDescent="0.25">
      <c r="A18" t="s">
        <v>59</v>
      </c>
      <c r="B18" s="1">
        <f>SUM(B16:B17)</f>
        <v>581632</v>
      </c>
      <c r="C18" s="1">
        <f t="shared" ref="C18:AH18" si="4">SUM(C16:C17)</f>
        <v>0</v>
      </c>
      <c r="D18" s="1">
        <f t="shared" si="4"/>
        <v>0</v>
      </c>
      <c r="E18" s="1">
        <f t="shared" si="4"/>
        <v>57876480</v>
      </c>
      <c r="F18" s="1">
        <f t="shared" si="4"/>
        <v>0</v>
      </c>
      <c r="G18" s="1">
        <f t="shared" si="4"/>
        <v>0</v>
      </c>
      <c r="H18" s="1">
        <f t="shared" si="4"/>
        <v>0</v>
      </c>
      <c r="I18" s="1">
        <f t="shared" si="4"/>
        <v>0</v>
      </c>
      <c r="J18" s="1">
        <f t="shared" si="4"/>
        <v>0</v>
      </c>
      <c r="K18" s="1">
        <f t="shared" si="4"/>
        <v>12042200</v>
      </c>
      <c r="L18" s="1">
        <f t="shared" si="4"/>
        <v>0</v>
      </c>
      <c r="M18" s="1">
        <f t="shared" si="4"/>
        <v>0</v>
      </c>
      <c r="N18" s="1">
        <f t="shared" si="4"/>
        <v>0</v>
      </c>
      <c r="O18" s="1">
        <f t="shared" si="4"/>
        <v>0</v>
      </c>
      <c r="P18" s="1">
        <f t="shared" si="4"/>
        <v>0</v>
      </c>
      <c r="Q18" s="1">
        <f t="shared" si="4"/>
        <v>0</v>
      </c>
      <c r="R18" s="1">
        <f t="shared" si="4"/>
        <v>0</v>
      </c>
      <c r="S18" s="1">
        <f t="shared" si="4"/>
        <v>57802770</v>
      </c>
      <c r="T18" s="1">
        <f t="shared" si="4"/>
        <v>0</v>
      </c>
      <c r="U18" s="1">
        <f t="shared" si="4"/>
        <v>0</v>
      </c>
      <c r="V18" s="1">
        <f t="shared" si="4"/>
        <v>0</v>
      </c>
      <c r="W18" s="1">
        <f t="shared" si="4"/>
        <v>0</v>
      </c>
      <c r="X18" s="1">
        <f t="shared" si="4"/>
        <v>0</v>
      </c>
      <c r="Y18" s="1">
        <f t="shared" si="4"/>
        <v>0</v>
      </c>
      <c r="Z18" s="1">
        <f t="shared" si="4"/>
        <v>0</v>
      </c>
      <c r="AA18" s="1">
        <f t="shared" si="4"/>
        <v>0</v>
      </c>
      <c r="AB18" s="1">
        <f t="shared" si="4"/>
        <v>0</v>
      </c>
      <c r="AC18" s="1">
        <f t="shared" si="4"/>
        <v>0</v>
      </c>
      <c r="AD18" s="1">
        <f t="shared" si="4"/>
        <v>0</v>
      </c>
      <c r="AE18" s="1">
        <f t="shared" si="4"/>
        <v>0</v>
      </c>
      <c r="AF18" s="1">
        <f t="shared" si="4"/>
        <v>0</v>
      </c>
      <c r="AG18" s="1">
        <f t="shared" si="4"/>
        <v>0</v>
      </c>
      <c r="AH18" s="1">
        <f t="shared" si="4"/>
        <v>0</v>
      </c>
      <c r="AI18" s="1"/>
      <c r="AJ18" s="1"/>
      <c r="AK18" s="1"/>
      <c r="AL18" s="1"/>
      <c r="AM18" s="1"/>
      <c r="AN18" s="1"/>
      <c r="AO18" s="1"/>
      <c r="AP18" s="1"/>
      <c r="AQ18" s="1">
        <f>SUM(Table2[[#This Row],[NONE     ]:[MAX      ]])</f>
        <v>128303082</v>
      </c>
      <c r="AR18" s="5">
        <f>Table2[[#This Row],[Cycle Sum]]/Table2[[#Totals],[Cycle Sum]]</f>
        <v>0.96017086889110637</v>
      </c>
    </row>
    <row r="19" spans="1:44" x14ac:dyDescent="0.25">
      <c r="A19" t="s">
        <v>46</v>
      </c>
      <c r="B19" s="1">
        <v>81920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401408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401408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f>SUM(Table2[[#This Row],[NONE     ]:[MAX      ]])</f>
        <v>884736</v>
      </c>
      <c r="AR19" s="5">
        <f>Table2[[#This Row],[Cycle Sum]]/Table2[[#Totals],[Cycle Sum]]</f>
        <v>6.6210235998792446E-3</v>
      </c>
    </row>
    <row r="20" spans="1:44" x14ac:dyDescent="0.25">
      <c r="A20" t="s">
        <v>47</v>
      </c>
      <c r="B20" s="1">
        <v>671744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344064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f>SUM(Table2[[#This Row],[NONE     ]:[MAX      ]])</f>
        <v>1015808</v>
      </c>
      <c r="AR20" s="5">
        <f>Table2[[#This Row],[Cycle Sum]]/Table2[[#Totals],[Cycle Sum]]</f>
        <v>7.6019159850465399E-3</v>
      </c>
    </row>
    <row r="21" spans="1:44" x14ac:dyDescent="0.25">
      <c r="A21" t="s">
        <v>48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f>SUM(Table2[[#This Row],[NONE     ]:[MAX      ]])</f>
        <v>0</v>
      </c>
      <c r="AR21" s="5">
        <f>Table2[[#This Row],[Cycle Sum]]/Table2[[#Totals],[Cycle Sum]]</f>
        <v>0</v>
      </c>
    </row>
    <row r="22" spans="1:44" x14ac:dyDescent="0.25">
      <c r="A22" t="s">
        <v>49</v>
      </c>
      <c r="B22" s="1">
        <v>657408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301056</v>
      </c>
      <c r="L22" s="1">
        <v>0</v>
      </c>
      <c r="M22" s="1">
        <v>100352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100352</v>
      </c>
      <c r="AE22" s="1">
        <v>0</v>
      </c>
      <c r="AF22" s="1">
        <v>0</v>
      </c>
      <c r="AG22" s="1">
        <v>100352</v>
      </c>
      <c r="AH22" s="1">
        <v>100352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f>SUM(Table2[[#This Row],[NONE     ]:[MAX      ]])</f>
        <v>1359872</v>
      </c>
      <c r="AR22" s="5">
        <f>Table2[[#This Row],[Cycle Sum]]/Table2[[#Totals],[Cycle Sum]]</f>
        <v>1.017675849611069E-2</v>
      </c>
    </row>
    <row r="23" spans="1:44" x14ac:dyDescent="0.25">
      <c r="A23" t="s">
        <v>50</v>
      </c>
      <c r="B23" s="1">
        <v>165888</v>
      </c>
      <c r="C23" s="1">
        <v>0</v>
      </c>
      <c r="D23" s="1">
        <v>0</v>
      </c>
      <c r="E23" s="1">
        <v>0</v>
      </c>
      <c r="F23" s="1">
        <v>0</v>
      </c>
      <c r="G23" s="1">
        <v>100352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f>SUM(Table2[[#This Row],[NONE     ]:[MAX      ]])</f>
        <v>266240</v>
      </c>
      <c r="AR23" s="5">
        <f>Table2[[#This Row],[Cycle Sum]]/Table2[[#Totals],[Cycle Sum]]</f>
        <v>1.9924376573710687E-3</v>
      </c>
    </row>
    <row r="24" spans="1:44" x14ac:dyDescent="0.25">
      <c r="A24" t="s">
        <v>58</v>
      </c>
      <c r="B24" s="1">
        <f>SUBTOTAL(109,Table2[[NONE     ]])</f>
        <v>3823042</v>
      </c>
      <c r="C24" s="1">
        <f>SUBTOTAL(109,Table2[[LOAD     ]])</f>
        <v>0</v>
      </c>
      <c r="D24" s="1">
        <f>SUBTOTAL(109,Table2[[LOADB    ]])</f>
        <v>0</v>
      </c>
      <c r="E24" s="1">
        <f>SUBTOTAL(109,Table2[[LOADS    ]])</f>
        <v>57876480</v>
      </c>
      <c r="F24" s="1">
        <f>SUBTOTAL(109,Table2[[LOADBS   ]])</f>
        <v>0</v>
      </c>
      <c r="G24" s="1">
        <f>SUBTOTAL(109,Table2[[STORE    ]])</f>
        <v>165888</v>
      </c>
      <c r="H24" s="1">
        <f>SUBTOTAL(109,Table2[LOOP_STRT])</f>
        <v>0</v>
      </c>
      <c r="I24" s="1">
        <f>SUBTOTAL(109,Table2[LOOP_END ])</f>
        <v>0</v>
      </c>
      <c r="J24" s="1">
        <f>SUBTOTAL(109,Table2[LOOP_MASK])</f>
        <v>0</v>
      </c>
      <c r="K24" s="1">
        <f>SUBTOTAL(109,Table2[[ADD      ]])</f>
        <v>12810200</v>
      </c>
      <c r="L24" s="1">
        <f>SUBTOTAL(109,Table2[[SUB      ]])</f>
        <v>0</v>
      </c>
      <c r="M24" s="1">
        <f>SUBTOTAL(109,Table2[[MULL     ]])</f>
        <v>100352</v>
      </c>
      <c r="N24" s="1">
        <f>SUBTOTAL(109,Table2[[MULH     ]])</f>
        <v>0</v>
      </c>
      <c r="O24" s="1">
        <f>SUBTOTAL(109,Table2[[MACL     ]])</f>
        <v>0</v>
      </c>
      <c r="P24" s="1">
        <f>SUBTOTAL(109,Table2[[DIVL     ]])</f>
        <v>0</v>
      </c>
      <c r="Q24" s="1">
        <f>SUBTOTAL(109,Table2[[DIVH     ]])</f>
        <v>0</v>
      </c>
      <c r="R24" s="1">
        <f>SUBTOTAL(109,Table2[[MACH     ]])</f>
        <v>0</v>
      </c>
      <c r="S24" s="1">
        <f>SUBTOTAL(109,Table2[MACL_PRE ])</f>
        <v>57802770</v>
      </c>
      <c r="T24" s="1">
        <f>SUBTOTAL(109,Table2[MACH_PRE ])</f>
        <v>0</v>
      </c>
      <c r="U24" s="1">
        <f>SUBTOTAL(109,Table2[[XOR      ]])</f>
        <v>0</v>
      </c>
      <c r="V24" s="1">
        <f>SUBTOTAL(109,Table2[[XNOR     ]])</f>
        <v>0</v>
      </c>
      <c r="W24" s="1">
        <f>SUBTOTAL(109,Table2[[AND      ]])</f>
        <v>0</v>
      </c>
      <c r="X24" s="1">
        <f>SUBTOTAL(109,Table2[[ANDN     ]])</f>
        <v>0</v>
      </c>
      <c r="Y24" s="1">
        <f>SUBTOTAL(109,Table2[[NAND     ]])</f>
        <v>0</v>
      </c>
      <c r="Z24" s="1">
        <f>SUBTOTAL(109,Table2[[OR       ]])</f>
        <v>0</v>
      </c>
      <c r="AA24" s="1">
        <f>SUBTOTAL(109,Table2[[ORN      ]])</f>
        <v>0</v>
      </c>
      <c r="AB24" s="1">
        <f>SUBTOTAL(109,Table2[[NOR      ]])</f>
        <v>0</v>
      </c>
      <c r="AC24" s="1">
        <f>SUBTOTAL(109,Table2[SHIFT_LR ])</f>
        <v>0</v>
      </c>
      <c r="AD24" s="1">
        <f>SUBTOTAL(109,Table2[SHIFT_AR ])</f>
        <v>501760</v>
      </c>
      <c r="AE24" s="1">
        <f>SUBTOTAL(109,Table2[SHIFT_LL ])</f>
        <v>0</v>
      </c>
      <c r="AF24" s="1">
        <f>SUBTOTAL(109,Table2[[ABS      ]])</f>
        <v>0</v>
      </c>
      <c r="AG24" s="1">
        <f>SUBTOTAL(109,Table2[[MIN      ]])</f>
        <v>100352</v>
      </c>
      <c r="AH24" s="1">
        <f>SUBTOTAL(109,Table2[[MAX      ]])</f>
        <v>444416</v>
      </c>
      <c r="AI24" s="1">
        <f>SUBTOTAL(109,Table2[MV_ZE    ])</f>
        <v>0</v>
      </c>
      <c r="AJ24" s="1">
        <f>SUBTOTAL(109,Table2[MV_NZ    ])</f>
        <v>0</v>
      </c>
      <c r="AK24" s="1">
        <f>SUBTOTAL(109,Table2[MV_MI    ])</f>
        <v>0</v>
      </c>
      <c r="AL24" s="1">
        <f>SUBTOTAL(109,Table2[MV_PL    ])</f>
        <v>0</v>
      </c>
      <c r="AM24" s="1">
        <f>SUBTOTAL(109,Table2[[NOP      ]])</f>
        <v>0</v>
      </c>
      <c r="AN24" s="1">
        <f>SUBTOTAL(109,Table2[WAIT_BUSY])</f>
        <v>0</v>
      </c>
      <c r="AO24" s="1">
        <f>SUBTOTAL(109,Table2[PIPELN_W8])</f>
        <v>0</v>
      </c>
      <c r="AP24" s="1">
        <f>SUBTOTAL(109,Table2[IDMASK_GLOBAL: 4294967295])</f>
        <v>0</v>
      </c>
      <c r="AQ24" s="1">
        <f>SUBTOTAL(109,Table2[Cycle Sum])</f>
        <v>133625260</v>
      </c>
      <c r="AR24" s="5"/>
    </row>
    <row r="25" spans="1:44" x14ac:dyDescent="0.25">
      <c r="A25" t="s">
        <v>52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4" x14ac:dyDescent="0.25">
      <c r="A26" s="2" t="s">
        <v>1</v>
      </c>
      <c r="B26" s="2" t="s">
        <v>2</v>
      </c>
      <c r="C26" s="2" t="s">
        <v>3</v>
      </c>
      <c r="D26" s="2" t="s">
        <v>4</v>
      </c>
      <c r="E26" s="2" t="s">
        <v>5</v>
      </c>
      <c r="F26" s="2" t="s">
        <v>6</v>
      </c>
      <c r="G26" s="2" t="s">
        <v>7</v>
      </c>
      <c r="H26" s="2" t="s">
        <v>8</v>
      </c>
      <c r="I26" s="2" t="s">
        <v>9</v>
      </c>
      <c r="J26" s="2" t="s">
        <v>10</v>
      </c>
      <c r="K26" s="2" t="s">
        <v>11</v>
      </c>
      <c r="L26" s="2" t="s">
        <v>12</v>
      </c>
      <c r="M26" s="2" t="s">
        <v>13</v>
      </c>
      <c r="N26" s="2" t="s">
        <v>14</v>
      </c>
      <c r="O26" s="2" t="s">
        <v>15</v>
      </c>
      <c r="P26" s="2" t="s">
        <v>16</v>
      </c>
      <c r="Q26" s="2" t="s">
        <v>17</v>
      </c>
      <c r="R26" s="2" t="s">
        <v>18</v>
      </c>
      <c r="S26" s="2" t="s">
        <v>19</v>
      </c>
      <c r="T26" s="2" t="s">
        <v>20</v>
      </c>
      <c r="U26" s="2" t="s">
        <v>21</v>
      </c>
      <c r="V26" s="2" t="s">
        <v>22</v>
      </c>
      <c r="W26" s="2" t="s">
        <v>23</v>
      </c>
      <c r="X26" s="2" t="s">
        <v>24</v>
      </c>
      <c r="Y26" s="2" t="s">
        <v>25</v>
      </c>
      <c r="Z26" s="2" t="s">
        <v>26</v>
      </c>
      <c r="AA26" s="2" t="s">
        <v>27</v>
      </c>
      <c r="AB26" s="2" t="s">
        <v>28</v>
      </c>
      <c r="AC26" s="2" t="s">
        <v>29</v>
      </c>
      <c r="AD26" s="2" t="s">
        <v>30</v>
      </c>
      <c r="AE26" s="2" t="s">
        <v>31</v>
      </c>
      <c r="AF26" s="2" t="s">
        <v>32</v>
      </c>
      <c r="AG26" s="2" t="s">
        <v>33</v>
      </c>
      <c r="AH26" s="2" t="s">
        <v>34</v>
      </c>
      <c r="AI26" s="2" t="s">
        <v>35</v>
      </c>
      <c r="AJ26" s="2" t="s">
        <v>36</v>
      </c>
      <c r="AK26" s="2" t="s">
        <v>37</v>
      </c>
      <c r="AL26" s="2" t="s">
        <v>38</v>
      </c>
      <c r="AM26" s="2" t="s">
        <v>39</v>
      </c>
      <c r="AN26" s="2" t="s">
        <v>40</v>
      </c>
      <c r="AO26" s="2" t="s">
        <v>41</v>
      </c>
      <c r="AP26" s="2" t="s">
        <v>42</v>
      </c>
      <c r="AQ26" s="2" t="s">
        <v>57</v>
      </c>
      <c r="AR26" s="2" t="s">
        <v>61</v>
      </c>
    </row>
    <row r="27" spans="1:44" x14ac:dyDescent="0.25">
      <c r="A27" t="s">
        <v>43</v>
      </c>
      <c r="B27" s="1">
        <v>868544</v>
      </c>
      <c r="C27" s="1">
        <v>0</v>
      </c>
      <c r="D27" s="1">
        <v>0</v>
      </c>
      <c r="E27" s="1">
        <v>0</v>
      </c>
      <c r="F27" s="1">
        <v>0</v>
      </c>
      <c r="G27" s="1">
        <v>131072</v>
      </c>
      <c r="H27" s="1">
        <v>0</v>
      </c>
      <c r="I27" s="1">
        <v>0</v>
      </c>
      <c r="J27" s="1">
        <v>0</v>
      </c>
      <c r="K27" s="1">
        <v>131072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f>SUM(Table7[[#This Row],[NONE     ]:[MAX      ]])</f>
        <v>1130688</v>
      </c>
      <c r="AR27" s="5">
        <f>Table7[[#This Row],[Cycle Sum]]/Table7[[#Totals],[Cycle Sum]]</f>
        <v>8.5919567367476451E-3</v>
      </c>
    </row>
    <row r="28" spans="1:44" hidden="1" x14ac:dyDescent="0.25">
      <c r="A28" t="s">
        <v>44</v>
      </c>
      <c r="B28" s="1">
        <v>18176</v>
      </c>
      <c r="C28" s="1">
        <v>0</v>
      </c>
      <c r="D28" s="1">
        <v>0</v>
      </c>
      <c r="E28" s="1">
        <v>1808640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1806340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f>SUM(Table7[[#This Row],[NONE     ]:[MAX      ]])</f>
        <v>3633156</v>
      </c>
      <c r="AR28" s="5">
        <f>Table7[[#This Row],[Cycle Sum]]/Table7[[#Totals],[Cycle Sum]]</f>
        <v>2.7607898173373318E-2</v>
      </c>
    </row>
    <row r="29" spans="1:44" hidden="1" x14ac:dyDescent="0.25">
      <c r="A29" t="s">
        <v>45</v>
      </c>
      <c r="B29" s="1">
        <v>563456</v>
      </c>
      <c r="C29" s="1">
        <v>0</v>
      </c>
      <c r="D29" s="1">
        <v>0</v>
      </c>
      <c r="E29" s="1">
        <v>56067800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12443600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55996400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f>SUM(Table7[[#This Row],[NONE     ]:[MAX      ]])</f>
        <v>125071256</v>
      </c>
      <c r="AR29" s="5">
        <f>Table7[[#This Row],[Cycle Sum]]/Table7[[#Totals],[Cycle Sum]]</f>
        <v>0.95040083609509374</v>
      </c>
    </row>
    <row r="30" spans="1:44" x14ac:dyDescent="0.25">
      <c r="A30" t="s">
        <v>59</v>
      </c>
      <c r="B30" s="1">
        <f>SUM(B28:B29)</f>
        <v>581632</v>
      </c>
      <c r="C30" s="1">
        <f t="shared" ref="C30:AP30" si="5">SUM(C28:C29)</f>
        <v>0</v>
      </c>
      <c r="D30" s="1">
        <f t="shared" si="5"/>
        <v>0</v>
      </c>
      <c r="E30" s="1">
        <f t="shared" si="5"/>
        <v>57876440</v>
      </c>
      <c r="F30" s="1">
        <f t="shared" si="5"/>
        <v>0</v>
      </c>
      <c r="G30" s="1">
        <f t="shared" si="5"/>
        <v>0</v>
      </c>
      <c r="H30" s="1">
        <f t="shared" si="5"/>
        <v>0</v>
      </c>
      <c r="I30" s="1">
        <f t="shared" si="5"/>
        <v>0</v>
      </c>
      <c r="J30" s="1">
        <f t="shared" si="5"/>
        <v>0</v>
      </c>
      <c r="K30" s="1">
        <f t="shared" si="5"/>
        <v>12443600</v>
      </c>
      <c r="L30" s="1">
        <f t="shared" si="5"/>
        <v>0</v>
      </c>
      <c r="M30" s="1">
        <f t="shared" si="5"/>
        <v>0</v>
      </c>
      <c r="N30" s="1">
        <f t="shared" si="5"/>
        <v>0</v>
      </c>
      <c r="O30" s="1">
        <f t="shared" si="5"/>
        <v>0</v>
      </c>
      <c r="P30" s="1">
        <f t="shared" si="5"/>
        <v>0</v>
      </c>
      <c r="Q30" s="1">
        <f t="shared" si="5"/>
        <v>0</v>
      </c>
      <c r="R30" s="1">
        <f t="shared" si="5"/>
        <v>0</v>
      </c>
      <c r="S30" s="1">
        <f t="shared" si="5"/>
        <v>57802740</v>
      </c>
      <c r="T30" s="1">
        <f t="shared" si="5"/>
        <v>0</v>
      </c>
      <c r="U30" s="1">
        <f t="shared" si="5"/>
        <v>0</v>
      </c>
      <c r="V30" s="1">
        <f t="shared" si="5"/>
        <v>0</v>
      </c>
      <c r="W30" s="1">
        <f t="shared" si="5"/>
        <v>0</v>
      </c>
      <c r="X30" s="1">
        <f t="shared" si="5"/>
        <v>0</v>
      </c>
      <c r="Y30" s="1">
        <f t="shared" si="5"/>
        <v>0</v>
      </c>
      <c r="Z30" s="1">
        <f t="shared" si="5"/>
        <v>0</v>
      </c>
      <c r="AA30" s="1">
        <f t="shared" si="5"/>
        <v>0</v>
      </c>
      <c r="AB30" s="1">
        <f t="shared" si="5"/>
        <v>0</v>
      </c>
      <c r="AC30" s="1">
        <f t="shared" si="5"/>
        <v>0</v>
      </c>
      <c r="AD30" s="1">
        <f t="shared" si="5"/>
        <v>0</v>
      </c>
      <c r="AE30" s="1">
        <f t="shared" si="5"/>
        <v>0</v>
      </c>
      <c r="AF30" s="1">
        <f t="shared" si="5"/>
        <v>0</v>
      </c>
      <c r="AG30" s="1">
        <f t="shared" si="5"/>
        <v>0</v>
      </c>
      <c r="AH30" s="1">
        <f t="shared" si="5"/>
        <v>0</v>
      </c>
      <c r="AI30" s="1">
        <f t="shared" si="5"/>
        <v>0</v>
      </c>
      <c r="AJ30" s="1">
        <f t="shared" si="5"/>
        <v>0</v>
      </c>
      <c r="AK30" s="1">
        <f t="shared" si="5"/>
        <v>0</v>
      </c>
      <c r="AL30" s="1">
        <f t="shared" si="5"/>
        <v>0</v>
      </c>
      <c r="AM30" s="1">
        <f t="shared" si="5"/>
        <v>0</v>
      </c>
      <c r="AN30" s="1">
        <f t="shared" si="5"/>
        <v>0</v>
      </c>
      <c r="AO30" s="1">
        <f t="shared" si="5"/>
        <v>0</v>
      </c>
      <c r="AP30" s="1">
        <f t="shared" si="5"/>
        <v>0</v>
      </c>
      <c r="AQ30" s="1">
        <f>SUM(Table7[[#This Row],[NONE     ]:[MAX      ]])</f>
        <v>128704412</v>
      </c>
      <c r="AR30" s="5">
        <f>Table7[[#This Row],[Cycle Sum]]/Table7[[#Totals],[Cycle Sum]]</f>
        <v>0.97800873426846713</v>
      </c>
    </row>
    <row r="31" spans="1:44" x14ac:dyDescent="0.25">
      <c r="A31" t="s">
        <v>46</v>
      </c>
      <c r="B31" s="1">
        <v>40960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200704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200704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f>SUM(Table7[[#This Row],[NONE     ]:[MAX      ]])</f>
        <v>442368</v>
      </c>
      <c r="AR31" s="5">
        <f>Table7[[#This Row],[Cycle Sum]]/Table7[[#Totals],[Cycle Sum]]</f>
        <v>3.3614991206429913E-3</v>
      </c>
    </row>
    <row r="32" spans="1:44" x14ac:dyDescent="0.25">
      <c r="A32" t="s">
        <v>47</v>
      </c>
      <c r="B32" s="1">
        <v>335872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172032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f>SUM(Table7[[#This Row],[NONE     ]:[MAX      ]])</f>
        <v>507904</v>
      </c>
      <c r="AR32" s="5">
        <f>Table7[[#This Row],[Cycle Sum]]/Table7[[#Totals],[Cycle Sum]]</f>
        <v>3.8594989903678787E-3</v>
      </c>
    </row>
    <row r="33" spans="1:51" x14ac:dyDescent="0.25">
      <c r="A33" t="s">
        <v>48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f>SUM(Table7[[#This Row],[NONE     ]:[MAX      ]])</f>
        <v>0</v>
      </c>
      <c r="AR33" s="5">
        <f>Table7[[#This Row],[Cycle Sum]]/Table7[[#Totals],[Cycle Sum]]</f>
        <v>0</v>
      </c>
    </row>
    <row r="34" spans="1:51" x14ac:dyDescent="0.25">
      <c r="A34" t="s">
        <v>49</v>
      </c>
      <c r="B34" s="1">
        <v>328704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150528</v>
      </c>
      <c r="L34" s="1">
        <v>0</v>
      </c>
      <c r="M34" s="1">
        <v>50176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50176</v>
      </c>
      <c r="AE34" s="1">
        <v>0</v>
      </c>
      <c r="AF34" s="1">
        <v>0</v>
      </c>
      <c r="AG34" s="1">
        <v>50176</v>
      </c>
      <c r="AH34" s="1">
        <v>50176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f>SUM(Table7[[#This Row],[NONE     ]:[MAX      ]])</f>
        <v>679936</v>
      </c>
      <c r="AR34" s="5">
        <f>Table7[[#This Row],[Cycle Sum]]/Table7[[#Totals],[Cycle Sum]]</f>
        <v>5.1667486483957092E-3</v>
      </c>
    </row>
    <row r="35" spans="1:51" x14ac:dyDescent="0.25">
      <c r="A35" t="s">
        <v>50</v>
      </c>
      <c r="B35" s="1">
        <v>82944</v>
      </c>
      <c r="C35" s="1">
        <v>0</v>
      </c>
      <c r="D35" s="1">
        <v>0</v>
      </c>
      <c r="E35" s="1">
        <v>0</v>
      </c>
      <c r="F35" s="1">
        <v>0</v>
      </c>
      <c r="G35" s="1">
        <v>50176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f>SUM(Table7[[#This Row],[NONE     ]:[MAX      ]])</f>
        <v>133120</v>
      </c>
      <c r="AR35" s="5">
        <f>Table7[[#This Row],[Cycle Sum]]/Table7[[#Totals],[Cycle Sum]]</f>
        <v>1.0115622353786778E-3</v>
      </c>
    </row>
    <row r="36" spans="1:51" x14ac:dyDescent="0.25">
      <c r="A36" t="s">
        <v>58</v>
      </c>
      <c r="B36" s="1">
        <f>SUBTOTAL(109,Table7[[NONE     ]])</f>
        <v>2238656</v>
      </c>
      <c r="C36" s="1">
        <f>SUBTOTAL(109,Table7[[LOAD     ]])</f>
        <v>0</v>
      </c>
      <c r="D36" s="1">
        <f>SUBTOTAL(109,Table7[[LOADB    ]])</f>
        <v>0</v>
      </c>
      <c r="E36" s="1">
        <f>SUBTOTAL(109,Table7[[LOADS    ]])</f>
        <v>57876440</v>
      </c>
      <c r="F36" s="1">
        <f>SUBTOTAL(109,Table7[[LOADBS   ]])</f>
        <v>0</v>
      </c>
      <c r="G36" s="1">
        <f>SUBTOTAL(109,Table7[[STORE    ]])</f>
        <v>181248</v>
      </c>
      <c r="H36" s="1">
        <f>SUBTOTAL(109,Table7[LOOP_STRT])</f>
        <v>0</v>
      </c>
      <c r="I36" s="1">
        <f>SUBTOTAL(109,Table7[LOOP_END ])</f>
        <v>0</v>
      </c>
      <c r="J36" s="1">
        <f>SUBTOTAL(109,Table7[LOOP_MASK])</f>
        <v>0</v>
      </c>
      <c r="K36" s="1">
        <f>SUBTOTAL(109,Table7[[ADD      ]])</f>
        <v>12925904</v>
      </c>
      <c r="L36" s="1">
        <f>SUBTOTAL(109,Table7[[SUB      ]])</f>
        <v>0</v>
      </c>
      <c r="M36" s="1">
        <f>SUBTOTAL(109,Table7[[MULL     ]])</f>
        <v>50176</v>
      </c>
      <c r="N36" s="1">
        <f>SUBTOTAL(109,Table7[[MULH     ]])</f>
        <v>0</v>
      </c>
      <c r="O36" s="1">
        <f>SUBTOTAL(109,Table7[[MACL     ]])</f>
        <v>0</v>
      </c>
      <c r="P36" s="1">
        <f>SUBTOTAL(109,Table7[[DIVL     ]])</f>
        <v>0</v>
      </c>
      <c r="Q36" s="1">
        <f>SUBTOTAL(109,Table7[[DIVH     ]])</f>
        <v>0</v>
      </c>
      <c r="R36" s="1">
        <f>SUBTOTAL(109,Table7[[MACH     ]])</f>
        <v>0</v>
      </c>
      <c r="S36" s="1">
        <f>SUBTOTAL(109,Table7[MACL_PRE ])</f>
        <v>57802740</v>
      </c>
      <c r="T36" s="1">
        <f>SUBTOTAL(109,Table7[MACH_PRE ])</f>
        <v>0</v>
      </c>
      <c r="U36" s="1">
        <f>SUBTOTAL(109,Table7[[XOR      ]])</f>
        <v>0</v>
      </c>
      <c r="V36" s="1">
        <f>SUBTOTAL(109,Table7[[XNOR     ]])</f>
        <v>0</v>
      </c>
      <c r="W36" s="1">
        <f>SUBTOTAL(109,Table7[[AND      ]])</f>
        <v>0</v>
      </c>
      <c r="X36" s="1">
        <f>SUBTOTAL(109,Table7[[ANDN     ]])</f>
        <v>0</v>
      </c>
      <c r="Y36" s="1">
        <f>SUBTOTAL(109,Table7[[NAND     ]])</f>
        <v>0</v>
      </c>
      <c r="Z36" s="1">
        <f>SUBTOTAL(109,Table7[[OR       ]])</f>
        <v>0</v>
      </c>
      <c r="AA36" s="1">
        <f>SUBTOTAL(109,Table7[[ORN      ]])</f>
        <v>0</v>
      </c>
      <c r="AB36" s="1">
        <f>SUBTOTAL(109,Table7[[NOR      ]])</f>
        <v>0</v>
      </c>
      <c r="AC36" s="1">
        <f>SUBTOTAL(109,Table7[SHIFT_LR ])</f>
        <v>0</v>
      </c>
      <c r="AD36" s="1">
        <f>SUBTOTAL(109,Table7[SHIFT_AR ])</f>
        <v>250880</v>
      </c>
      <c r="AE36" s="1">
        <f>SUBTOTAL(109,Table7[SHIFT_LL ])</f>
        <v>0</v>
      </c>
      <c r="AF36" s="1">
        <f>SUBTOTAL(109,Table7[[ABS      ]])</f>
        <v>0</v>
      </c>
      <c r="AG36" s="1">
        <f>SUBTOTAL(109,Table7[[MIN      ]])</f>
        <v>50176</v>
      </c>
      <c r="AH36" s="1">
        <f>SUBTOTAL(109,Table7[[MAX      ]])</f>
        <v>222208</v>
      </c>
      <c r="AI36" s="1">
        <f>SUBTOTAL(109,Table7[MV_ZE    ])</f>
        <v>0</v>
      </c>
      <c r="AJ36" s="1">
        <f>SUBTOTAL(109,Table7[MV_NZ    ])</f>
        <v>0</v>
      </c>
      <c r="AK36" s="1">
        <f>SUBTOTAL(109,Table7[MV_MI    ])</f>
        <v>0</v>
      </c>
      <c r="AL36" s="1">
        <f>SUBTOTAL(109,Table7[MV_PL    ])</f>
        <v>0</v>
      </c>
      <c r="AM36" s="1">
        <f>SUBTOTAL(109,Table7[[NOP      ]])</f>
        <v>0</v>
      </c>
      <c r="AN36" s="1">
        <f>SUBTOTAL(109,Table7[WAIT_BUSY])</f>
        <v>0</v>
      </c>
      <c r="AO36" s="1">
        <f>SUBTOTAL(109,Table7[PIPELN_W8])</f>
        <v>0</v>
      </c>
      <c r="AP36" s="1">
        <f>SUBTOTAL(109,Table7[IDMASK_GLOBAL: 4294967295])</f>
        <v>0</v>
      </c>
      <c r="AQ36" s="1">
        <f>SUBTOTAL(109,Table7[Cycle Sum])</f>
        <v>131598428</v>
      </c>
    </row>
    <row r="37" spans="1:51" x14ac:dyDescent="0.25">
      <c r="A37" t="s">
        <v>53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51" x14ac:dyDescent="0.25">
      <c r="A38" s="2" t="s">
        <v>1</v>
      </c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2" t="s">
        <v>7</v>
      </c>
      <c r="H38" s="2" t="s">
        <v>8</v>
      </c>
      <c r="I38" s="2" t="s">
        <v>9</v>
      </c>
      <c r="J38" s="2" t="s">
        <v>10</v>
      </c>
      <c r="K38" s="2" t="s">
        <v>11</v>
      </c>
      <c r="L38" s="2" t="s">
        <v>12</v>
      </c>
      <c r="M38" s="2" t="s">
        <v>13</v>
      </c>
      <c r="N38" s="2" t="s">
        <v>14</v>
      </c>
      <c r="O38" s="2" t="s">
        <v>15</v>
      </c>
      <c r="P38" s="2" t="s">
        <v>16</v>
      </c>
      <c r="Q38" s="2" t="s">
        <v>17</v>
      </c>
      <c r="R38" s="2" t="s">
        <v>18</v>
      </c>
      <c r="S38" s="2" t="s">
        <v>19</v>
      </c>
      <c r="T38" s="2" t="s">
        <v>20</v>
      </c>
      <c r="U38" s="2" t="s">
        <v>21</v>
      </c>
      <c r="V38" s="2" t="s">
        <v>22</v>
      </c>
      <c r="W38" s="2" t="s">
        <v>23</v>
      </c>
      <c r="X38" s="2" t="s">
        <v>24</v>
      </c>
      <c r="Y38" s="2" t="s">
        <v>25</v>
      </c>
      <c r="Z38" s="2" t="s">
        <v>26</v>
      </c>
      <c r="AA38" s="2" t="s">
        <v>27</v>
      </c>
      <c r="AB38" s="2" t="s">
        <v>28</v>
      </c>
      <c r="AC38" s="2" t="s">
        <v>29</v>
      </c>
      <c r="AD38" s="2" t="s">
        <v>30</v>
      </c>
      <c r="AE38" s="2" t="s">
        <v>31</v>
      </c>
      <c r="AF38" s="2" t="s">
        <v>32</v>
      </c>
      <c r="AG38" s="2" t="s">
        <v>33</v>
      </c>
      <c r="AH38" s="2" t="s">
        <v>34</v>
      </c>
      <c r="AI38" s="2" t="s">
        <v>35</v>
      </c>
      <c r="AJ38" s="2" t="s">
        <v>36</v>
      </c>
      <c r="AK38" s="2" t="s">
        <v>37</v>
      </c>
      <c r="AL38" s="2" t="s">
        <v>38</v>
      </c>
      <c r="AM38" s="2" t="s">
        <v>39</v>
      </c>
      <c r="AN38" s="2" t="s">
        <v>40</v>
      </c>
      <c r="AO38" s="2" t="s">
        <v>41</v>
      </c>
      <c r="AP38" s="2" t="s">
        <v>42</v>
      </c>
      <c r="AQ38" s="2" t="s">
        <v>57</v>
      </c>
      <c r="AR38" s="2" t="s">
        <v>61</v>
      </c>
      <c r="AU38" s="7" t="s">
        <v>62</v>
      </c>
      <c r="AV38" s="7" t="s">
        <v>57</v>
      </c>
      <c r="AW38" s="7" t="s">
        <v>67</v>
      </c>
      <c r="AX38" s="7"/>
      <c r="AY38" s="7" t="s">
        <v>66</v>
      </c>
    </row>
    <row r="39" spans="1:51" x14ac:dyDescent="0.25">
      <c r="A39" t="s">
        <v>43</v>
      </c>
      <c r="B39" s="1">
        <v>478272</v>
      </c>
      <c r="C39" s="1">
        <v>0</v>
      </c>
      <c r="D39" s="1">
        <v>0</v>
      </c>
      <c r="E39" s="1">
        <v>0</v>
      </c>
      <c r="F39" s="1">
        <v>0</v>
      </c>
      <c r="G39" s="1">
        <v>262144</v>
      </c>
      <c r="H39" s="1">
        <v>0</v>
      </c>
      <c r="I39" s="1">
        <v>0</v>
      </c>
      <c r="J39" s="1">
        <v>0</v>
      </c>
      <c r="K39" s="1">
        <v>262144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f>SUM(Table6[[#This Row],[NONE     ]:[MAX      ]])</f>
        <v>1002560</v>
      </c>
      <c r="AR39" s="6">
        <f>Table6[[#This Row],[Cycle Sum]]/Table6[[#Totals],[Cycle Sum]]</f>
        <v>7.6654445710124964E-3</v>
      </c>
      <c r="AU39" t="str">
        <f>Table6[[#This Row],[Step]]</f>
        <v>Padding</v>
      </c>
      <c r="AV39" s="1">
        <f>Table6[[#This Row],[Cycle Sum]]+AQ3+AQ15+AQ27+AQ51+AQ63+AQ76</f>
        <v>7695142</v>
      </c>
      <c r="AW39" s="6">
        <f>AV39/$AV$48</f>
        <v>1.3440123668513528E-2</v>
      </c>
      <c r="AX39" t="s">
        <v>63</v>
      </c>
      <c r="AY39" s="6">
        <f>0*AW39</f>
        <v>0</v>
      </c>
    </row>
    <row r="40" spans="1:51" hidden="1" x14ac:dyDescent="0.25">
      <c r="A40" t="s">
        <v>44</v>
      </c>
      <c r="B40" s="1">
        <v>9088</v>
      </c>
      <c r="C40" s="1">
        <v>0</v>
      </c>
      <c r="D40" s="1">
        <v>0</v>
      </c>
      <c r="E40" s="1">
        <v>904320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903168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f>SUM(Table6[[#This Row],[NONE     ]:[MAX      ]])</f>
        <v>1816576</v>
      </c>
      <c r="AR40" s="6">
        <f>Table6[[#This Row],[Cycle Sum]]/Table6[[#Totals],[Cycle Sum]]</f>
        <v>1.3889306013636686E-2</v>
      </c>
      <c r="AU40" t="str">
        <f>Table6[[#This Row],[Step]]</f>
        <v>Convolution</v>
      </c>
      <c r="AW40" s="6">
        <f t="shared" ref="AW40:AW47" si="6">AV40/$AV$48</f>
        <v>0</v>
      </c>
      <c r="AY40" s="6"/>
    </row>
    <row r="41" spans="1:51" hidden="1" x14ac:dyDescent="0.25">
      <c r="A41" t="s">
        <v>45</v>
      </c>
      <c r="B41" s="1">
        <v>572544</v>
      </c>
      <c r="C41" s="1">
        <v>0</v>
      </c>
      <c r="D41" s="1">
        <v>0</v>
      </c>
      <c r="E41" s="1">
        <v>56972200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12644400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56899600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f>SUM(Table6[[#This Row],[NONE     ]:[MAX      ]])</f>
        <v>127088744</v>
      </c>
      <c r="AR41" s="6">
        <f>Table6[[#This Row],[Cycle Sum]]/Table6[[#Totals],[Cycle Sum]]</f>
        <v>0.97170416008178762</v>
      </c>
      <c r="AU41" t="str">
        <f>Table6[[#This Row],[Step]]</f>
        <v>Convolution Add</v>
      </c>
      <c r="AW41" s="6">
        <f t="shared" si="6"/>
        <v>0</v>
      </c>
      <c r="AY41" s="6"/>
    </row>
    <row r="42" spans="1:51" x14ac:dyDescent="0.25">
      <c r="A42" t="s">
        <v>59</v>
      </c>
      <c r="B42" s="1">
        <f>SUM(B40:B41)</f>
        <v>581632</v>
      </c>
      <c r="C42" s="1">
        <f t="shared" ref="C42:AH42" si="7">SUM(C40:C41)</f>
        <v>0</v>
      </c>
      <c r="D42" s="1">
        <f t="shared" si="7"/>
        <v>0</v>
      </c>
      <c r="E42" s="1">
        <f t="shared" si="7"/>
        <v>57876520</v>
      </c>
      <c r="F42" s="1">
        <f t="shared" si="7"/>
        <v>0</v>
      </c>
      <c r="G42" s="1">
        <f t="shared" si="7"/>
        <v>0</v>
      </c>
      <c r="H42" s="1">
        <f t="shared" si="7"/>
        <v>0</v>
      </c>
      <c r="I42" s="1">
        <f t="shared" si="7"/>
        <v>0</v>
      </c>
      <c r="J42" s="1">
        <f t="shared" si="7"/>
        <v>0</v>
      </c>
      <c r="K42" s="1">
        <f t="shared" si="7"/>
        <v>12644400</v>
      </c>
      <c r="L42" s="1">
        <f t="shared" si="7"/>
        <v>0</v>
      </c>
      <c r="M42" s="1">
        <f t="shared" si="7"/>
        <v>0</v>
      </c>
      <c r="N42" s="1">
        <f t="shared" si="7"/>
        <v>0</v>
      </c>
      <c r="O42" s="1">
        <f t="shared" si="7"/>
        <v>0</v>
      </c>
      <c r="P42" s="1">
        <f t="shared" si="7"/>
        <v>0</v>
      </c>
      <c r="Q42" s="1">
        <f t="shared" si="7"/>
        <v>0</v>
      </c>
      <c r="R42" s="1">
        <f t="shared" si="7"/>
        <v>0</v>
      </c>
      <c r="S42" s="1">
        <f t="shared" si="7"/>
        <v>57802768</v>
      </c>
      <c r="T42" s="1">
        <f t="shared" si="7"/>
        <v>0</v>
      </c>
      <c r="U42" s="1">
        <f t="shared" si="7"/>
        <v>0</v>
      </c>
      <c r="V42" s="1">
        <f t="shared" si="7"/>
        <v>0</v>
      </c>
      <c r="W42" s="1">
        <f t="shared" si="7"/>
        <v>0</v>
      </c>
      <c r="X42" s="1">
        <f t="shared" si="7"/>
        <v>0</v>
      </c>
      <c r="Y42" s="1">
        <f t="shared" si="7"/>
        <v>0</v>
      </c>
      <c r="Z42" s="1">
        <f t="shared" si="7"/>
        <v>0</v>
      </c>
      <c r="AA42" s="1">
        <f t="shared" si="7"/>
        <v>0</v>
      </c>
      <c r="AB42" s="1">
        <f t="shared" si="7"/>
        <v>0</v>
      </c>
      <c r="AC42" s="1">
        <f t="shared" si="7"/>
        <v>0</v>
      </c>
      <c r="AD42" s="1">
        <f t="shared" si="7"/>
        <v>0</v>
      </c>
      <c r="AE42" s="1">
        <f t="shared" si="7"/>
        <v>0</v>
      </c>
      <c r="AF42" s="1">
        <f t="shared" si="7"/>
        <v>0</v>
      </c>
      <c r="AG42" s="1">
        <f t="shared" si="7"/>
        <v>0</v>
      </c>
      <c r="AH42" s="1">
        <f t="shared" si="7"/>
        <v>0</v>
      </c>
      <c r="AI42" s="1"/>
      <c r="AJ42" s="1"/>
      <c r="AK42" s="1"/>
      <c r="AL42" s="1"/>
      <c r="AM42" s="1"/>
      <c r="AN42" s="1"/>
      <c r="AO42" s="1"/>
      <c r="AP42" s="1"/>
      <c r="AQ42" s="1">
        <f>SUM(Table6[[#This Row],[NONE     ]:[MAX      ]])</f>
        <v>128905320</v>
      </c>
      <c r="AR42" s="6">
        <f>Table6[[#This Row],[Cycle Sum]]/Table6[[#Totals],[Cycle Sum]]</f>
        <v>0.98559346609542431</v>
      </c>
      <c r="AU42" t="str">
        <f>Table6[[#This Row],[Step]]</f>
        <v>Conv</v>
      </c>
      <c r="AV42" s="1">
        <f>AQ79+AQ66+AQ54+Table6[[#This Row],[Cycle Sum]]+AQ30+AQ18+AQ6</f>
        <v>551133192</v>
      </c>
      <c r="AW42" s="6">
        <f t="shared" si="6"/>
        <v>0.96259409615866875</v>
      </c>
      <c r="AX42" t="s">
        <v>65</v>
      </c>
      <c r="AY42" s="6">
        <f>AW42</f>
        <v>0.96259409615866875</v>
      </c>
    </row>
    <row r="43" spans="1:51" x14ac:dyDescent="0.25">
      <c r="A43" t="s">
        <v>46</v>
      </c>
      <c r="B43" s="1">
        <v>20480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100352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100352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f>SUM(Table6[[#This Row],[NONE     ]:[MAX      ]])</f>
        <v>221184</v>
      </c>
      <c r="AR43" s="6">
        <f>Table6[[#This Row],[Cycle Sum]]/Table6[[#Totals],[Cycle Sum]]</f>
        <v>1.6911443624270147E-3</v>
      </c>
      <c r="AU43" t="str">
        <f>Table6[[#This Row],[Step]]</f>
        <v>Bias Shift</v>
      </c>
      <c r="AV43" s="1">
        <f>AQ7+AQ19+AQ31+Table6[[#This Row],[Cycle Sum]]+AQ55+AQ67+AQ80</f>
        <v>3425280</v>
      </c>
      <c r="AW43" s="6">
        <f t="shared" si="6"/>
        <v>5.9824999719675104E-3</v>
      </c>
      <c r="AX43" t="s">
        <v>65</v>
      </c>
      <c r="AY43" s="6">
        <f>AW43</f>
        <v>5.9824999719675104E-3</v>
      </c>
    </row>
    <row r="44" spans="1:51" x14ac:dyDescent="0.25">
      <c r="A44" t="s">
        <v>47</v>
      </c>
      <c r="B44" s="1">
        <v>167936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86016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f>SUM(Table6[[#This Row],[NONE     ]:[MAX      ]])</f>
        <v>253952</v>
      </c>
      <c r="AR44" s="6">
        <f>Table6[[#This Row],[Cycle Sum]]/Table6[[#Totals],[Cycle Sum]]</f>
        <v>1.9416842679717578E-3</v>
      </c>
      <c r="AU44" t="str">
        <f>Table6[[#This Row],[Step]]</f>
        <v>Pooling</v>
      </c>
      <c r="AV44" s="1">
        <f>AQ81+AQ68+AQ56+Table6[[#This Row],[Cycle Sum]]+AQ32+AQ20+AQ8</f>
        <v>3872770</v>
      </c>
      <c r="AW44" s="6">
        <f t="shared" si="6"/>
        <v>6.7640737155609514E-3</v>
      </c>
      <c r="AX44" t="s">
        <v>63</v>
      </c>
      <c r="AY44" s="6">
        <f>0*AW44</f>
        <v>0</v>
      </c>
    </row>
    <row r="45" spans="1:51" x14ac:dyDescent="0.25">
      <c r="A45" t="s">
        <v>48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f>SUM(Table6[[#This Row],[NONE     ]:[MAX      ]])</f>
        <v>0</v>
      </c>
      <c r="AR45" s="6">
        <f>Table6[[#This Row],[Cycle Sum]]/Table6[[#Totals],[Cycle Sum]]</f>
        <v>0</v>
      </c>
      <c r="AU45" t="str">
        <f>Table6[[#This Row],[Step]]</f>
        <v>Relu Rect</v>
      </c>
      <c r="AV45">
        <f>AQ9</f>
        <v>0</v>
      </c>
      <c r="AW45" s="6">
        <f t="shared" si="6"/>
        <v>0</v>
      </c>
      <c r="AX45" s="5" t="s">
        <v>63</v>
      </c>
      <c r="AY45" s="6">
        <f>AW45</f>
        <v>0</v>
      </c>
    </row>
    <row r="46" spans="1:51" x14ac:dyDescent="0.25">
      <c r="A46" t="s">
        <v>49</v>
      </c>
      <c r="B46" s="1">
        <v>164352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75264</v>
      </c>
      <c r="L46" s="1">
        <v>0</v>
      </c>
      <c r="M46" s="1">
        <v>25088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25088</v>
      </c>
      <c r="AE46" s="1">
        <v>0</v>
      </c>
      <c r="AF46" s="1">
        <v>0</v>
      </c>
      <c r="AG46" s="1">
        <v>25088</v>
      </c>
      <c r="AH46" s="1">
        <v>25088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f>SUM(Table6[[#This Row],[NONE     ]:[MAX      ]])</f>
        <v>339968</v>
      </c>
      <c r="AR46" s="6">
        <f>Table6[[#This Row],[Cycle Sum]]/Table6[[#Totals],[Cycle Sum]]</f>
        <v>2.5993515200267081E-3</v>
      </c>
      <c r="AU46" t="str">
        <f>Table6[[#This Row],[Step]]</f>
        <v>Relu Leaky</v>
      </c>
      <c r="AV46" s="1">
        <f>AQ10+AQ22+AQ34+Table6[[#This Row],[Cycle Sum]]+AQ58+AQ70+AQ83</f>
        <v>5359620</v>
      </c>
      <c r="AW46" s="6">
        <f t="shared" si="6"/>
        <v>9.36096508891434E-3</v>
      </c>
      <c r="AX46" t="s">
        <v>64</v>
      </c>
      <c r="AY46" s="6">
        <f>0.6*AW46</f>
        <v>5.6165790533486042E-3</v>
      </c>
    </row>
    <row r="47" spans="1:51" x14ac:dyDescent="0.25">
      <c r="A47" t="s">
        <v>50</v>
      </c>
      <c r="B47" s="1">
        <v>41472</v>
      </c>
      <c r="C47" s="1">
        <v>0</v>
      </c>
      <c r="D47" s="1">
        <v>0</v>
      </c>
      <c r="E47" s="1">
        <v>0</v>
      </c>
      <c r="F47" s="1">
        <v>0</v>
      </c>
      <c r="G47" s="1">
        <v>25088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f>SUM(Table6[[#This Row],[NONE     ]:[MAX      ]])</f>
        <v>66560</v>
      </c>
      <c r="AR47" s="6">
        <f>Table6[[#This Row],[Cycle Sum]]/Table6[[#Totals],[Cycle Sum]]</f>
        <v>5.0890918313775907E-4</v>
      </c>
      <c r="AU47" s="7" t="str">
        <f>Table6[[#This Row],[Step]]</f>
        <v>Store</v>
      </c>
      <c r="AV47" s="8">
        <f>AQ23+AQ35+Table6[[#This Row],[Cycle Sum]]+AQ59+AQ71+AQ84+AQ11</f>
        <v>1063936</v>
      </c>
      <c r="AW47" s="9">
        <f t="shared" si="6"/>
        <v>1.8582413963749607E-3</v>
      </c>
      <c r="AX47" s="7" t="s">
        <v>63</v>
      </c>
      <c r="AY47" s="9">
        <f>0*AW47</f>
        <v>0</v>
      </c>
    </row>
    <row r="48" spans="1:51" x14ac:dyDescent="0.25">
      <c r="A48" t="s">
        <v>58</v>
      </c>
      <c r="B48" s="1">
        <f>SUBTOTAL(109,Table6[[NONE     ]])</f>
        <v>1454144</v>
      </c>
      <c r="C48" s="1">
        <f>SUBTOTAL(109,Table6[[LOAD     ]])</f>
        <v>0</v>
      </c>
      <c r="D48" s="1">
        <f>SUBTOTAL(109,Table6[[LOADB    ]])</f>
        <v>0</v>
      </c>
      <c r="E48" s="1">
        <f>SUBTOTAL(109,Table6[[LOADS    ]])</f>
        <v>57876520</v>
      </c>
      <c r="F48" s="1">
        <f>SUBTOTAL(109,Table6[[LOADBS   ]])</f>
        <v>0</v>
      </c>
      <c r="G48" s="1">
        <f>SUBTOTAL(109,Table6[[STORE    ]])</f>
        <v>287232</v>
      </c>
      <c r="H48" s="1">
        <f>SUBTOTAL(109,Table6[LOOP_STRT])</f>
        <v>0</v>
      </c>
      <c r="I48" s="1">
        <f>SUBTOTAL(109,Table6[LOOP_END ])</f>
        <v>0</v>
      </c>
      <c r="J48" s="1">
        <f>SUBTOTAL(109,Table6[LOOP_MASK])</f>
        <v>0</v>
      </c>
      <c r="K48" s="1">
        <f>SUBTOTAL(109,Table6[[ADD      ]])</f>
        <v>13082160</v>
      </c>
      <c r="L48" s="1">
        <f>SUBTOTAL(109,Table6[[SUB      ]])</f>
        <v>0</v>
      </c>
      <c r="M48" s="1">
        <f>SUBTOTAL(109,Table6[[MULL     ]])</f>
        <v>25088</v>
      </c>
      <c r="N48" s="1">
        <f>SUBTOTAL(109,Table6[[MULH     ]])</f>
        <v>0</v>
      </c>
      <c r="O48" s="1">
        <f>SUBTOTAL(109,Table6[[MACL     ]])</f>
        <v>0</v>
      </c>
      <c r="P48" s="1">
        <f>SUBTOTAL(109,Table6[[DIVL     ]])</f>
        <v>0</v>
      </c>
      <c r="Q48" s="1">
        <f>SUBTOTAL(109,Table6[[DIVH     ]])</f>
        <v>0</v>
      </c>
      <c r="R48" s="1">
        <f>SUBTOTAL(109,Table6[[MACH     ]])</f>
        <v>0</v>
      </c>
      <c r="S48" s="1">
        <f>SUBTOTAL(109,Table6[MACL_PRE ])</f>
        <v>57802768</v>
      </c>
      <c r="T48" s="1">
        <f>SUBTOTAL(109,Table6[MACH_PRE ])</f>
        <v>0</v>
      </c>
      <c r="U48" s="1">
        <f>SUBTOTAL(109,Table6[[XOR      ]])</f>
        <v>0</v>
      </c>
      <c r="V48" s="1">
        <f>SUBTOTAL(109,Table6[[XNOR     ]])</f>
        <v>0</v>
      </c>
      <c r="W48" s="1">
        <f>SUBTOTAL(109,Table6[[AND      ]])</f>
        <v>0</v>
      </c>
      <c r="X48" s="1">
        <f>SUBTOTAL(109,Table6[[ANDN     ]])</f>
        <v>0</v>
      </c>
      <c r="Y48" s="1">
        <f>SUBTOTAL(109,Table6[[NAND     ]])</f>
        <v>0</v>
      </c>
      <c r="Z48" s="1">
        <f>SUBTOTAL(109,Table6[[OR       ]])</f>
        <v>0</v>
      </c>
      <c r="AA48" s="1">
        <f>SUBTOTAL(109,Table6[[ORN      ]])</f>
        <v>0</v>
      </c>
      <c r="AB48" s="1">
        <f>SUBTOTAL(109,Table6[[NOR      ]])</f>
        <v>0</v>
      </c>
      <c r="AC48" s="1">
        <f>SUBTOTAL(109,Table6[SHIFT_LR ])</f>
        <v>0</v>
      </c>
      <c r="AD48" s="1">
        <f>SUBTOTAL(109,Table6[SHIFT_AR ])</f>
        <v>125440</v>
      </c>
      <c r="AE48" s="1">
        <f>SUBTOTAL(109,Table6[SHIFT_LL ])</f>
        <v>0</v>
      </c>
      <c r="AF48" s="1">
        <f>SUBTOTAL(109,Table6[[ABS      ]])</f>
        <v>0</v>
      </c>
      <c r="AG48" s="1">
        <f>SUBTOTAL(109,Table6[[MIN      ]])</f>
        <v>25088</v>
      </c>
      <c r="AH48" s="1">
        <f>SUBTOTAL(109,Table6[[MAX      ]])</f>
        <v>111104</v>
      </c>
      <c r="AI48" s="1">
        <f>SUBTOTAL(109,Table6[MV_ZE    ])</f>
        <v>0</v>
      </c>
      <c r="AJ48" s="1">
        <f>SUBTOTAL(109,Table6[MV_NZ    ])</f>
        <v>0</v>
      </c>
      <c r="AK48" s="1">
        <f>SUBTOTAL(109,Table6[MV_MI    ])</f>
        <v>0</v>
      </c>
      <c r="AL48" s="1">
        <f>SUBTOTAL(109,Table6[MV_PL    ])</f>
        <v>0</v>
      </c>
      <c r="AM48" s="1">
        <f>SUBTOTAL(109,Table6[[NOP      ]])</f>
        <v>0</v>
      </c>
      <c r="AN48" s="1">
        <f>SUBTOTAL(109,Table6[WAIT_BUSY])</f>
        <v>0</v>
      </c>
      <c r="AO48" s="1">
        <f>SUBTOTAL(109,Table6[PIPELN_W8])</f>
        <v>0</v>
      </c>
      <c r="AP48" s="1">
        <f>SUBTOTAL(109,Table6[IDMASK_GLOBAL: 4294967295])</f>
        <v>0</v>
      </c>
      <c r="AQ48" s="1">
        <f>SUBTOTAL(109,Table6[Cycle Sum])</f>
        <v>130789544</v>
      </c>
      <c r="AV48" s="1">
        <f>SUM(AV39:AV47)</f>
        <v>572549940</v>
      </c>
      <c r="AY48" s="5">
        <f>SUM(AY42:AY47)</f>
        <v>0.97419317518398485</v>
      </c>
    </row>
    <row r="49" spans="1:48" x14ac:dyDescent="0.25">
      <c r="A49" t="s">
        <v>54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8" x14ac:dyDescent="0.25">
      <c r="A50" s="2" t="s">
        <v>1</v>
      </c>
      <c r="B50" s="2" t="s">
        <v>2</v>
      </c>
      <c r="C50" s="2" t="s">
        <v>3</v>
      </c>
      <c r="D50" s="2" t="s">
        <v>4</v>
      </c>
      <c r="E50" s="2" t="s">
        <v>5</v>
      </c>
      <c r="F50" s="2" t="s">
        <v>6</v>
      </c>
      <c r="G50" s="2" t="s">
        <v>7</v>
      </c>
      <c r="H50" s="2" t="s">
        <v>8</v>
      </c>
      <c r="I50" s="2" t="s">
        <v>9</v>
      </c>
      <c r="J50" s="2" t="s">
        <v>10</v>
      </c>
      <c r="K50" s="2" t="s">
        <v>11</v>
      </c>
      <c r="L50" s="2" t="s">
        <v>12</v>
      </c>
      <c r="M50" s="2" t="s">
        <v>13</v>
      </c>
      <c r="N50" s="2" t="s">
        <v>14</v>
      </c>
      <c r="O50" s="2" t="s">
        <v>15</v>
      </c>
      <c r="P50" s="2" t="s">
        <v>16</v>
      </c>
      <c r="Q50" s="2" t="s">
        <v>17</v>
      </c>
      <c r="R50" s="2" t="s">
        <v>18</v>
      </c>
      <c r="S50" s="2" t="s">
        <v>19</v>
      </c>
      <c r="T50" s="2" t="s">
        <v>20</v>
      </c>
      <c r="U50" s="2" t="s">
        <v>21</v>
      </c>
      <c r="V50" s="2" t="s">
        <v>22</v>
      </c>
      <c r="W50" s="2" t="s">
        <v>23</v>
      </c>
      <c r="X50" s="2" t="s">
        <v>24</v>
      </c>
      <c r="Y50" s="2" t="s">
        <v>25</v>
      </c>
      <c r="Z50" s="2" t="s">
        <v>26</v>
      </c>
      <c r="AA50" s="2" t="s">
        <v>27</v>
      </c>
      <c r="AB50" s="2" t="s">
        <v>28</v>
      </c>
      <c r="AC50" s="2" t="s">
        <v>29</v>
      </c>
      <c r="AD50" s="2" t="s">
        <v>30</v>
      </c>
      <c r="AE50" s="2" t="s">
        <v>31</v>
      </c>
      <c r="AF50" s="2" t="s">
        <v>32</v>
      </c>
      <c r="AG50" s="2" t="s">
        <v>33</v>
      </c>
      <c r="AH50" s="2" t="s">
        <v>34</v>
      </c>
      <c r="AI50" s="2" t="s">
        <v>35</v>
      </c>
      <c r="AJ50" s="2" t="s">
        <v>36</v>
      </c>
      <c r="AK50" s="2" t="s">
        <v>37</v>
      </c>
      <c r="AL50" s="2" t="s">
        <v>38</v>
      </c>
      <c r="AM50" s="2" t="s">
        <v>39</v>
      </c>
      <c r="AN50" s="2" t="s">
        <v>40</v>
      </c>
      <c r="AO50" s="2" t="s">
        <v>41</v>
      </c>
      <c r="AP50" s="2" t="s">
        <v>42</v>
      </c>
      <c r="AQ50" s="2" t="s">
        <v>57</v>
      </c>
      <c r="AR50" s="2" t="s">
        <v>61</v>
      </c>
      <c r="AV50">
        <f>Table1[[#Totals],[Cycle Sum]]+Table2[[#Totals],[Cycle Sum]]+Table7[[#Totals],[Cycle Sum]]+Table6[[#Totals],[Cycle Sum]]+Table5[[#Totals],[Cycle Sum]]+Table4[[#Totals],[Cycle Sum]]+Table3[[#Totals],[Cycle Sum]]</f>
        <v>572549940</v>
      </c>
    </row>
    <row r="51" spans="1:48" x14ac:dyDescent="0.25">
      <c r="A51" t="s">
        <v>43</v>
      </c>
      <c r="B51" s="1">
        <v>298496</v>
      </c>
      <c r="C51" s="1">
        <v>0</v>
      </c>
      <c r="D51" s="1">
        <v>0</v>
      </c>
      <c r="E51" s="1">
        <v>0</v>
      </c>
      <c r="F51" s="1">
        <v>0</v>
      </c>
      <c r="G51" s="1">
        <v>524288</v>
      </c>
      <c r="H51" s="1">
        <v>0</v>
      </c>
      <c r="I51" s="1">
        <v>0</v>
      </c>
      <c r="J51" s="1">
        <v>0</v>
      </c>
      <c r="K51" s="1">
        <v>524288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f>SUM(Table5[[#This Row],[NONE     ]:[MAX      ]])</f>
        <v>1347072</v>
      </c>
      <c r="AR51" s="6">
        <f>Table5[[#This Row],[Cycle Sum]]/Table5[[#Totals],[Cycle Sum]]</f>
        <v>2.0089634651565477E-2</v>
      </c>
    </row>
    <row r="52" spans="1:48" hidden="1" x14ac:dyDescent="0.25">
      <c r="A52" t="s">
        <v>44</v>
      </c>
      <c r="B52" s="1">
        <v>9088</v>
      </c>
      <c r="C52" s="1">
        <v>0</v>
      </c>
      <c r="D52" s="1">
        <v>0</v>
      </c>
      <c r="E52" s="1">
        <v>226944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225792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f>SUM(Table5[[#This Row],[NONE     ]:[MAX      ]])</f>
        <v>461824</v>
      </c>
      <c r="AR52" s="6">
        <f>Table5[[#This Row],[Cycle Sum]]/Table5[[#Totals],[Cycle Sum]]</f>
        <v>6.8874384096206994E-3</v>
      </c>
    </row>
    <row r="53" spans="1:48" hidden="1" x14ac:dyDescent="0.25">
      <c r="A53" t="s">
        <v>45</v>
      </c>
      <c r="B53" s="1">
        <v>1154180</v>
      </c>
      <c r="C53" s="1">
        <v>0</v>
      </c>
      <c r="D53" s="1">
        <v>0</v>
      </c>
      <c r="E53" s="1">
        <v>28821900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6372350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28675600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f>SUM(Table5[[#This Row],[NONE     ]:[MAX      ]])</f>
        <v>65024030</v>
      </c>
      <c r="AR53" s="6">
        <f>Table5[[#This Row],[Cycle Sum]]/Table5[[#Totals],[Cycle Sum]]</f>
        <v>0.96973955829564651</v>
      </c>
    </row>
    <row r="54" spans="1:48" x14ac:dyDescent="0.25">
      <c r="A54" t="s">
        <v>59</v>
      </c>
      <c r="B54" s="1">
        <f>SUM(B52:B53)</f>
        <v>1163268</v>
      </c>
      <c r="C54" s="1">
        <f t="shared" ref="C54:AH54" si="8">SUM(C52:C53)</f>
        <v>0</v>
      </c>
      <c r="D54" s="1">
        <f t="shared" si="8"/>
        <v>0</v>
      </c>
      <c r="E54" s="1">
        <f t="shared" si="8"/>
        <v>29048844</v>
      </c>
      <c r="F54" s="1">
        <f t="shared" si="8"/>
        <v>0</v>
      </c>
      <c r="G54" s="1">
        <f t="shared" si="8"/>
        <v>0</v>
      </c>
      <c r="H54" s="1">
        <f t="shared" si="8"/>
        <v>0</v>
      </c>
      <c r="I54" s="1">
        <f t="shared" si="8"/>
        <v>0</v>
      </c>
      <c r="J54" s="1">
        <f t="shared" si="8"/>
        <v>0</v>
      </c>
      <c r="K54" s="1">
        <f t="shared" si="8"/>
        <v>6372350</v>
      </c>
      <c r="L54" s="1">
        <f t="shared" si="8"/>
        <v>0</v>
      </c>
      <c r="M54" s="1">
        <f t="shared" si="8"/>
        <v>0</v>
      </c>
      <c r="N54" s="1">
        <f t="shared" si="8"/>
        <v>0</v>
      </c>
      <c r="O54" s="1">
        <f t="shared" si="8"/>
        <v>0</v>
      </c>
      <c r="P54" s="1">
        <f t="shared" si="8"/>
        <v>0</v>
      </c>
      <c r="Q54" s="1">
        <f t="shared" si="8"/>
        <v>0</v>
      </c>
      <c r="R54" s="1">
        <f t="shared" si="8"/>
        <v>0</v>
      </c>
      <c r="S54" s="1">
        <f t="shared" si="8"/>
        <v>28901392</v>
      </c>
      <c r="T54" s="1">
        <f t="shared" si="8"/>
        <v>0</v>
      </c>
      <c r="U54" s="1">
        <f t="shared" si="8"/>
        <v>0</v>
      </c>
      <c r="V54" s="1">
        <f t="shared" si="8"/>
        <v>0</v>
      </c>
      <c r="W54" s="1">
        <f t="shared" si="8"/>
        <v>0</v>
      </c>
      <c r="X54" s="1">
        <f t="shared" si="8"/>
        <v>0</v>
      </c>
      <c r="Y54" s="1">
        <f t="shared" si="8"/>
        <v>0</v>
      </c>
      <c r="Z54" s="1">
        <f t="shared" si="8"/>
        <v>0</v>
      </c>
      <c r="AA54" s="1">
        <f t="shared" si="8"/>
        <v>0</v>
      </c>
      <c r="AB54" s="1">
        <f t="shared" si="8"/>
        <v>0</v>
      </c>
      <c r="AC54" s="1">
        <f t="shared" si="8"/>
        <v>0</v>
      </c>
      <c r="AD54" s="1">
        <f t="shared" si="8"/>
        <v>0</v>
      </c>
      <c r="AE54" s="1">
        <f t="shared" si="8"/>
        <v>0</v>
      </c>
      <c r="AF54" s="1">
        <f t="shared" si="8"/>
        <v>0</v>
      </c>
      <c r="AG54" s="1">
        <f t="shared" si="8"/>
        <v>0</v>
      </c>
      <c r="AH54" s="1">
        <f t="shared" si="8"/>
        <v>0</v>
      </c>
      <c r="AI54" s="1"/>
      <c r="AJ54" s="1"/>
      <c r="AK54" s="1"/>
      <c r="AL54" s="1"/>
      <c r="AM54" s="1"/>
      <c r="AN54" s="1"/>
      <c r="AO54" s="1"/>
      <c r="AP54" s="1"/>
      <c r="AQ54" s="1">
        <f>SUM(Table5[[#This Row],[NONE     ]:[MAX      ]])</f>
        <v>65485854</v>
      </c>
      <c r="AR54" s="6">
        <f>Table5[[#This Row],[Cycle Sum]]/Table5[[#Totals],[Cycle Sum]]</f>
        <v>0.9766269967052672</v>
      </c>
    </row>
    <row r="55" spans="1:48" x14ac:dyDescent="0.25">
      <c r="A55" t="s">
        <v>46</v>
      </c>
      <c r="B55" s="1">
        <v>5120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25088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25088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f>SUM(Table5[[#This Row],[NONE     ]:[MAX      ]])</f>
        <v>55296</v>
      </c>
      <c r="AR55" s="6">
        <f>Table5[[#This Row],[Cycle Sum]]/Table5[[#Totals],[Cycle Sum]]</f>
        <v>8.2466003130713479E-4</v>
      </c>
    </row>
    <row r="56" spans="1:48" x14ac:dyDescent="0.25">
      <c r="A56" t="s">
        <v>47</v>
      </c>
      <c r="B56" s="1">
        <v>41984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21504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f>SUM(Table5[[#This Row],[NONE     ]:[MAX      ]])</f>
        <v>63488</v>
      </c>
      <c r="AR56" s="6">
        <f>Table5[[#This Row],[Cycle Sum]]/Table5[[#Totals],[Cycle Sum]]</f>
        <v>9.4683188779708062E-4</v>
      </c>
    </row>
    <row r="57" spans="1:48" x14ac:dyDescent="0.25">
      <c r="A57" t="s">
        <v>48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f>SUM(Table5[[#This Row],[NONE     ]:[MAX      ]])</f>
        <v>0</v>
      </c>
      <c r="AR57" s="6">
        <f>Table5[[#This Row],[Cycle Sum]]/Table5[[#Totals],[Cycle Sum]]</f>
        <v>0</v>
      </c>
    </row>
    <row r="58" spans="1:48" x14ac:dyDescent="0.25">
      <c r="A58" t="s">
        <v>49</v>
      </c>
      <c r="B58" s="1">
        <v>41088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18816</v>
      </c>
      <c r="L58" s="1">
        <v>0</v>
      </c>
      <c r="M58" s="1">
        <v>6272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6272</v>
      </c>
      <c r="AE58" s="1">
        <v>0</v>
      </c>
      <c r="AF58" s="1">
        <v>0</v>
      </c>
      <c r="AG58" s="1">
        <v>6272</v>
      </c>
      <c r="AH58" s="1">
        <v>6272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f>SUM(Table5[[#This Row],[NONE     ]:[MAX      ]])</f>
        <v>84992</v>
      </c>
      <c r="AR58" s="6">
        <f>Table5[[#This Row],[Cycle Sum]]/Table5[[#Totals],[Cycle Sum]]</f>
        <v>1.2675330110831886E-3</v>
      </c>
    </row>
    <row r="59" spans="1:48" x14ac:dyDescent="0.25">
      <c r="A59" t="s">
        <v>50</v>
      </c>
      <c r="B59" s="1">
        <v>10112</v>
      </c>
      <c r="C59" s="1">
        <v>0</v>
      </c>
      <c r="D59" s="1">
        <v>0</v>
      </c>
      <c r="E59" s="1">
        <v>0</v>
      </c>
      <c r="F59" s="1">
        <v>0</v>
      </c>
      <c r="G59" s="1">
        <v>6272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f>SUM(Table5[[#This Row],[NONE     ]:[MAX      ]])</f>
        <v>16384</v>
      </c>
      <c r="AR59" s="6">
        <f>Table5[[#This Row],[Cycle Sum]]/Table5[[#Totals],[Cycle Sum]]</f>
        <v>2.4434371297989176E-4</v>
      </c>
    </row>
    <row r="60" spans="1:48" x14ac:dyDescent="0.25">
      <c r="A60" t="s">
        <v>58</v>
      </c>
      <c r="B60" s="1">
        <f>SUBTOTAL(109,Table5[[NONE     ]])</f>
        <v>1560068</v>
      </c>
      <c r="C60" s="1">
        <f>SUBTOTAL(109,Table5[[LOAD     ]])</f>
        <v>0</v>
      </c>
      <c r="D60" s="1">
        <f>SUBTOTAL(109,Table5[[LOADB    ]])</f>
        <v>0</v>
      </c>
      <c r="E60" s="1">
        <f>SUBTOTAL(109,Table5[[LOADS    ]])</f>
        <v>29048844</v>
      </c>
      <c r="F60" s="1">
        <f>SUBTOTAL(109,Table5[[LOADBS   ]])</f>
        <v>0</v>
      </c>
      <c r="G60" s="1">
        <f>SUBTOTAL(109,Table5[[STORE    ]])</f>
        <v>530560</v>
      </c>
      <c r="H60" s="1">
        <f>SUBTOTAL(109,Table5[LOOP_STRT])</f>
        <v>0</v>
      </c>
      <c r="I60" s="1">
        <f>SUBTOTAL(109,Table5[LOOP_END ])</f>
        <v>0</v>
      </c>
      <c r="J60" s="1">
        <f>SUBTOTAL(109,Table5[LOOP_MASK])</f>
        <v>0</v>
      </c>
      <c r="K60" s="1">
        <f>SUBTOTAL(109,Table5[[ADD      ]])</f>
        <v>6940542</v>
      </c>
      <c r="L60" s="1">
        <f>SUBTOTAL(109,Table5[[SUB      ]])</f>
        <v>0</v>
      </c>
      <c r="M60" s="1">
        <f>SUBTOTAL(109,Table5[[MULL     ]])</f>
        <v>6272</v>
      </c>
      <c r="N60" s="1">
        <f>SUBTOTAL(109,Table5[[MULH     ]])</f>
        <v>0</v>
      </c>
      <c r="O60" s="1">
        <f>SUBTOTAL(109,Table5[[MACL     ]])</f>
        <v>0</v>
      </c>
      <c r="P60" s="1">
        <f>SUBTOTAL(109,Table5[[DIVL     ]])</f>
        <v>0</v>
      </c>
      <c r="Q60" s="1">
        <f>SUBTOTAL(109,Table5[[DIVH     ]])</f>
        <v>0</v>
      </c>
      <c r="R60" s="1">
        <f>SUBTOTAL(109,Table5[[MACH     ]])</f>
        <v>0</v>
      </c>
      <c r="S60" s="1">
        <f>SUBTOTAL(109,Table5[MACL_PRE ])</f>
        <v>28901392</v>
      </c>
      <c r="T60" s="1">
        <f>SUBTOTAL(109,Table5[MACH_PRE ])</f>
        <v>0</v>
      </c>
      <c r="U60" s="1">
        <f>SUBTOTAL(109,Table5[[XOR      ]])</f>
        <v>0</v>
      </c>
      <c r="V60" s="1">
        <f>SUBTOTAL(109,Table5[[XNOR     ]])</f>
        <v>0</v>
      </c>
      <c r="W60" s="1">
        <f>SUBTOTAL(109,Table5[[AND      ]])</f>
        <v>0</v>
      </c>
      <c r="X60" s="1">
        <f>SUBTOTAL(109,Table5[[ANDN     ]])</f>
        <v>0</v>
      </c>
      <c r="Y60" s="1">
        <f>SUBTOTAL(109,Table5[[NAND     ]])</f>
        <v>0</v>
      </c>
      <c r="Z60" s="1">
        <f>SUBTOTAL(109,Table5[[OR       ]])</f>
        <v>0</v>
      </c>
      <c r="AA60" s="1">
        <f>SUBTOTAL(109,Table5[[ORN      ]])</f>
        <v>0</v>
      </c>
      <c r="AB60" s="1">
        <f>SUBTOTAL(109,Table5[[NOR      ]])</f>
        <v>0</v>
      </c>
      <c r="AC60" s="1">
        <f>SUBTOTAL(109,Table5[SHIFT_LR ])</f>
        <v>0</v>
      </c>
      <c r="AD60" s="1">
        <f>SUBTOTAL(109,Table5[SHIFT_AR ])</f>
        <v>31360</v>
      </c>
      <c r="AE60" s="1">
        <f>SUBTOTAL(109,Table5[SHIFT_LL ])</f>
        <v>0</v>
      </c>
      <c r="AF60" s="1">
        <f>SUBTOTAL(109,Table5[[ABS      ]])</f>
        <v>0</v>
      </c>
      <c r="AG60" s="1">
        <f>SUBTOTAL(109,Table5[[MIN      ]])</f>
        <v>6272</v>
      </c>
      <c r="AH60" s="1">
        <f>SUBTOTAL(109,Table5[[MAX      ]])</f>
        <v>27776</v>
      </c>
      <c r="AI60" s="1">
        <f>SUBTOTAL(109,Table5[MV_ZE    ])</f>
        <v>0</v>
      </c>
      <c r="AJ60" s="1">
        <f>SUBTOTAL(109,Table5[MV_NZ    ])</f>
        <v>0</v>
      </c>
      <c r="AK60" s="1">
        <f>SUBTOTAL(109,Table5[MV_MI    ])</f>
        <v>0</v>
      </c>
      <c r="AL60" s="1">
        <f>SUBTOTAL(109,Table5[MV_PL    ])</f>
        <v>0</v>
      </c>
      <c r="AM60" s="1">
        <f>SUBTOTAL(109,Table5[[NOP      ]])</f>
        <v>0</v>
      </c>
      <c r="AN60" s="1">
        <f>SUBTOTAL(109,Table5[WAIT_BUSY])</f>
        <v>0</v>
      </c>
      <c r="AO60" s="1">
        <f>SUBTOTAL(109,Table5[PIPELN_W8])</f>
        <v>0</v>
      </c>
      <c r="AP60" s="1">
        <f>SUBTOTAL(109,Table5[IDMASK_GLOBAL: 4294967295])</f>
        <v>0</v>
      </c>
      <c r="AQ60" s="1">
        <f>SUBTOTAL(109,Table5[Cycle Sum])</f>
        <v>67053086</v>
      </c>
    </row>
    <row r="61" spans="1:48" x14ac:dyDescent="0.25">
      <c r="A61" t="s">
        <v>55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8" x14ac:dyDescent="0.25">
      <c r="A62" s="2" t="s">
        <v>1</v>
      </c>
      <c r="B62" s="2" t="s">
        <v>2</v>
      </c>
      <c r="C62" s="2" t="s">
        <v>3</v>
      </c>
      <c r="D62" s="2" t="s">
        <v>4</v>
      </c>
      <c r="E62" s="2" t="s">
        <v>5</v>
      </c>
      <c r="F62" s="2" t="s">
        <v>6</v>
      </c>
      <c r="G62" s="2" t="s">
        <v>7</v>
      </c>
      <c r="H62" s="2" t="s">
        <v>8</v>
      </c>
      <c r="I62" s="2" t="s">
        <v>9</v>
      </c>
      <c r="J62" s="2" t="s">
        <v>10</v>
      </c>
      <c r="K62" s="2" t="s">
        <v>11</v>
      </c>
      <c r="L62" s="2" t="s">
        <v>12</v>
      </c>
      <c r="M62" s="2" t="s">
        <v>13</v>
      </c>
      <c r="N62" s="2" t="s">
        <v>14</v>
      </c>
      <c r="O62" s="2" t="s">
        <v>15</v>
      </c>
      <c r="P62" s="2" t="s">
        <v>16</v>
      </c>
      <c r="Q62" s="2" t="s">
        <v>17</v>
      </c>
      <c r="R62" s="2" t="s">
        <v>18</v>
      </c>
      <c r="S62" s="2" t="s">
        <v>19</v>
      </c>
      <c r="T62" s="2" t="s">
        <v>20</v>
      </c>
      <c r="U62" s="2" t="s">
        <v>21</v>
      </c>
      <c r="V62" s="2" t="s">
        <v>22</v>
      </c>
      <c r="W62" s="2" t="s">
        <v>23</v>
      </c>
      <c r="X62" s="2" t="s">
        <v>24</v>
      </c>
      <c r="Y62" s="2" t="s">
        <v>25</v>
      </c>
      <c r="Z62" s="2" t="s">
        <v>26</v>
      </c>
      <c r="AA62" s="2" t="s">
        <v>27</v>
      </c>
      <c r="AB62" s="2" t="s">
        <v>28</v>
      </c>
      <c r="AC62" s="2" t="s">
        <v>29</v>
      </c>
      <c r="AD62" s="2" t="s">
        <v>30</v>
      </c>
      <c r="AE62" s="2" t="s">
        <v>31</v>
      </c>
      <c r="AF62" s="2" t="s">
        <v>32</v>
      </c>
      <c r="AG62" s="2" t="s">
        <v>33</v>
      </c>
      <c r="AH62" s="2" t="s">
        <v>34</v>
      </c>
      <c r="AI62" s="2" t="s">
        <v>35</v>
      </c>
      <c r="AJ62" s="2" t="s">
        <v>36</v>
      </c>
      <c r="AK62" s="2" t="s">
        <v>37</v>
      </c>
      <c r="AL62" s="2" t="s">
        <v>38</v>
      </c>
      <c r="AM62" s="2" t="s">
        <v>39</v>
      </c>
      <c r="AN62" s="2" t="s">
        <v>40</v>
      </c>
      <c r="AO62" s="2" t="s">
        <v>41</v>
      </c>
      <c r="AP62" s="2" t="s">
        <v>42</v>
      </c>
      <c r="AQ62" s="2" t="s">
        <v>57</v>
      </c>
      <c r="AR62" s="2" t="s">
        <v>61</v>
      </c>
    </row>
    <row r="63" spans="1:48" x14ac:dyDescent="0.25">
      <c r="A63" t="s">
        <v>43</v>
      </c>
      <c r="B63" s="1">
        <v>126688</v>
      </c>
      <c r="C63" s="1">
        <v>0</v>
      </c>
      <c r="D63" s="1">
        <v>0</v>
      </c>
      <c r="E63" s="1">
        <v>0</v>
      </c>
      <c r="F63" s="1">
        <v>0</v>
      </c>
      <c r="G63" s="1">
        <v>524288</v>
      </c>
      <c r="H63" s="1">
        <v>0</v>
      </c>
      <c r="I63" s="1">
        <v>0</v>
      </c>
      <c r="J63" s="1">
        <v>0</v>
      </c>
      <c r="K63" s="1">
        <v>524288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f>SUM(Table4[[#This Row],[NONE     ]:[MAX      ]])</f>
        <v>1175264</v>
      </c>
      <c r="AR63" s="6">
        <f>Table4[[#This Row],[Cycle Sum]]/Table4[[#Totals],[Cycle Sum]]</f>
        <v>3.2467538925497905E-2</v>
      </c>
    </row>
    <row r="64" spans="1:48" hidden="1" x14ac:dyDescent="0.25">
      <c r="A64" t="s">
        <v>44</v>
      </c>
      <c r="B64" s="1">
        <v>17664</v>
      </c>
      <c r="C64" s="1">
        <v>0</v>
      </c>
      <c r="D64" s="1">
        <v>0</v>
      </c>
      <c r="E64" s="1">
        <v>115200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112896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f>SUM(Table4[[#This Row],[NONE     ]:[MAX      ]])</f>
        <v>245760</v>
      </c>
      <c r="AR64" s="6">
        <f>Table4[[#This Row],[Cycle Sum]]/Table4[[#Totals],[Cycle Sum]]</f>
        <v>6.7893021196347081E-3</v>
      </c>
    </row>
    <row r="65" spans="1:44" hidden="1" x14ac:dyDescent="0.25">
      <c r="A65" t="s">
        <v>45</v>
      </c>
      <c r="B65" s="1">
        <v>2438400</v>
      </c>
      <c r="C65" s="1">
        <v>0</v>
      </c>
      <c r="D65" s="1">
        <v>0</v>
      </c>
      <c r="E65" s="1">
        <v>14630400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3186180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14337800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f>SUM(Table4[[#This Row],[NONE     ]:[MAX      ]])</f>
        <v>34592780</v>
      </c>
      <c r="AR65" s="6">
        <f>Table4[[#This Row],[Cycle Sum]]/Table4[[#Totals],[Cycle Sum]]</f>
        <v>0.95565118236514135</v>
      </c>
    </row>
    <row r="66" spans="1:44" x14ac:dyDescent="0.25">
      <c r="A66" t="s">
        <v>59</v>
      </c>
      <c r="B66" s="1">
        <f>SUM(B64:B65)</f>
        <v>2456064</v>
      </c>
      <c r="C66" s="1">
        <f t="shared" ref="C66:AH66" si="9">SUM(C64:C65)</f>
        <v>0</v>
      </c>
      <c r="D66" s="1">
        <f t="shared" si="9"/>
        <v>0</v>
      </c>
      <c r="E66" s="1">
        <f t="shared" si="9"/>
        <v>14745600</v>
      </c>
      <c r="F66" s="1">
        <f t="shared" si="9"/>
        <v>0</v>
      </c>
      <c r="G66" s="1">
        <f t="shared" si="9"/>
        <v>0</v>
      </c>
      <c r="H66" s="1">
        <f t="shared" si="9"/>
        <v>0</v>
      </c>
      <c r="I66" s="1">
        <f t="shared" si="9"/>
        <v>0</v>
      </c>
      <c r="J66" s="1">
        <f t="shared" si="9"/>
        <v>0</v>
      </c>
      <c r="K66" s="1">
        <f t="shared" si="9"/>
        <v>3186180</v>
      </c>
      <c r="L66" s="1">
        <f t="shared" si="9"/>
        <v>0</v>
      </c>
      <c r="M66" s="1">
        <f t="shared" si="9"/>
        <v>0</v>
      </c>
      <c r="N66" s="1">
        <f t="shared" si="9"/>
        <v>0</v>
      </c>
      <c r="O66" s="1">
        <f t="shared" si="9"/>
        <v>0</v>
      </c>
      <c r="P66" s="1">
        <f t="shared" si="9"/>
        <v>0</v>
      </c>
      <c r="Q66" s="1">
        <f t="shared" si="9"/>
        <v>0</v>
      </c>
      <c r="R66" s="1">
        <f t="shared" si="9"/>
        <v>0</v>
      </c>
      <c r="S66" s="1">
        <f t="shared" si="9"/>
        <v>14450696</v>
      </c>
      <c r="T66" s="1">
        <f t="shared" si="9"/>
        <v>0</v>
      </c>
      <c r="U66" s="1">
        <f t="shared" si="9"/>
        <v>0</v>
      </c>
      <c r="V66" s="1">
        <f t="shared" si="9"/>
        <v>0</v>
      </c>
      <c r="W66" s="1">
        <f t="shared" si="9"/>
        <v>0</v>
      </c>
      <c r="X66" s="1">
        <f t="shared" si="9"/>
        <v>0</v>
      </c>
      <c r="Y66" s="1">
        <f t="shared" si="9"/>
        <v>0</v>
      </c>
      <c r="Z66" s="1">
        <f t="shared" si="9"/>
        <v>0</v>
      </c>
      <c r="AA66" s="1">
        <f t="shared" si="9"/>
        <v>0</v>
      </c>
      <c r="AB66" s="1">
        <f t="shared" si="9"/>
        <v>0</v>
      </c>
      <c r="AC66" s="1">
        <f t="shared" si="9"/>
        <v>0</v>
      </c>
      <c r="AD66" s="1">
        <f t="shared" si="9"/>
        <v>0</v>
      </c>
      <c r="AE66" s="1">
        <f t="shared" si="9"/>
        <v>0</v>
      </c>
      <c r="AF66" s="1">
        <f t="shared" si="9"/>
        <v>0</v>
      </c>
      <c r="AG66" s="1">
        <f t="shared" si="9"/>
        <v>0</v>
      </c>
      <c r="AH66" s="1">
        <f t="shared" si="9"/>
        <v>0</v>
      </c>
      <c r="AI66" s="1"/>
      <c r="AJ66" s="1"/>
      <c r="AK66" s="1"/>
      <c r="AL66" s="1"/>
      <c r="AM66" s="1"/>
      <c r="AN66" s="1"/>
      <c r="AO66" s="1"/>
      <c r="AP66" s="1"/>
      <c r="AQ66" s="1">
        <f>SUM(Table4[[#This Row],[NONE     ]:[MAX      ]])</f>
        <v>34838540</v>
      </c>
      <c r="AR66" s="6">
        <f>Table4[[#This Row],[Cycle Sum]]/Table4[[#Totals],[Cycle Sum]]</f>
        <v>0.96244048448477604</v>
      </c>
    </row>
    <row r="67" spans="1:44" x14ac:dyDescent="0.25">
      <c r="A67" t="s">
        <v>46</v>
      </c>
      <c r="B67" s="1">
        <v>9728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12544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12544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f>SUM(Table4[[#This Row],[NONE     ]:[MAX      ]])</f>
        <v>34816</v>
      </c>
      <c r="AR67" s="6">
        <f>Table4[[#This Row],[Cycle Sum]]/Table4[[#Totals],[Cycle Sum]]</f>
        <v>9.6181780028158363E-4</v>
      </c>
    </row>
    <row r="68" spans="1:44" x14ac:dyDescent="0.25">
      <c r="A68" t="s">
        <v>47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f>SUM(Table4[[#This Row],[NONE     ]:[MAX      ]])</f>
        <v>0</v>
      </c>
      <c r="AR68" s="6">
        <f>Table4[[#This Row],[Cycle Sum]]/Table4[[#Totals],[Cycle Sum]]</f>
        <v>0</v>
      </c>
    </row>
    <row r="69" spans="1:44" x14ac:dyDescent="0.25">
      <c r="A69" t="s">
        <v>48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f>SUM(Table4[[#This Row],[NONE     ]:[MAX      ]])</f>
        <v>0</v>
      </c>
      <c r="AR69" s="6">
        <f>Table4[[#This Row],[Cycle Sum]]/Table4[[#Totals],[Cycle Sum]]</f>
        <v>0</v>
      </c>
    </row>
    <row r="70" spans="1:44" x14ac:dyDescent="0.25">
      <c r="A70" t="s">
        <v>49</v>
      </c>
      <c r="B70" s="1">
        <v>28928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37632</v>
      </c>
      <c r="L70" s="1">
        <v>0</v>
      </c>
      <c r="M70" s="1">
        <v>12544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12544</v>
      </c>
      <c r="AE70" s="1">
        <v>0</v>
      </c>
      <c r="AF70" s="1">
        <v>0</v>
      </c>
      <c r="AG70" s="1">
        <v>12544</v>
      </c>
      <c r="AH70" s="1">
        <v>12544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f>SUM(Table4[[#This Row],[NONE     ]:[MAX      ]])</f>
        <v>116736</v>
      </c>
      <c r="AR70" s="6">
        <f>Table4[[#This Row],[Cycle Sum]]/Table4[[#Totals],[Cycle Sum]]</f>
        <v>3.2249185068264864E-3</v>
      </c>
    </row>
    <row r="71" spans="1:44" x14ac:dyDescent="0.25">
      <c r="A71" t="s">
        <v>50</v>
      </c>
      <c r="B71" s="1">
        <v>20224</v>
      </c>
      <c r="C71" s="1">
        <v>0</v>
      </c>
      <c r="D71" s="1">
        <v>0</v>
      </c>
      <c r="E71" s="1">
        <v>0</v>
      </c>
      <c r="F71" s="1">
        <v>0</v>
      </c>
      <c r="G71" s="1">
        <v>12544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f>SUM(Table4[[#This Row],[NONE     ]:[MAX      ]])</f>
        <v>32768</v>
      </c>
      <c r="AR71" s="6">
        <f>Table4[[#This Row],[Cycle Sum]]/Table4[[#Totals],[Cycle Sum]]</f>
        <v>9.0524028261796112E-4</v>
      </c>
    </row>
    <row r="72" spans="1:44" x14ac:dyDescent="0.25">
      <c r="A72" t="s">
        <v>58</v>
      </c>
      <c r="B72" s="1">
        <f>SUBTOTAL(109,Table4[[NONE     ]])</f>
        <v>2641632</v>
      </c>
      <c r="C72" s="1">
        <f>SUBTOTAL(109,Table4[[LOAD     ]])</f>
        <v>0</v>
      </c>
      <c r="D72" s="1">
        <f>SUBTOTAL(109,Table4[[LOADB    ]])</f>
        <v>0</v>
      </c>
      <c r="E72" s="1">
        <f>SUBTOTAL(109,Table4[[LOADS    ]])</f>
        <v>14745600</v>
      </c>
      <c r="F72" s="1">
        <f>SUBTOTAL(109,Table4[[LOADBS   ]])</f>
        <v>0</v>
      </c>
      <c r="G72" s="1">
        <f>SUBTOTAL(109,Table4[[STORE    ]])</f>
        <v>536832</v>
      </c>
      <c r="H72" s="1">
        <f>SUBTOTAL(109,Table4[LOOP_STRT])</f>
        <v>0</v>
      </c>
      <c r="I72" s="1">
        <f>SUBTOTAL(109,Table4[LOOP_END ])</f>
        <v>0</v>
      </c>
      <c r="J72" s="1">
        <f>SUBTOTAL(109,Table4[LOOP_MASK])</f>
        <v>0</v>
      </c>
      <c r="K72" s="1">
        <f>SUBTOTAL(109,Table4[[ADD      ]])</f>
        <v>3760644</v>
      </c>
      <c r="L72" s="1">
        <f>SUBTOTAL(109,Table4[[SUB      ]])</f>
        <v>0</v>
      </c>
      <c r="M72" s="1">
        <f>SUBTOTAL(109,Table4[[MULL     ]])</f>
        <v>12544</v>
      </c>
      <c r="N72" s="1">
        <f>SUBTOTAL(109,Table4[[MULH     ]])</f>
        <v>0</v>
      </c>
      <c r="O72" s="1">
        <f>SUBTOTAL(109,Table4[[MACL     ]])</f>
        <v>0</v>
      </c>
      <c r="P72" s="1">
        <f>SUBTOTAL(109,Table4[[DIVL     ]])</f>
        <v>0</v>
      </c>
      <c r="Q72" s="1">
        <f>SUBTOTAL(109,Table4[[DIVH     ]])</f>
        <v>0</v>
      </c>
      <c r="R72" s="1">
        <f>SUBTOTAL(109,Table4[[MACH     ]])</f>
        <v>0</v>
      </c>
      <c r="S72" s="1">
        <f>SUBTOTAL(109,Table4[MACL_PRE ])</f>
        <v>14450696</v>
      </c>
      <c r="T72" s="1">
        <f>SUBTOTAL(109,Table4[MACH_PRE ])</f>
        <v>0</v>
      </c>
      <c r="U72" s="1">
        <f>SUBTOTAL(109,Table4[[XOR      ]])</f>
        <v>0</v>
      </c>
      <c r="V72" s="1">
        <f>SUBTOTAL(109,Table4[[XNOR     ]])</f>
        <v>0</v>
      </c>
      <c r="W72" s="1">
        <f>SUBTOTAL(109,Table4[[AND      ]])</f>
        <v>0</v>
      </c>
      <c r="X72" s="1">
        <f>SUBTOTAL(109,Table4[[ANDN     ]])</f>
        <v>0</v>
      </c>
      <c r="Y72" s="1">
        <f>SUBTOTAL(109,Table4[[NAND     ]])</f>
        <v>0</v>
      </c>
      <c r="Z72" s="1">
        <f>SUBTOTAL(109,Table4[[OR       ]])</f>
        <v>0</v>
      </c>
      <c r="AA72" s="1">
        <f>SUBTOTAL(109,Table4[[ORN      ]])</f>
        <v>0</v>
      </c>
      <c r="AB72" s="1">
        <f>SUBTOTAL(109,Table4[[NOR      ]])</f>
        <v>0</v>
      </c>
      <c r="AC72" s="1">
        <f>SUBTOTAL(109,Table4[SHIFT_LR ])</f>
        <v>0</v>
      </c>
      <c r="AD72" s="1">
        <f>SUBTOTAL(109,Table4[SHIFT_AR ])</f>
        <v>25088</v>
      </c>
      <c r="AE72" s="1">
        <f>SUBTOTAL(109,Table4[SHIFT_LL ])</f>
        <v>0</v>
      </c>
      <c r="AF72" s="1">
        <f>SUBTOTAL(109,Table4[[ABS      ]])</f>
        <v>0</v>
      </c>
      <c r="AG72" s="1">
        <f>SUBTOTAL(109,Table4[[MIN      ]])</f>
        <v>12544</v>
      </c>
      <c r="AH72" s="1">
        <f>SUBTOTAL(109,Table4[[MAX      ]])</f>
        <v>12544</v>
      </c>
      <c r="AQ72" s="1">
        <f>SUBTOTAL(109,Table4[Cycle Sum])</f>
        <v>36198124</v>
      </c>
    </row>
    <row r="73" spans="1:44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4" x14ac:dyDescent="0.25">
      <c r="A74" t="s">
        <v>56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4" x14ac:dyDescent="0.25">
      <c r="A75" s="2" t="s">
        <v>1</v>
      </c>
      <c r="B75" s="2" t="s">
        <v>2</v>
      </c>
      <c r="C75" s="2" t="s">
        <v>3</v>
      </c>
      <c r="D75" s="2" t="s">
        <v>4</v>
      </c>
      <c r="E75" s="2" t="s">
        <v>5</v>
      </c>
      <c r="F75" s="2" t="s">
        <v>6</v>
      </c>
      <c r="G75" s="2" t="s">
        <v>7</v>
      </c>
      <c r="H75" s="2" t="s">
        <v>8</v>
      </c>
      <c r="I75" s="2" t="s">
        <v>9</v>
      </c>
      <c r="J75" s="2" t="s">
        <v>10</v>
      </c>
      <c r="K75" s="2" t="s">
        <v>11</v>
      </c>
      <c r="L75" s="2" t="s">
        <v>12</v>
      </c>
      <c r="M75" s="2" t="s">
        <v>13</v>
      </c>
      <c r="N75" s="2" t="s">
        <v>14</v>
      </c>
      <c r="O75" s="2" t="s">
        <v>15</v>
      </c>
      <c r="P75" s="2" t="s">
        <v>16</v>
      </c>
      <c r="Q75" s="2" t="s">
        <v>17</v>
      </c>
      <c r="R75" s="2" t="s">
        <v>18</v>
      </c>
      <c r="S75" s="2" t="s">
        <v>19</v>
      </c>
      <c r="T75" s="2" t="s">
        <v>20</v>
      </c>
      <c r="U75" s="2" t="s">
        <v>21</v>
      </c>
      <c r="V75" s="2" t="s">
        <v>22</v>
      </c>
      <c r="W75" s="2" t="s">
        <v>23</v>
      </c>
      <c r="X75" s="2" t="s">
        <v>24</v>
      </c>
      <c r="Y75" s="2" t="s">
        <v>25</v>
      </c>
      <c r="Z75" s="2" t="s">
        <v>26</v>
      </c>
      <c r="AA75" s="2" t="s">
        <v>27</v>
      </c>
      <c r="AB75" s="2" t="s">
        <v>28</v>
      </c>
      <c r="AC75" s="2" t="s">
        <v>29</v>
      </c>
      <c r="AD75" s="2" t="s">
        <v>30</v>
      </c>
      <c r="AE75" s="2" t="s">
        <v>31</v>
      </c>
      <c r="AF75" s="2" t="s">
        <v>32</v>
      </c>
      <c r="AG75" s="2" t="s">
        <v>33</v>
      </c>
      <c r="AH75" s="2" t="s">
        <v>34</v>
      </c>
      <c r="AI75" s="2" t="s">
        <v>35</v>
      </c>
      <c r="AJ75" s="2" t="s">
        <v>36</v>
      </c>
      <c r="AK75" s="2" t="s">
        <v>37</v>
      </c>
      <c r="AL75" s="2" t="s">
        <v>38</v>
      </c>
      <c r="AM75" s="2" t="s">
        <v>39</v>
      </c>
      <c r="AN75" s="2" t="s">
        <v>40</v>
      </c>
      <c r="AO75" s="2" t="s">
        <v>41</v>
      </c>
      <c r="AP75" s="2" t="s">
        <v>42</v>
      </c>
      <c r="AQ75" s="2" t="s">
        <v>57</v>
      </c>
      <c r="AR75" s="2" t="s">
        <v>61</v>
      </c>
    </row>
    <row r="76" spans="1:44" x14ac:dyDescent="0.25">
      <c r="A76" t="s">
        <v>43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f>SUM(Table3[[#This Row],[NONE     ]:[MAX      ]])</f>
        <v>0</v>
      </c>
      <c r="AR76" s="6">
        <f>Table3[[#This Row],[Cycle Sum]]/Table3[[#Totals],[Cycle Sum]]</f>
        <v>0</v>
      </c>
    </row>
    <row r="77" spans="1:44" hidden="1" x14ac:dyDescent="0.25">
      <c r="A77" t="s">
        <v>44</v>
      </c>
      <c r="B77" s="1">
        <v>56960</v>
      </c>
      <c r="C77" s="1">
        <v>0</v>
      </c>
      <c r="D77" s="1">
        <v>0</v>
      </c>
      <c r="E77" s="1">
        <v>6400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6272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f>SUM(Table3[[#This Row],[NONE     ]:[MAX      ]])</f>
        <v>69632</v>
      </c>
      <c r="AR77" s="6">
        <f>Table3[[#This Row],[Cycle Sum]]/Table3[[#Totals],[Cycle Sum]]</f>
        <v>3.8303385343322256E-3</v>
      </c>
    </row>
    <row r="78" spans="1:44" hidden="1" x14ac:dyDescent="0.25">
      <c r="A78" t="s">
        <v>45</v>
      </c>
      <c r="B78" s="1">
        <v>11587200</v>
      </c>
      <c r="C78" s="1">
        <v>0</v>
      </c>
      <c r="D78" s="1">
        <v>0</v>
      </c>
      <c r="E78" s="1">
        <v>1632000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3198720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1599360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f>SUM(Table3[[#This Row],[NONE     ]:[MAX      ]])</f>
        <v>18017280</v>
      </c>
      <c r="AR78" s="6">
        <f>Table3[[#This Row],[Cycle Sum]]/Table3[[#Totals],[Cycle Sum]]</f>
        <v>0.99110009575846336</v>
      </c>
    </row>
    <row r="79" spans="1:44" x14ac:dyDescent="0.25">
      <c r="A79" t="s">
        <v>59</v>
      </c>
      <c r="B79" s="1">
        <f>SUM(B77:B78)</f>
        <v>11644160</v>
      </c>
      <c r="C79" s="1">
        <f t="shared" ref="C79:AH79" si="10">SUM(C77:C78)</f>
        <v>0</v>
      </c>
      <c r="D79" s="1">
        <f t="shared" si="10"/>
        <v>0</v>
      </c>
      <c r="E79" s="1">
        <f t="shared" si="10"/>
        <v>1638400</v>
      </c>
      <c r="F79" s="1">
        <f t="shared" si="10"/>
        <v>0</v>
      </c>
      <c r="G79" s="1">
        <f t="shared" si="10"/>
        <v>0</v>
      </c>
      <c r="H79" s="1">
        <f t="shared" si="10"/>
        <v>0</v>
      </c>
      <c r="I79" s="1">
        <f t="shared" si="10"/>
        <v>0</v>
      </c>
      <c r="J79" s="1">
        <f t="shared" si="10"/>
        <v>0</v>
      </c>
      <c r="K79" s="1">
        <f t="shared" si="10"/>
        <v>3198720</v>
      </c>
      <c r="L79" s="1">
        <f t="shared" si="10"/>
        <v>0</v>
      </c>
      <c r="M79" s="1">
        <f t="shared" si="10"/>
        <v>0</v>
      </c>
      <c r="N79" s="1">
        <f t="shared" si="10"/>
        <v>0</v>
      </c>
      <c r="O79" s="1">
        <f t="shared" si="10"/>
        <v>0</v>
      </c>
      <c r="P79" s="1">
        <f t="shared" si="10"/>
        <v>0</v>
      </c>
      <c r="Q79" s="1">
        <f t="shared" si="10"/>
        <v>0</v>
      </c>
      <c r="R79" s="1">
        <f t="shared" si="10"/>
        <v>0</v>
      </c>
      <c r="S79" s="1">
        <f t="shared" si="10"/>
        <v>1605632</v>
      </c>
      <c r="T79" s="1">
        <f t="shared" si="10"/>
        <v>0</v>
      </c>
      <c r="U79" s="1">
        <f t="shared" si="10"/>
        <v>0</v>
      </c>
      <c r="V79" s="1">
        <f t="shared" si="10"/>
        <v>0</v>
      </c>
      <c r="W79" s="1">
        <f t="shared" si="10"/>
        <v>0</v>
      </c>
      <c r="X79" s="1">
        <f t="shared" si="10"/>
        <v>0</v>
      </c>
      <c r="Y79" s="1">
        <f t="shared" si="10"/>
        <v>0</v>
      </c>
      <c r="Z79" s="1">
        <f t="shared" si="10"/>
        <v>0</v>
      </c>
      <c r="AA79" s="1">
        <f t="shared" si="10"/>
        <v>0</v>
      </c>
      <c r="AB79" s="1">
        <f t="shared" si="10"/>
        <v>0</v>
      </c>
      <c r="AC79" s="1">
        <f t="shared" si="10"/>
        <v>0</v>
      </c>
      <c r="AD79" s="1">
        <f t="shared" si="10"/>
        <v>0</v>
      </c>
      <c r="AE79" s="1">
        <f t="shared" si="10"/>
        <v>0</v>
      </c>
      <c r="AF79" s="1">
        <f t="shared" si="10"/>
        <v>0</v>
      </c>
      <c r="AG79" s="1">
        <f t="shared" si="10"/>
        <v>0</v>
      </c>
      <c r="AH79" s="1">
        <f t="shared" si="10"/>
        <v>0</v>
      </c>
      <c r="AI79" s="1"/>
      <c r="AJ79" s="1"/>
      <c r="AK79" s="1"/>
      <c r="AL79" s="1"/>
      <c r="AM79" s="1"/>
      <c r="AN79" s="1"/>
      <c r="AO79" s="1"/>
      <c r="AP79" s="1"/>
      <c r="AQ79" s="1">
        <f>SUM(Table3[[#This Row],[NONE     ]:[MAX      ]])</f>
        <v>18086912</v>
      </c>
      <c r="AR79" s="6">
        <f>Table3[[#This Row],[Cycle Sum]]/Table3[[#Totals],[Cycle Sum]]</f>
        <v>0.9949304342927956</v>
      </c>
    </row>
    <row r="80" spans="1:44" x14ac:dyDescent="0.25">
      <c r="A80" t="s">
        <v>46</v>
      </c>
      <c r="B80" s="1">
        <v>4864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6272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6272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f>SUM(Table3[[#This Row],[NONE     ]:[MAX      ]])</f>
        <v>17408</v>
      </c>
      <c r="AR80" s="6">
        <f>Table3[[#This Row],[Cycle Sum]]/Table3[[#Totals],[Cycle Sum]]</f>
        <v>9.5758463358305639E-4</v>
      </c>
    </row>
    <row r="81" spans="1:44" x14ac:dyDescent="0.25">
      <c r="A81" t="s">
        <v>47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f>SUM(Table3[[#This Row],[NONE     ]:[MAX      ]])</f>
        <v>0</v>
      </c>
      <c r="AR81" s="6">
        <f>Table3[[#This Row],[Cycle Sum]]/Table3[[#Totals],[Cycle Sum]]</f>
        <v>0</v>
      </c>
    </row>
    <row r="82" spans="1:44" x14ac:dyDescent="0.25">
      <c r="A82" t="s">
        <v>48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f>SUM(Table3[[#This Row],[NONE     ]:[MAX      ]])</f>
        <v>0</v>
      </c>
      <c r="AR82" s="6">
        <f>Table3[[#This Row],[Cycle Sum]]/Table3[[#Totals],[Cycle Sum]]</f>
        <v>0</v>
      </c>
    </row>
    <row r="83" spans="1:44" x14ac:dyDescent="0.25">
      <c r="A83" t="s">
        <v>49</v>
      </c>
      <c r="B83" s="1">
        <v>14464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18816</v>
      </c>
      <c r="L83" s="1">
        <v>0</v>
      </c>
      <c r="M83" s="1">
        <v>6272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6272</v>
      </c>
      <c r="AE83" s="1">
        <v>0</v>
      </c>
      <c r="AF83" s="1">
        <v>0</v>
      </c>
      <c r="AG83" s="1">
        <v>6272</v>
      </c>
      <c r="AH83" s="1">
        <v>6272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f>SUM(Table3[[#This Row],[NONE     ]:[MAX      ]])</f>
        <v>58368</v>
      </c>
      <c r="AR83" s="6">
        <f>Table3[[#This Row],[Cycle Sum]]/Table3[[#Totals],[Cycle Sum]]</f>
        <v>3.2107249478961304E-3</v>
      </c>
    </row>
    <row r="84" spans="1:44" x14ac:dyDescent="0.25">
      <c r="A84" t="s">
        <v>50</v>
      </c>
      <c r="B84" s="1">
        <v>10112</v>
      </c>
      <c r="C84" s="1">
        <v>0</v>
      </c>
      <c r="D84" s="1">
        <v>0</v>
      </c>
      <c r="E84" s="1">
        <v>0</v>
      </c>
      <c r="F84" s="1">
        <v>0</v>
      </c>
      <c r="G84" s="1">
        <v>6272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f>SUM(Table3[[#This Row],[NONE     ]:[MAX      ]])</f>
        <v>16384</v>
      </c>
      <c r="AR84" s="6">
        <f>Table3[[#This Row],[Cycle Sum]]/Table3[[#Totals],[Cycle Sum]]</f>
        <v>9.0125612572522951E-4</v>
      </c>
    </row>
    <row r="85" spans="1:44" x14ac:dyDescent="0.25">
      <c r="A85" t="s">
        <v>58</v>
      </c>
      <c r="B85" s="1">
        <f>SUBTOTAL(109,Table3[[NONE     ]])</f>
        <v>11673600</v>
      </c>
      <c r="C85" s="1">
        <f>SUBTOTAL(109,Table3[[LOAD     ]])</f>
        <v>0</v>
      </c>
      <c r="D85" s="1">
        <f>SUBTOTAL(109,Table3[[LOADB    ]])</f>
        <v>0</v>
      </c>
      <c r="E85" s="1">
        <f>SUBTOTAL(109,Table3[[LOADS    ]])</f>
        <v>1638400</v>
      </c>
      <c r="F85" s="1">
        <f>SUBTOTAL(109,Table3[[LOADBS   ]])</f>
        <v>0</v>
      </c>
      <c r="G85" s="1">
        <f>SUBTOTAL(109,Table3[[STORE    ]])</f>
        <v>6272</v>
      </c>
      <c r="H85" s="1">
        <f>SUBTOTAL(109,Table3[LOOP_STRT])</f>
        <v>0</v>
      </c>
      <c r="I85" s="1">
        <f>SUBTOTAL(109,Table3[LOOP_END ])</f>
        <v>0</v>
      </c>
      <c r="J85" s="1">
        <f>SUBTOTAL(109,Table3[LOOP_MASK])</f>
        <v>0</v>
      </c>
      <c r="K85" s="1">
        <f>SUBTOTAL(109,Table3[[ADD      ]])</f>
        <v>3223808</v>
      </c>
      <c r="L85" s="1">
        <f>SUBTOTAL(109,Table3[[SUB      ]])</f>
        <v>0</v>
      </c>
      <c r="M85" s="1">
        <f>SUBTOTAL(109,Table3[[MULL     ]])</f>
        <v>6272</v>
      </c>
      <c r="N85" s="1">
        <f>SUBTOTAL(109,Table3[[MULH     ]])</f>
        <v>0</v>
      </c>
      <c r="O85" s="1">
        <f>SUBTOTAL(109,Table3[[MACL     ]])</f>
        <v>0</v>
      </c>
      <c r="P85" s="1">
        <f>SUBTOTAL(109,Table3[[DIVL     ]])</f>
        <v>0</v>
      </c>
      <c r="Q85" s="1">
        <f>SUBTOTAL(109,Table3[[DIVH     ]])</f>
        <v>0</v>
      </c>
      <c r="R85" s="1">
        <f>SUBTOTAL(109,Table3[[MACH     ]])</f>
        <v>0</v>
      </c>
      <c r="S85" s="1">
        <f>SUBTOTAL(109,Table3[MACL_PRE ])</f>
        <v>1605632</v>
      </c>
      <c r="T85" s="1">
        <f>SUBTOTAL(109,Table3[MACH_PRE ])</f>
        <v>0</v>
      </c>
      <c r="U85" s="1">
        <f>SUBTOTAL(109,Table3[[XOR      ]])</f>
        <v>0</v>
      </c>
      <c r="V85" s="1">
        <f>SUBTOTAL(109,Table3[[XNOR     ]])</f>
        <v>0</v>
      </c>
      <c r="W85" s="1">
        <f>SUBTOTAL(109,Table3[[AND      ]])</f>
        <v>0</v>
      </c>
      <c r="X85" s="1">
        <f>SUBTOTAL(109,Table3[[ANDN     ]])</f>
        <v>0</v>
      </c>
      <c r="Y85" s="1">
        <f>SUBTOTAL(109,Table3[[NAND     ]])</f>
        <v>0</v>
      </c>
      <c r="Z85" s="1">
        <f>SUBTOTAL(109,Table3[[OR       ]])</f>
        <v>0</v>
      </c>
      <c r="AA85" s="1">
        <f>SUBTOTAL(109,Table3[[ORN      ]])</f>
        <v>0</v>
      </c>
      <c r="AB85" s="1">
        <f>SUBTOTAL(109,Table3[[NOR      ]])</f>
        <v>0</v>
      </c>
      <c r="AC85" s="1">
        <f>SUBTOTAL(109,Table3[SHIFT_LR ])</f>
        <v>0</v>
      </c>
      <c r="AD85" s="1">
        <f>SUBTOTAL(109,Table3[SHIFT_AR ])</f>
        <v>12544</v>
      </c>
      <c r="AE85" s="1">
        <f>SUBTOTAL(109,Table3[SHIFT_LL ])</f>
        <v>0</v>
      </c>
      <c r="AF85" s="1">
        <f>SUBTOTAL(109,Table3[[ABS      ]])</f>
        <v>0</v>
      </c>
      <c r="AG85" s="1">
        <f>SUBTOTAL(109,Table3[[MIN      ]])</f>
        <v>6272</v>
      </c>
      <c r="AH85" s="1">
        <f>SUBTOTAL(109,Table3[[MAX      ]])</f>
        <v>6272</v>
      </c>
      <c r="AI85" s="1">
        <f>SUBTOTAL(109,Table3[MV_ZE    ])</f>
        <v>0</v>
      </c>
      <c r="AJ85" s="1">
        <f>SUBTOTAL(109,Table3[MV_NZ    ])</f>
        <v>0</v>
      </c>
      <c r="AK85" s="1">
        <f>SUBTOTAL(109,Table3[MV_MI    ])</f>
        <v>0</v>
      </c>
      <c r="AL85" s="1">
        <f>SUBTOTAL(109,Table3[MV_PL    ])</f>
        <v>0</v>
      </c>
      <c r="AM85" s="1">
        <f>SUBTOTAL(109,Table3[[NOP      ]])</f>
        <v>0</v>
      </c>
      <c r="AN85" s="1">
        <f>SUBTOTAL(109,Table3[WAIT_BUSY])</f>
        <v>0</v>
      </c>
      <c r="AO85" s="1">
        <f>SUBTOTAL(109,Table3[PIPELN_W8])</f>
        <v>0</v>
      </c>
      <c r="AP85" s="1">
        <f>SUBTOTAL(109,Table3[IDMASK_GLOBAL: 4294967295])</f>
        <v>0</v>
      </c>
      <c r="AQ85" s="1">
        <f>SUBTOTAL(109,Table3[Cycle Sum])</f>
        <v>18179072</v>
      </c>
    </row>
  </sheetData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L0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Gesper</dc:creator>
  <cp:lastModifiedBy>Sven Gesper</cp:lastModifiedBy>
  <dcterms:created xsi:type="dcterms:W3CDTF">2019-09-17T09:45:36Z</dcterms:created>
  <dcterms:modified xsi:type="dcterms:W3CDTF">2019-12-16T09:52:44Z</dcterms:modified>
</cp:coreProperties>
</file>