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816A1A51-F814-4710-A0F0-8F64B307DD92}" xr6:coauthVersionLast="43" xr6:coauthVersionMax="43" xr10:uidLastSave="{00000000-0000-0000-0000-000000000000}"/>
  <bookViews>
    <workbookView xWindow="0" yWindow="0" windowWidth="20490" windowHeight="109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49" i="1" l="1"/>
  <c r="D644" i="1"/>
  <c r="D614" i="1" l="1"/>
  <c r="D604" i="1"/>
  <c r="F595" i="1"/>
  <c r="D594" i="1"/>
  <c r="F594" i="1" s="1"/>
  <c r="H572" i="1"/>
  <c r="H573" i="1" s="1"/>
  <c r="H558" i="1"/>
  <c r="H559" i="1" s="1"/>
  <c r="H543" i="1"/>
  <c r="H544" i="1" s="1"/>
  <c r="D550" i="1"/>
  <c r="D564" i="1" s="1"/>
  <c r="I441" i="1"/>
  <c r="G390" i="1"/>
  <c r="H399" i="1"/>
  <c r="D509" i="1" s="1"/>
  <c r="D513" i="1" s="1"/>
  <c r="G374" i="1"/>
  <c r="L347" i="1"/>
  <c r="D4" i="1"/>
  <c r="D400" i="1" s="1"/>
  <c r="A281" i="1"/>
  <c r="D67" i="1"/>
  <c r="D401" i="1" l="1"/>
  <c r="D551" i="1"/>
  <c r="D552" i="1"/>
  <c r="D566" i="1"/>
  <c r="D565" i="1"/>
  <c r="D535" i="1"/>
  <c r="D611" i="1"/>
  <c r="F611" i="1" s="1"/>
  <c r="D256" i="1"/>
  <c r="A102" i="1"/>
  <c r="A282" i="1" s="1"/>
  <c r="A96" i="1"/>
  <c r="A94" i="1"/>
  <c r="D567" i="1" l="1"/>
  <c r="D568" i="1" s="1"/>
  <c r="D553" i="1"/>
  <c r="D554" i="1" s="1"/>
  <c r="D536" i="1"/>
  <c r="D601" i="1"/>
  <c r="D537" i="1"/>
  <c r="D616" i="1"/>
  <c r="D612" i="1"/>
  <c r="D615" i="1" s="1"/>
  <c r="D311" i="1"/>
  <c r="A283" i="1"/>
  <c r="D257" i="1"/>
  <c r="D258" i="1" s="1"/>
  <c r="D259" i="1" s="1"/>
  <c r="D260" i="1" s="1"/>
  <c r="H498" i="1"/>
  <c r="D648" i="1" s="1"/>
  <c r="H469" i="1"/>
  <c r="D467" i="1"/>
  <c r="D468" i="1" s="1"/>
  <c r="D426" i="1"/>
  <c r="G386" i="1"/>
  <c r="G385" i="1"/>
  <c r="G380" i="1"/>
  <c r="G379" i="1"/>
  <c r="G381" i="1" s="1"/>
  <c r="A104" i="1"/>
  <c r="D76" i="1"/>
  <c r="D80" i="1" s="1"/>
  <c r="D384" i="1" s="1"/>
  <c r="F2" i="1"/>
  <c r="D385" i="1"/>
  <c r="D12" i="1"/>
  <c r="D56" i="1"/>
  <c r="D57" i="1"/>
  <c r="D55" i="1"/>
  <c r="D538" i="1" l="1"/>
  <c r="D539" i="1" s="1"/>
  <c r="D497" i="1"/>
  <c r="H560" i="1"/>
  <c r="H574" i="1" s="1"/>
  <c r="D643" i="1" s="1"/>
  <c r="D645" i="1" s="1"/>
  <c r="D602" i="1"/>
  <c r="D606" i="1"/>
  <c r="F601" i="1"/>
  <c r="D271" i="1"/>
  <c r="D324" i="1"/>
  <c r="J385" i="1"/>
  <c r="D9" i="1"/>
  <c r="D8" i="1"/>
  <c r="A284" i="1" s="1"/>
  <c r="D47" i="1"/>
  <c r="D261" i="1" s="1"/>
  <c r="A97" i="1"/>
  <c r="A286" i="1" s="1"/>
  <c r="F602" i="1" l="1"/>
  <c r="D605" i="1"/>
  <c r="D281" i="1"/>
  <c r="D390" i="1"/>
  <c r="J390" i="1" s="1"/>
  <c r="D419" i="1" s="1"/>
  <c r="A287" i="1"/>
  <c r="A285" i="1"/>
  <c r="D430" i="1"/>
  <c r="D432" i="1" s="1"/>
  <c r="H545" i="1" s="1"/>
  <c r="A98" i="1"/>
  <c r="A100" i="1"/>
  <c r="D100" i="1" s="1"/>
  <c r="D69" i="1"/>
  <c r="D269" i="1" s="1"/>
  <c r="D380" i="1"/>
  <c r="J380" i="1" s="1"/>
  <c r="D379" i="1"/>
  <c r="J379" i="1" s="1"/>
  <c r="D74" i="1"/>
  <c r="D65" i="1"/>
  <c r="D96" i="1" s="1"/>
  <c r="D79" i="1"/>
  <c r="D187" i="1"/>
  <c r="D70" i="1"/>
  <c r="D270" i="1" s="1"/>
  <c r="D175" i="1"/>
  <c r="D59" i="1"/>
  <c r="D64" i="1"/>
  <c r="D7" i="1"/>
  <c r="D60" i="1"/>
  <c r="D61" i="1"/>
  <c r="D266" i="1" s="1"/>
  <c r="D275" i="1" s="1"/>
  <c r="D283" i="1" s="1"/>
  <c r="A95" i="1" l="1"/>
  <c r="A103" i="1" s="1"/>
  <c r="G391" i="1"/>
  <c r="D402" i="1"/>
  <c r="D403" i="1"/>
  <c r="D276" i="1"/>
  <c r="D284" i="1" s="1"/>
  <c r="A288" i="1"/>
  <c r="D288" i="1" s="1"/>
  <c r="D287" i="1"/>
  <c r="A101" i="1"/>
  <c r="D101" i="1" s="1"/>
  <c r="A105" i="1"/>
  <c r="D105" i="1" s="1"/>
  <c r="D98" i="1"/>
  <c r="D265" i="1"/>
  <c r="D410" i="1"/>
  <c r="D102" i="1"/>
  <c r="D386" i="1"/>
  <c r="J386" i="1" s="1"/>
  <c r="G383" i="1"/>
  <c r="D66" i="1"/>
  <c r="D267" i="1" s="1"/>
  <c r="D73" i="1"/>
  <c r="G384" i="1"/>
  <c r="J384" i="1" s="1"/>
  <c r="G382" i="1"/>
  <c r="D231" i="1"/>
  <c r="D381" i="1"/>
  <c r="J381" i="1" s="1"/>
  <c r="D104" i="1"/>
  <c r="D97" i="1"/>
  <c r="D94" i="1"/>
  <c r="D245" i="1"/>
  <c r="A99" i="1" l="1"/>
  <c r="A289" i="1" s="1"/>
  <c r="D289" i="1" s="1"/>
  <c r="D391" i="1"/>
  <c r="J391" i="1" s="1"/>
  <c r="D353" i="1"/>
  <c r="D354" i="1" s="1"/>
  <c r="D355" i="1" s="1"/>
  <c r="D404" i="1"/>
  <c r="D405" i="1" s="1"/>
  <c r="D277" i="1"/>
  <c r="D274" i="1"/>
  <c r="D282" i="1" s="1"/>
  <c r="D286" i="1"/>
  <c r="D407" i="1"/>
  <c r="D382" i="1"/>
  <c r="J382" i="1" s="1"/>
  <c r="D240" i="1"/>
  <c r="D244" i="1" s="1"/>
  <c r="D250" i="1" s="1"/>
  <c r="D227" i="1"/>
  <c r="D95" i="1"/>
  <c r="D103" i="1"/>
  <c r="D383" i="1"/>
  <c r="J383" i="1" s="1"/>
  <c r="D99" i="1" l="1"/>
  <c r="D174" i="1" s="1"/>
  <c r="D176" i="1" s="1"/>
  <c r="D428" i="1"/>
  <c r="D230" i="1"/>
  <c r="D236" i="1" s="1"/>
  <c r="D285" i="1"/>
  <c r="D310" i="1" s="1"/>
  <c r="D455" i="1" s="1"/>
  <c r="D488" i="1" s="1"/>
  <c r="D369" i="1"/>
  <c r="D371" i="1" s="1"/>
  <c r="D360" i="1"/>
  <c r="D362" i="1" s="1"/>
  <c r="D186" i="1"/>
  <c r="D434" i="1" l="1"/>
  <c r="D435" i="1" s="1"/>
  <c r="D437" i="1" s="1"/>
  <c r="D438" i="1" s="1"/>
  <c r="D540" i="1"/>
  <c r="D541" i="1" s="1"/>
  <c r="D542" i="1" s="1"/>
  <c r="D543" i="1" s="1"/>
  <c r="D544" i="1" s="1"/>
  <c r="D545" i="1" s="1"/>
  <c r="D323" i="1"/>
  <c r="D312" i="1"/>
  <c r="D336" i="1"/>
  <c r="D647" i="1" s="1"/>
  <c r="D188" i="1"/>
  <c r="D449" i="1"/>
  <c r="D484" i="1" s="1"/>
  <c r="D200" i="1"/>
  <c r="D680" i="1" s="1"/>
  <c r="D443" i="1"/>
  <c r="D480" i="1" s="1"/>
  <c r="D194" i="1"/>
  <c r="D672" i="1" l="1"/>
  <c r="D337" i="1"/>
  <c r="D456" i="1"/>
  <c r="D489" i="1" s="1"/>
  <c r="D325" i="1"/>
  <c r="D461" i="1"/>
  <c r="D493" i="1" s="1"/>
  <c r="D341" i="1"/>
  <c r="D450" i="1"/>
  <c r="D201" i="1"/>
  <c r="D444" i="1"/>
  <c r="D195" i="1"/>
  <c r="D664" i="1" l="1"/>
  <c r="D451" i="1"/>
  <c r="D483" i="1"/>
  <c r="D679" i="1" s="1"/>
  <c r="D681" i="1" s="1"/>
  <c r="D682" i="1" s="1"/>
  <c r="D683" i="1" s="1"/>
  <c r="D685" i="1" s="1"/>
  <c r="D686" i="1" s="1"/>
  <c r="D342" i="1"/>
  <c r="D462" i="1"/>
  <c r="D457" i="1"/>
  <c r="D445" i="1"/>
  <c r="D479" i="1"/>
  <c r="D671" i="1" s="1"/>
  <c r="D673" i="1" s="1"/>
  <c r="D674" i="1" s="1"/>
  <c r="D675" i="1" s="1"/>
  <c r="D677" i="1" s="1"/>
  <c r="D678" i="1" s="1"/>
  <c r="D463" i="1" l="1"/>
  <c r="D465" i="1" s="1"/>
  <c r="D555" i="1" s="1"/>
  <c r="D556" i="1" s="1"/>
  <c r="D557" i="1" s="1"/>
  <c r="D558" i="1" s="1"/>
  <c r="D559" i="1" s="1"/>
  <c r="D560" i="1" s="1"/>
  <c r="D494" i="1"/>
  <c r="D663" i="1" s="1"/>
  <c r="D665" i="1" s="1"/>
  <c r="D666" i="1" s="1"/>
  <c r="D667" i="1" s="1"/>
  <c r="D669" i="1" s="1"/>
  <c r="D670" i="1" s="1"/>
  <c r="D496" i="1" l="1"/>
  <c r="D499" i="1" s="1"/>
  <c r="D500" i="1" s="1"/>
  <c r="D502" i="1" s="1"/>
  <c r="D503" i="1" s="1"/>
  <c r="D470" i="1"/>
  <c r="D471" i="1" s="1"/>
  <c r="D473" i="1" s="1"/>
  <c r="D474" i="1" s="1"/>
  <c r="D646" i="1" l="1"/>
  <c r="D650" i="1" s="1"/>
  <c r="D651" i="1" s="1"/>
  <c r="D652" i="1" s="1"/>
  <c r="D654" i="1" s="1"/>
  <c r="D655" i="1" s="1"/>
  <c r="D569" i="1"/>
  <c r="D570" i="1" s="1"/>
  <c r="D571" i="1" s="1"/>
  <c r="D572" i="1" s="1"/>
  <c r="D573" i="1" s="1"/>
  <c r="D574" i="1" s="1"/>
</calcChain>
</file>

<file path=xl/sharedStrings.xml><?xml version="1.0" encoding="utf-8"?>
<sst xmlns="http://schemas.openxmlformats.org/spreadsheetml/2006/main" count="702" uniqueCount="232">
  <si>
    <t>Ancho de la zapata</t>
  </si>
  <si>
    <t>~0,1H</t>
  </si>
  <si>
    <t>Altura del estribo(H)</t>
  </si>
  <si>
    <t>~(0,6-1)H</t>
  </si>
  <si>
    <t>un poco mayor que el espesor del muro</t>
  </si>
  <si>
    <t>al menos 4,10m para que pasen los vehículos</t>
  </si>
  <si>
    <t>m</t>
  </si>
  <si>
    <t>Ancho del pie</t>
  </si>
  <si>
    <t>Ancho del talón</t>
  </si>
  <si>
    <t>Espesor zapata</t>
  </si>
  <si>
    <t>Densidad del H.A.</t>
  </si>
  <si>
    <t>Densidad del relleno</t>
  </si>
  <si>
    <t>t/m3</t>
  </si>
  <si>
    <t>Ф</t>
  </si>
  <si>
    <t>α</t>
  </si>
  <si>
    <t>β</t>
  </si>
  <si>
    <t>δ</t>
  </si>
  <si>
    <t>º</t>
  </si>
  <si>
    <t>ángulo fricción suelo, un relleno granular no tiene cohesión</t>
  </si>
  <si>
    <t>ángulo fricción interfaz muro-suelo</t>
  </si>
  <si>
    <t>pendiente relleno</t>
  </si>
  <si>
    <t>inclinación pantalla</t>
  </si>
  <si>
    <t>ka</t>
  </si>
  <si>
    <t>VLL</t>
  </si>
  <si>
    <t>VDC</t>
  </si>
  <si>
    <t>VDW</t>
  </si>
  <si>
    <t>Ancho superestructura</t>
  </si>
  <si>
    <t># carriles</t>
  </si>
  <si>
    <t>γDC</t>
  </si>
  <si>
    <t>γDW</t>
  </si>
  <si>
    <t>γLL</t>
  </si>
  <si>
    <t>t</t>
  </si>
  <si>
    <t>LL</t>
  </si>
  <si>
    <t>DC</t>
  </si>
  <si>
    <t>DW</t>
  </si>
  <si>
    <t>t/m</t>
  </si>
  <si>
    <t>SIN MAYORAR</t>
  </si>
  <si>
    <t>Cargas verticales de la superestructura</t>
  </si>
  <si>
    <t>TALLER ANTERIOR, mayoradas</t>
  </si>
  <si>
    <t>*se supone que es identica en vigas exteriores e interiores</t>
  </si>
  <si>
    <t># vigas</t>
  </si>
  <si>
    <t>*repartidos por 4 vigas en un ancho de 10,5m</t>
  </si>
  <si>
    <t>BR</t>
  </si>
  <si>
    <t>peso HL93</t>
  </si>
  <si>
    <t>*solo entran 2 ejes</t>
  </si>
  <si>
    <t>EH</t>
  </si>
  <si>
    <t>*existen 2 estribos en ambos extremos</t>
  </si>
  <si>
    <t>EV1</t>
  </si>
  <si>
    <t>Altura pantalla</t>
  </si>
  <si>
    <t>EV2</t>
  </si>
  <si>
    <t>*componente vertical del relleno a la derecha del muro</t>
  </si>
  <si>
    <t>*componente vertical del rellenoa la izquierda del muro</t>
  </si>
  <si>
    <t>Altura relleno frontal</t>
  </si>
  <si>
    <t>W1</t>
  </si>
  <si>
    <t>W2</t>
  </si>
  <si>
    <t>peso pantalla</t>
  </si>
  <si>
    <t>peso zapata</t>
  </si>
  <si>
    <t>Espesor pantalla</t>
  </si>
  <si>
    <t>ft</t>
  </si>
  <si>
    <t>Altura de suelo equivalente a la carga vehicular</t>
  </si>
  <si>
    <t>B/6</t>
  </si>
  <si>
    <t>e</t>
  </si>
  <si>
    <t>LS horizontal</t>
  </si>
  <si>
    <t>LS vertical</t>
  </si>
  <si>
    <t>ES vertical</t>
  </si>
  <si>
    <t>ES horizontal</t>
  </si>
  <si>
    <t>Sobrecarga por maquinaria</t>
  </si>
  <si>
    <t>t/m2</t>
  </si>
  <si>
    <t>*"-" es una resultante que cae a la izquierda del centro de rotación</t>
  </si>
  <si>
    <t>Resistencia 1</t>
  </si>
  <si>
    <t>DC,DW,EH,EV,ES,LL,BR,LS</t>
  </si>
  <si>
    <t>Resistencia 4</t>
  </si>
  <si>
    <t>DC,DW,EH,EV,ES,</t>
  </si>
  <si>
    <t>Evento extremo 1</t>
  </si>
  <si>
    <t>DC,DW,EH,EV,ES,LL,BR,LS,EQ</t>
  </si>
  <si>
    <t>γLL,BR,LS</t>
  </si>
  <si>
    <t>γEH</t>
  </si>
  <si>
    <t>γEV</t>
  </si>
  <si>
    <t>γES</t>
  </si>
  <si>
    <t>γEQ</t>
  </si>
  <si>
    <t>MESh</t>
  </si>
  <si>
    <t>MESv</t>
  </si>
  <si>
    <t>MEH</t>
  </si>
  <si>
    <t>MW1</t>
  </si>
  <si>
    <t>MDC</t>
  </si>
  <si>
    <t>MEV1</t>
  </si>
  <si>
    <t>MEV2</t>
  </si>
  <si>
    <t>MLL</t>
  </si>
  <si>
    <t>MBR</t>
  </si>
  <si>
    <t>MLSv</t>
  </si>
  <si>
    <t>MLSh</t>
  </si>
  <si>
    <t>MDW</t>
  </si>
  <si>
    <t>tm/m</t>
  </si>
  <si>
    <t>brazos de palanca</t>
  </si>
  <si>
    <t>+</t>
  </si>
  <si>
    <t>-</t>
  </si>
  <si>
    <t>Evaluación volcamiento sin sismo</t>
  </si>
  <si>
    <t>Evaluación esfuerzo de contacto sin sismo</t>
  </si>
  <si>
    <t>σv</t>
  </si>
  <si>
    <t>qadm</t>
  </si>
  <si>
    <t>Evaluación deslizamiento sin sismo</t>
  </si>
  <si>
    <t>V</t>
  </si>
  <si>
    <t>Rt</t>
  </si>
  <si>
    <t>Fact</t>
  </si>
  <si>
    <t>Фt</t>
  </si>
  <si>
    <t>*concreto fundido sobre arena</t>
  </si>
  <si>
    <t>Armado principal de los elementos</t>
  </si>
  <si>
    <t>Pantalla</t>
  </si>
  <si>
    <t>Pie</t>
  </si>
  <si>
    <t>Talón</t>
  </si>
  <si>
    <t>ESV</t>
  </si>
  <si>
    <t>LSv</t>
  </si>
  <si>
    <t>B-2e</t>
  </si>
  <si>
    <t>LSh</t>
  </si>
  <si>
    <t>Brazo de palanca</t>
  </si>
  <si>
    <t>Momentos</t>
  </si>
  <si>
    <t>Mpa</t>
  </si>
  <si>
    <t>Mpie</t>
  </si>
  <si>
    <t>Mdiseño</t>
  </si>
  <si>
    <t>distancia apoyo superficie</t>
  </si>
  <si>
    <t>Esh</t>
  </si>
  <si>
    <t>M talón</t>
  </si>
  <si>
    <t>long. en contacto</t>
  </si>
  <si>
    <t>rec</t>
  </si>
  <si>
    <t>cm</t>
  </si>
  <si>
    <t>ancho pantalla</t>
  </si>
  <si>
    <t>var supuesta</t>
  </si>
  <si>
    <t>mm</t>
  </si>
  <si>
    <t>d</t>
  </si>
  <si>
    <t>Rn</t>
  </si>
  <si>
    <t>ϕ</t>
  </si>
  <si>
    <t>ρ</t>
  </si>
  <si>
    <t>f'c</t>
  </si>
  <si>
    <t>fy</t>
  </si>
  <si>
    <t>kg/cm2</t>
  </si>
  <si>
    <t>As</t>
  </si>
  <si>
    <t>cm2/cm</t>
  </si>
  <si>
    <t>Avar</t>
  </si>
  <si>
    <t>S calc.</t>
  </si>
  <si>
    <t>S adop.</t>
  </si>
  <si>
    <t>ancho zapata</t>
  </si>
  <si>
    <t xml:space="preserve">*altura de BR bajo la superficie </t>
  </si>
  <si>
    <t>Ψ</t>
  </si>
  <si>
    <t>KAE</t>
  </si>
  <si>
    <t>kh</t>
  </si>
  <si>
    <t>kv</t>
  </si>
  <si>
    <t>z</t>
  </si>
  <si>
    <t>g</t>
  </si>
  <si>
    <t>*simplificacíon para estribos flexibles</t>
  </si>
  <si>
    <t>θ</t>
  </si>
  <si>
    <t>Evaluación con sismo</t>
  </si>
  <si>
    <t>PAE</t>
  </si>
  <si>
    <t>Ws</t>
  </si>
  <si>
    <t>kaf</t>
  </si>
  <si>
    <t>Ws=EV1</t>
  </si>
  <si>
    <t>khDC</t>
  </si>
  <si>
    <t>khW1</t>
  </si>
  <si>
    <t>khWs</t>
  </si>
  <si>
    <t>*no se toma en cuenta sobrecargas y LL's ni el relleno a la izq</t>
  </si>
  <si>
    <t>khDW</t>
  </si>
  <si>
    <t>Fuerzas inerciales</t>
  </si>
  <si>
    <t>MPAE</t>
  </si>
  <si>
    <t>MWs</t>
  </si>
  <si>
    <t>MkhDC</t>
  </si>
  <si>
    <t>MkhDW</t>
  </si>
  <si>
    <t>MkhW1</t>
  </si>
  <si>
    <t>MkhWs</t>
  </si>
  <si>
    <t>Primer Caso</t>
  </si>
  <si>
    <t>Segundo Caso</t>
  </si>
  <si>
    <t>Primer caso 100% PAE+50% PIR</t>
  </si>
  <si>
    <t>Segundo caso 50% PAE+100% PIR</t>
  </si>
  <si>
    <t>Evaluación volcamiento</t>
  </si>
  <si>
    <t>Evaluación qadm</t>
  </si>
  <si>
    <t>Evaluación deslizamiento</t>
  </si>
  <si>
    <t>ФtRt</t>
  </si>
  <si>
    <t>Momentos sin sismo</t>
  </si>
  <si>
    <t>Momentos con sismo</t>
  </si>
  <si>
    <t>Ag</t>
  </si>
  <si>
    <t>cm2/m</t>
  </si>
  <si>
    <t>area bruta por metro de pantalla</t>
  </si>
  <si>
    <t>0,1*Ф*f'cAg</t>
  </si>
  <si>
    <t>*fuerza axial con resistencia 4</t>
  </si>
  <si>
    <t>*fuerza axial con resistencia 1</t>
  </si>
  <si>
    <t>Pu</t>
  </si>
  <si>
    <t>Pumáx</t>
  </si>
  <si>
    <t>Evento Extremo 1, solo caso con 100% PAE</t>
  </si>
  <si>
    <t>Evento Extremo 1, Primer caso 100% PAE+50% PIR</t>
  </si>
  <si>
    <t>Evento Extremo 1, Segundo caso 50% PAE+100% PIR</t>
  </si>
  <si>
    <t>Armado minimo de los elementos</t>
  </si>
  <si>
    <t>γ1</t>
  </si>
  <si>
    <t>γ3</t>
  </si>
  <si>
    <t>fcpe</t>
  </si>
  <si>
    <t>no existe presfuerzo</t>
  </si>
  <si>
    <t>fr</t>
  </si>
  <si>
    <t>Sc=Snc</t>
  </si>
  <si>
    <t>Ig</t>
  </si>
  <si>
    <t>cm4/m</t>
  </si>
  <si>
    <t>cm3/m</t>
  </si>
  <si>
    <t>c</t>
  </si>
  <si>
    <t>Mcr</t>
  </si>
  <si>
    <t>1,33Mu</t>
  </si>
  <si>
    <t>M de diseño acero min</t>
  </si>
  <si>
    <t>Armado de retracción y temperatura</t>
  </si>
  <si>
    <t xml:space="preserve">Acero minimo </t>
  </si>
  <si>
    <t>Acero maximo</t>
  </si>
  <si>
    <t>in2/ft</t>
  </si>
  <si>
    <t>As calc.</t>
  </si>
  <si>
    <t>h</t>
  </si>
  <si>
    <t>b</t>
  </si>
  <si>
    <t>cm2</t>
  </si>
  <si>
    <t>S req</t>
  </si>
  <si>
    <t>S min</t>
  </si>
  <si>
    <t>S adop</t>
  </si>
  <si>
    <t>in</t>
  </si>
  <si>
    <t>Pie y Talón</t>
  </si>
  <si>
    <t>εs</t>
  </si>
  <si>
    <t>Diseño a corte en el talón</t>
  </si>
  <si>
    <t>*tmb se puede hacer en otros elementos</t>
  </si>
  <si>
    <t>dv</t>
  </si>
  <si>
    <t>0,9d</t>
  </si>
  <si>
    <t>0,72e. zapata</t>
  </si>
  <si>
    <t>Es</t>
  </si>
  <si>
    <t>* no existen estribos</t>
  </si>
  <si>
    <t>Vc=Vn</t>
  </si>
  <si>
    <t>ФVn</t>
  </si>
  <si>
    <t xml:space="preserve">Evento Extremo 1, Primer caso </t>
  </si>
  <si>
    <t xml:space="preserve">Evento Extremo 1, Segundo caso </t>
  </si>
  <si>
    <t>Mu</t>
  </si>
  <si>
    <t>Vu</t>
  </si>
  <si>
    <t>*mayor en sismo</t>
  </si>
  <si>
    <t>*diferente con sismo</t>
  </si>
  <si>
    <t>*secciones controladas a tensión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</si>
</sst>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006100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2" borderId="0" applyNumberFormat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/>
    <xf numFmtId="2" fontId="3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center"/>
    </xf>
    <xf numFmtId="0" fontId="16" fillId="0" borderId="0" xfId="0" applyFont="1"/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center" vertical="center"/>
    </xf>
    <xf numFmtId="0" fontId="13" fillId="2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89647</xdr:colOff>
      <xdr:row>21</xdr:row>
      <xdr:rowOff>145034</xdr:rowOff>
    </xdr:from>
    <xdr:to>
      <xdr:col>12</xdr:col>
      <xdr:colOff>433956</xdr:colOff>
      <xdr:row>36</xdr:row>
      <xdr:rowOff>41818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2529" y="4145534"/>
          <a:ext cx="3392309" cy="2754284"/>
        </a:xfrm>
        <a:prstGeom prst="rect">
          <a:avLst/>
        </a:prstGeom>
      </xdr:spPr>
    </xdr:pic>
    <xdr:clientData/>
  </xdr:twoCellAnchor>
  <xdr:twoCellAnchor editAs="oneCell">
    <xdr:from>
      <xdr:col>7</xdr:col>
      <xdr:colOff>630202</xdr:colOff>
      <xdr:row>8</xdr:row>
      <xdr:rowOff>85789</xdr:rowOff>
    </xdr:from>
    <xdr:to>
      <xdr:col>12</xdr:col>
      <xdr:colOff>381000</xdr:colOff>
      <xdr:row>20</xdr:row>
      <xdr:rowOff>69033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1084" y="1609789"/>
          <a:ext cx="3560798" cy="2269244"/>
        </a:xfrm>
        <a:prstGeom prst="rect">
          <a:avLst/>
        </a:prstGeom>
      </xdr:spPr>
    </xdr:pic>
    <xdr:clientData/>
  </xdr:twoCellAnchor>
  <xdr:twoCellAnchor editAs="oneCell">
    <xdr:from>
      <xdr:col>6</xdr:col>
      <xdr:colOff>281609</xdr:colOff>
      <xdr:row>93</xdr:row>
      <xdr:rowOff>41601</xdr:rowOff>
    </xdr:from>
    <xdr:to>
      <xdr:col>11</xdr:col>
      <xdr:colOff>24848</xdr:colOff>
      <xdr:row>104</xdr:row>
      <xdr:rowOff>153336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7348" y="11132014"/>
          <a:ext cx="3785152" cy="2207235"/>
        </a:xfrm>
        <a:prstGeom prst="rect">
          <a:avLst/>
        </a:prstGeom>
      </xdr:spPr>
    </xdr:pic>
    <xdr:clientData/>
  </xdr:twoCellAnchor>
  <xdr:twoCellAnchor editAs="oneCell">
    <xdr:from>
      <xdr:col>0</xdr:col>
      <xdr:colOff>497133</xdr:colOff>
      <xdr:row>17</xdr:row>
      <xdr:rowOff>79397</xdr:rowOff>
    </xdr:from>
    <xdr:to>
      <xdr:col>5</xdr:col>
      <xdr:colOff>670891</xdr:colOff>
      <xdr:row>40</xdr:row>
      <xdr:rowOff>3090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7133" y="3317897"/>
          <a:ext cx="3917497" cy="4305193"/>
        </a:xfrm>
        <a:prstGeom prst="rect">
          <a:avLst/>
        </a:prstGeom>
      </xdr:spPr>
    </xdr:pic>
    <xdr:clientData/>
  </xdr:twoCellAnchor>
  <xdr:oneCellAnchor>
    <xdr:from>
      <xdr:col>8</xdr:col>
      <xdr:colOff>238539</xdr:colOff>
      <xdr:row>41</xdr:row>
      <xdr:rowOff>19050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77778" y="2114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 editAs="oneCell">
    <xdr:from>
      <xdr:col>8</xdr:col>
      <xdr:colOff>633808</xdr:colOff>
      <xdr:row>58</xdr:row>
      <xdr:rowOff>61423</xdr:rowOff>
    </xdr:from>
    <xdr:to>
      <xdr:col>12</xdr:col>
      <xdr:colOff>335069</xdr:colOff>
      <xdr:row>65</xdr:row>
      <xdr:rowOff>30548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95460" y="6579836"/>
          <a:ext cx="2749261" cy="1302625"/>
        </a:xfrm>
        <a:prstGeom prst="rect">
          <a:avLst/>
        </a:prstGeom>
      </xdr:spPr>
    </xdr:pic>
    <xdr:clientData/>
  </xdr:twoCellAnchor>
  <xdr:twoCellAnchor editAs="oneCell">
    <xdr:from>
      <xdr:col>6</xdr:col>
      <xdr:colOff>930853</xdr:colOff>
      <xdr:row>70</xdr:row>
      <xdr:rowOff>177512</xdr:rowOff>
    </xdr:from>
    <xdr:to>
      <xdr:col>10</xdr:col>
      <xdr:colOff>606136</xdr:colOff>
      <xdr:row>78</xdr:row>
      <xdr:rowOff>68867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0898" y="9027103"/>
          <a:ext cx="2948420" cy="1415355"/>
        </a:xfrm>
        <a:prstGeom prst="rect">
          <a:avLst/>
        </a:prstGeom>
      </xdr:spPr>
    </xdr:pic>
    <xdr:clientData/>
  </xdr:twoCellAnchor>
  <xdr:twoCellAnchor editAs="oneCell">
    <xdr:from>
      <xdr:col>1</xdr:col>
      <xdr:colOff>753342</xdr:colOff>
      <xdr:row>135</xdr:row>
      <xdr:rowOff>134771</xdr:rowOff>
    </xdr:from>
    <xdr:to>
      <xdr:col>11</xdr:col>
      <xdr:colOff>92666</xdr:colOff>
      <xdr:row>159</xdr:row>
      <xdr:rowOff>175625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5342" y="23843362"/>
          <a:ext cx="7132506" cy="4612854"/>
        </a:xfrm>
        <a:prstGeom prst="rect">
          <a:avLst/>
        </a:prstGeom>
      </xdr:spPr>
    </xdr:pic>
    <xdr:clientData/>
  </xdr:twoCellAnchor>
  <xdr:twoCellAnchor editAs="oneCell">
    <xdr:from>
      <xdr:col>1</xdr:col>
      <xdr:colOff>746952</xdr:colOff>
      <xdr:row>105</xdr:row>
      <xdr:rowOff>74319</xdr:rowOff>
    </xdr:from>
    <xdr:to>
      <xdr:col>11</xdr:col>
      <xdr:colOff>154142</xdr:colOff>
      <xdr:row>135</xdr:row>
      <xdr:rowOff>42917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08952" y="13477355"/>
          <a:ext cx="7190476" cy="5683598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170</xdr:row>
      <xdr:rowOff>90597</xdr:rowOff>
    </xdr:from>
    <xdr:ext cx="9315450" cy="384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" y="16597422"/>
              <a:ext cx="931545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ES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1,5∗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𝐸𝑆h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−0,75∗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𝐸𝑆𝑣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+1,5∗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𝐸𝐻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1,25∗(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)−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𝐸𝑉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1,35∗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𝐸𝑉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+1,75∗(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𝐿𝐿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𝐵𝑅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𝐿𝑆𝑣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𝐿𝑆h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)+1,5∗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𝐷𝑊</m:t>
                            </m:r>
                          </m:sub>
                        </m:sSub>
                      </m:num>
                      <m:den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0,75∗</m:t>
                        </m:r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𝐸𝑆𝑣</m:t>
                        </m:r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+0,9∗</m:t>
                        </m:r>
                        <m:d>
                          <m:d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2+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e>
                        </m:d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+1∗</m:t>
                        </m:r>
                        <m:d>
                          <m:d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𝐸𝑉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𝐸𝑉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+1,75∗(</m:t>
                        </m:r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𝐿𝐿</m:t>
                        </m:r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𝐿𝑆𝑣</m:t>
                        </m:r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)+0,65∗</m:t>
                        </m:r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𝐷𝑊</m:t>
                        </m:r>
                      </m:den>
                    </m:f>
                  </m:oMath>
                </m:oMathPara>
              </a14:m>
              <a:endParaRPr lang="es-ES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B000000}"/>
                </a:ext>
              </a:extLst>
            </xdr:cNvPr>
            <xdr:cNvSpPr txBox="1"/>
          </xdr:nvSpPr>
          <xdr:spPr>
            <a:xfrm>
              <a:off x="1" y="16597422"/>
              <a:ext cx="9315450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𝑒=(1,5∗𝑀_𝐸𝑆ℎ−0,75∗𝑀_𝐸𝑆𝑣+1,5∗𝑀_𝐸𝐻+〖1,25∗(𝑀〗_𝑊1+𝑀_𝐷𝐶)−〖1∗𝑀〗_𝐸𝑉1+〖1,35∗𝑀〗_𝐸𝑉2+1,75∗(𝑀_𝐿𝐿+𝑀_𝐵𝑅−𝑀_𝐿𝑆𝑣+𝑀_𝐿𝑆ℎ)+1,5∗𝑀_𝐷𝑊)/(0,75∗𝐸𝑆𝑣+0,9∗(𝑊1+𝑊2+𝐷𝐶)+1∗(𝐸𝑉1+𝐸𝑉2)+1,75∗(𝐿𝐿+𝐿𝑆𝑣)+0,65∗𝐷𝑊)</a:t>
              </a:r>
              <a:endParaRPr lang="es-ES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585908</xdr:colOff>
      <xdr:row>183</xdr:row>
      <xdr:rowOff>156082</xdr:rowOff>
    </xdr:from>
    <xdr:ext cx="10240203" cy="3767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347908" y="17682082"/>
              <a:ext cx="10240203" cy="376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ES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1,5∗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𝐸𝑆h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−0,75∗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𝐸𝑆𝑣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+1,5∗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𝐸𝐻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1,5∗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1∗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𝐸𝑉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1,35∗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𝐸𝑉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0,75∗</m:t>
                        </m:r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𝐸𝑆𝑣</m:t>
                        </m:r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+0,9∗</m:t>
                        </m:r>
                        <m:d>
                          <m:d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s-E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+1∗</m:t>
                        </m:r>
                        <m:d>
                          <m:d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𝐸𝑉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𝐸𝑉</m:t>
                            </m:r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s-ES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F000000}"/>
                </a:ext>
              </a:extLst>
            </xdr:cNvPr>
            <xdr:cNvSpPr txBox="1"/>
          </xdr:nvSpPr>
          <xdr:spPr>
            <a:xfrm>
              <a:off x="1347908" y="17682082"/>
              <a:ext cx="10240203" cy="376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𝑒=(1,5∗𝑀_𝐸𝑆ℎ−0,75∗𝑀_𝐸𝑆𝑣+1,5∗𝑀_𝐸𝐻+〖1,5∗𝑀〗_𝑊1−〖1∗𝑀〗_𝐸𝑉1+〖1,35∗𝑀〗_𝐸𝑉2)/(0,75∗𝐸𝑆𝑣+0,9∗(𝑊1+𝑊2)+1∗(𝐸𝑉1+𝐸𝑉2) )</a:t>
              </a:r>
              <a:endParaRPr lang="es-ES" sz="12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679283</xdr:colOff>
      <xdr:row>204</xdr:row>
      <xdr:rowOff>39092</xdr:rowOff>
    </xdr:from>
    <xdr:to>
      <xdr:col>10</xdr:col>
      <xdr:colOff>547850</xdr:colOff>
      <xdr:row>220</xdr:row>
      <xdr:rowOff>14455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9283" y="22344910"/>
          <a:ext cx="7661749" cy="3023363"/>
        </a:xfrm>
        <a:prstGeom prst="rect">
          <a:avLst/>
        </a:prstGeom>
      </xdr:spPr>
    </xdr:pic>
    <xdr:clientData/>
  </xdr:twoCellAnchor>
  <xdr:oneCellAnchor>
    <xdr:from>
      <xdr:col>0</xdr:col>
      <xdr:colOff>163286</xdr:colOff>
      <xdr:row>195</xdr:row>
      <xdr:rowOff>154002</xdr:rowOff>
    </xdr:from>
    <xdr:ext cx="9048750" cy="2406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163286" y="20551109"/>
              <a:ext cx="9048750" cy="2406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=(1,35∗</m:t>
                    </m:r>
                    <m:d>
                      <m:dPr>
                        <m:ctrlP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+1,25∗</m:t>
                    </m:r>
                    <m:d>
                      <m:dPr>
                        <m:ctrlP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2+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𝐷𝐶</m:t>
                        </m:r>
                      </m:e>
                    </m:d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+1,5∗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𝐸𝑆𝑣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+1,75(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𝐿𝐿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𝐿𝑆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)+1,5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𝐷𝑊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ES" sz="16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22000000}"/>
                </a:ext>
              </a:extLst>
            </xdr:cNvPr>
            <xdr:cNvSpPr txBox="1"/>
          </xdr:nvSpPr>
          <xdr:spPr>
            <a:xfrm>
              <a:off x="163286" y="20551109"/>
              <a:ext cx="9048750" cy="2406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𝜎_𝑣=(1,35∗(𝐸𝑉1+𝐸𝑉2)+1,25∗(𝑊1+𝑊2+𝐷𝐶)+1,5∗𝐸𝑆𝑣+1,75(𝐿𝐿+𝐿𝑆)+1,5𝐷𝑊)/(𝐵−2𝑒)</a:t>
              </a:r>
              <a:endParaRPr lang="es-ES" sz="16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257736</xdr:colOff>
      <xdr:row>201</xdr:row>
      <xdr:rowOff>168088</xdr:rowOff>
    </xdr:from>
    <xdr:ext cx="5692588" cy="270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1019736" y="21347206"/>
              <a:ext cx="5692588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=1,35∗</m:t>
                    </m:r>
                    <m:d>
                      <m:d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+1,5∗</m:t>
                    </m:r>
                    <m:d>
                      <m:d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+1,5∗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𝐸𝑆𝑣</m:t>
                    </m:r>
                  </m:oMath>
                </m:oMathPara>
              </a14:m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5" name="CuadroTexto 34"/>
            <xdr:cNvSpPr txBox="1"/>
          </xdr:nvSpPr>
          <xdr:spPr>
            <a:xfrm>
              <a:off x="1019736" y="21347206"/>
              <a:ext cx="5692588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𝜎_𝑣=1,35∗(𝐸𝑉1+𝐸𝑉2)+1,5∗(𝑊1+𝑊2)+1,5∗𝐸𝑆𝑣</a:t>
              </a:r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227</xdr:row>
      <xdr:rowOff>44823</xdr:rowOff>
    </xdr:from>
    <xdr:ext cx="9160008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0" y="23530752"/>
              <a:ext cx="916000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=0,75∗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𝐸𝑆𝑣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+0,9∗</m:t>
                    </m:r>
                    <m:d>
                      <m:dPr>
                        <m:ctrlP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𝐷𝐶</m:t>
                        </m:r>
                      </m:e>
                    </m:d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+1∗</m:t>
                    </m:r>
                    <m:d>
                      <m:dPr>
                        <m:ctrlP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+1,75∗(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𝐿𝐿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𝐿𝑆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)+0,65∗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𝐷𝑊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24000000}"/>
                </a:ext>
              </a:extLst>
            </xdr:cNvPr>
            <xdr:cNvSpPr txBox="1"/>
          </xdr:nvSpPr>
          <xdr:spPr>
            <a:xfrm>
              <a:off x="0" y="23530752"/>
              <a:ext cx="916000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𝑉=0,75∗𝐸𝑆𝑣+0,9∗(𝑊1+𝑊2+𝐷𝐶)+1∗(𝐸𝑉1+𝐸𝑉2)+1,75∗(𝐿𝐿+𝐿𝑆)+0,65∗𝐷𝑊</a:t>
              </a:r>
              <a:endParaRPr lang="es-ES" sz="1800"/>
            </a:p>
          </xdr:txBody>
        </xdr:sp>
      </mc:Fallback>
    </mc:AlternateContent>
    <xdr:clientData/>
  </xdr:oneCellAnchor>
  <xdr:twoCellAnchor editAs="oneCell">
    <xdr:from>
      <xdr:col>7</xdr:col>
      <xdr:colOff>580305</xdr:colOff>
      <xdr:row>243</xdr:row>
      <xdr:rowOff>68037</xdr:rowOff>
    </xdr:from>
    <xdr:to>
      <xdr:col>11</xdr:col>
      <xdr:colOff>607632</xdr:colOff>
      <xdr:row>254</xdr:row>
      <xdr:rowOff>52251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77591" y="26833287"/>
          <a:ext cx="3075327" cy="2229392"/>
        </a:xfrm>
        <a:prstGeom prst="rect">
          <a:avLst/>
        </a:prstGeom>
      </xdr:spPr>
    </xdr:pic>
    <xdr:clientData/>
  </xdr:twoCellAnchor>
  <xdr:oneCellAnchor>
    <xdr:from>
      <xdr:col>2</xdr:col>
      <xdr:colOff>240683</xdr:colOff>
      <xdr:row>240</xdr:row>
      <xdr:rowOff>150062</xdr:rowOff>
    </xdr:from>
    <xdr:ext cx="5456045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1764683" y="24741127"/>
              <a:ext cx="545604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0,75∗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𝐸𝑆𝑣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+0,9∗</m:t>
                    </m:r>
                    <m:d>
                      <m:dPr>
                        <m:ctrlP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+1∗</m:t>
                    </m:r>
                    <m:d>
                      <m:dPr>
                        <m:ctrlP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</m:oMath>
                </m:oMathPara>
              </a14:m>
              <a:endParaRPr lang="es-ES" sz="18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9" name="CuadroTexto 38"/>
            <xdr:cNvSpPr txBox="1"/>
          </xdr:nvSpPr>
          <xdr:spPr>
            <a:xfrm>
              <a:off x="1764683" y="24741127"/>
              <a:ext cx="545604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0,75∗𝐸𝑆𝑣+0,9∗(𝑊1+𝑊2)+1∗(𝐸𝑉1+𝐸𝑉2)</a:t>
              </a:r>
              <a:endParaRPr lang="es-ES" sz="18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381001</xdr:colOff>
      <xdr:row>232</xdr:row>
      <xdr:rowOff>22412</xdr:rowOff>
    </xdr:from>
    <xdr:ext cx="532229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1905001" y="23610794"/>
              <a:ext cx="532229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𝑎𝑐𝑡</m:t>
                        </m:r>
                      </m:sub>
                    </m:sSub>
                    <m:r>
                      <a:rPr lang="es-ES" sz="2000" b="0" i="0">
                        <a:latin typeface="Cambria Math" panose="02040503050406030204" pitchFamily="18" charset="0"/>
                      </a:rPr>
                      <m:t>=1,75∗(</m:t>
                    </m:r>
                    <m:r>
                      <m:rPr>
                        <m:sty m:val="p"/>
                      </m:rPr>
                      <a:rPr lang="es-ES" sz="2000" b="0" i="0">
                        <a:latin typeface="Cambria Math" panose="02040503050406030204" pitchFamily="18" charset="0"/>
                      </a:rPr>
                      <m:t>BR</m:t>
                    </m:r>
                    <m:r>
                      <a:rPr lang="es-ES" sz="2000" b="0" i="0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s-ES" sz="2000" b="0" i="0">
                        <a:latin typeface="Cambria Math" panose="02040503050406030204" pitchFamily="18" charset="0"/>
                      </a:rPr>
                      <m:t>LSh</m:t>
                    </m:r>
                    <m:r>
                      <a:rPr lang="es-ES" sz="2000" b="0" i="0">
                        <a:latin typeface="Cambria Math" panose="02040503050406030204" pitchFamily="18" charset="0"/>
                      </a:rPr>
                      <m:t>)+1,5∗</m:t>
                    </m:r>
                    <m:r>
                      <m:rPr>
                        <m:sty m:val="p"/>
                      </m:rPr>
                      <a:rPr lang="es-ES" sz="2000" b="0" i="0">
                        <a:latin typeface="Cambria Math" panose="02040503050406030204" pitchFamily="18" charset="0"/>
                      </a:rPr>
                      <m:t>ESh</m:t>
                    </m:r>
                    <m:r>
                      <a:rPr lang="es-ES" sz="2000" b="0" i="0">
                        <a:latin typeface="Cambria Math" panose="02040503050406030204" pitchFamily="18" charset="0"/>
                      </a:rPr>
                      <m:t>+1,5∗</m:t>
                    </m:r>
                    <m:r>
                      <m:rPr>
                        <m:sty m:val="p"/>
                      </m:rPr>
                      <a:rPr lang="es-ES" sz="2000" b="0" i="0">
                        <a:latin typeface="Cambria Math" panose="02040503050406030204" pitchFamily="18" charset="0"/>
                      </a:rPr>
                      <m:t>EH</m:t>
                    </m:r>
                  </m:oMath>
                </m:oMathPara>
              </a14:m>
              <a:endParaRPr lang="es-ES" sz="2000"/>
            </a:p>
          </xdr:txBody>
        </xdr:sp>
      </mc:Choice>
      <mc:Fallback xmlns="">
        <xdr:sp macro="" textlink="">
          <xdr:nvSpPr>
            <xdr:cNvPr id="42" name="CuadroTexto 41"/>
            <xdr:cNvSpPr txBox="1"/>
          </xdr:nvSpPr>
          <xdr:spPr>
            <a:xfrm>
              <a:off x="1905001" y="23610794"/>
              <a:ext cx="532229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𝐹_𝑎𝑐𝑡=1,75∗(BR+LSh)+1,5∗ESh+1,5∗EH</a:t>
              </a:r>
              <a:endParaRPr lang="es-ES" sz="2000"/>
            </a:p>
          </xdr:txBody>
        </xdr:sp>
      </mc:Fallback>
    </mc:AlternateContent>
    <xdr:clientData/>
  </xdr:oneCellAnchor>
  <xdr:oneCellAnchor>
    <xdr:from>
      <xdr:col>2</xdr:col>
      <xdr:colOff>627530</xdr:colOff>
      <xdr:row>245</xdr:row>
      <xdr:rowOff>172011</xdr:rowOff>
    </xdr:from>
    <xdr:ext cx="302473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2151530" y="25918086"/>
              <a:ext cx="302473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𝑎𝑐𝑡</m:t>
                        </m:r>
                      </m:sub>
                    </m:sSub>
                    <m:r>
                      <a:rPr lang="es-ES" sz="2000" b="0" i="0">
                        <a:latin typeface="Cambria Math" panose="02040503050406030204" pitchFamily="18" charset="0"/>
                      </a:rPr>
                      <m:t>=1,5∗</m:t>
                    </m:r>
                    <m:r>
                      <m:rPr>
                        <m:sty m:val="p"/>
                      </m:rPr>
                      <a:rPr lang="es-ES" sz="2000" b="0" i="0">
                        <a:latin typeface="Cambria Math" panose="02040503050406030204" pitchFamily="18" charset="0"/>
                      </a:rPr>
                      <m:t>ESh</m:t>
                    </m:r>
                    <m:r>
                      <a:rPr lang="es-ES" sz="2000" b="0" i="0">
                        <a:latin typeface="Cambria Math" panose="02040503050406030204" pitchFamily="18" charset="0"/>
                      </a:rPr>
                      <m:t>+1,5∗</m:t>
                    </m:r>
                    <m:r>
                      <m:rPr>
                        <m:sty m:val="p"/>
                      </m:rPr>
                      <a:rPr lang="es-ES" sz="2000" b="0" i="0">
                        <a:latin typeface="Cambria Math" panose="02040503050406030204" pitchFamily="18" charset="0"/>
                      </a:rPr>
                      <m:t>EH</m:t>
                    </m:r>
                  </m:oMath>
                </m:oMathPara>
              </a14:m>
              <a:endParaRPr lang="es-ES" sz="2000"/>
            </a:p>
          </xdr:txBody>
        </xdr:sp>
      </mc:Choice>
      <mc:Fallback xmlns="">
        <xdr:sp macro="" textlink="">
          <xdr:nvSpPr>
            <xdr:cNvPr id="43" name="CuadroTexto 42"/>
            <xdr:cNvSpPr txBox="1"/>
          </xdr:nvSpPr>
          <xdr:spPr>
            <a:xfrm>
              <a:off x="2151530" y="25918086"/>
              <a:ext cx="302473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𝐹_𝑎𝑐𝑡=1,5∗ESh+1,5∗EH</a:t>
              </a:r>
              <a:endParaRPr lang="es-ES" sz="2000"/>
            </a:p>
          </xdr:txBody>
        </xdr:sp>
      </mc:Fallback>
    </mc:AlternateContent>
    <xdr:clientData/>
  </xdr:oneCellAnchor>
  <xdr:oneCellAnchor>
    <xdr:from>
      <xdr:col>5</xdr:col>
      <xdr:colOff>0</xdr:colOff>
      <xdr:row>405</xdr:row>
      <xdr:rowOff>0</xdr:rowOff>
    </xdr:from>
    <xdr:ext cx="5713359" cy="3018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3741964" y="81642857"/>
              <a:ext cx="5713359" cy="301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𝒑𝒂𝒏𝒕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𝟕𝟓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𝑩𝑹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𝑳𝑺𝒉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𝟓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𝑬𝑺𝒉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𝟓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𝑬𝑯</m:t>
                        </m:r>
                      </m:sub>
                    </m:sSub>
                  </m:oMath>
                </m:oMathPara>
              </a14:m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2E000000}"/>
                </a:ext>
              </a:extLst>
            </xdr:cNvPr>
            <xdr:cNvSpPr txBox="1"/>
          </xdr:nvSpPr>
          <xdr:spPr>
            <a:xfrm>
              <a:off x="3741964" y="81642857"/>
              <a:ext cx="5713359" cy="301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1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𝑴_𝒑𝒂𝒏𝒕=𝟏,𝟕𝟓∗〖(𝑴〗_𝑩𝑹+𝑴_𝑳𝑺𝒉)+𝟏,𝟓∗𝑴_𝑬𝑺𝒉+𝟏,𝟓∗𝑴_𝑬𝑯</a:t>
              </a:r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0</xdr:colOff>
      <xdr:row>408</xdr:row>
      <xdr:rowOff>212911</xdr:rowOff>
    </xdr:from>
    <xdr:ext cx="3383106" cy="3018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3741964" y="82672197"/>
              <a:ext cx="3383106" cy="301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𝒑𝒂𝒏𝒕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𝟓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𝑬𝑺𝒉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𝟓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𝑬𝑯</m:t>
                        </m:r>
                      </m:sub>
                    </m:sSub>
                  </m:oMath>
                </m:oMathPara>
              </a14:m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30000000}"/>
                </a:ext>
              </a:extLst>
            </xdr:cNvPr>
            <xdr:cNvSpPr txBox="1"/>
          </xdr:nvSpPr>
          <xdr:spPr>
            <a:xfrm>
              <a:off x="3741964" y="82672197"/>
              <a:ext cx="3383106" cy="301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ES" sz="1800" b="1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𝑴_𝒑𝒂𝒏𝒕=𝟏,𝟓∗𝑴_𝑬𝑺𝒉+𝟏,𝟓∗𝑴_𝑬𝑯</a:t>
              </a:r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532934</xdr:colOff>
      <xdr:row>447</xdr:row>
      <xdr:rowOff>93394</xdr:rowOff>
    </xdr:from>
    <xdr:ext cx="3185359" cy="588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4274898" y="89329037"/>
              <a:ext cx="3185359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𝒑𝒊𝒆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𝝈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𝒗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𝒍</m:t>
                            </m:r>
                          </m:e>
                          <m:sub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𝒑𝒊𝒆</m:t>
                            </m:r>
                          </m:sub>
                          <m:sup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num>
                      <m:den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𝟑𝟓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𝑬𝑽</m:t>
                        </m:r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32000000}"/>
                </a:ext>
              </a:extLst>
            </xdr:cNvPr>
            <xdr:cNvSpPr txBox="1"/>
          </xdr:nvSpPr>
          <xdr:spPr>
            <a:xfrm>
              <a:off x="4274898" y="89329037"/>
              <a:ext cx="3185359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ES" sz="1800" b="1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𝑴_𝒑𝒊𝒆=𝝈_𝒗∗(𝒍_𝒑𝒊𝒆^𝟐)/𝟐−𝟏,𝟑𝟓∗𝑴_𝑬𝑽𝟐</a:t>
              </a:r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274544</xdr:colOff>
      <xdr:row>477</xdr:row>
      <xdr:rowOff>95250</xdr:rowOff>
    </xdr:from>
    <xdr:ext cx="5723618" cy="553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4017309" y="94202250"/>
              <a:ext cx="5723618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𝑡𝑎𝑙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=1,5∗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𝐸𝑆𝑣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+1,35∗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+1,75∗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𝐿𝑆𝑣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p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35000000}"/>
                </a:ext>
              </a:extLst>
            </xdr:cNvPr>
            <xdr:cNvSpPr txBox="1"/>
          </xdr:nvSpPr>
          <xdr:spPr>
            <a:xfrm>
              <a:off x="4017309" y="94202250"/>
              <a:ext cx="5723618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𝑀_𝑡𝑎𝑙ó𝑛=1,5∗𝑀_𝐸𝑆𝑣+1,35∗𝑀_𝐸𝑉1+1,75∗𝑀_𝐿𝑆𝑣−𝜎_𝑣∗𝑙^2/2</a:t>
              </a:r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464482</xdr:colOff>
      <xdr:row>482</xdr:row>
      <xdr:rowOff>50987</xdr:rowOff>
    </xdr:from>
    <xdr:ext cx="4326505" cy="553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4969247" y="95357016"/>
              <a:ext cx="4326505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𝑡𝑎𝑙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=1,5∗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𝐸𝑆𝑣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+1,35∗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𝐸𝑉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p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36000000}"/>
                </a:ext>
              </a:extLst>
            </xdr:cNvPr>
            <xdr:cNvSpPr txBox="1"/>
          </xdr:nvSpPr>
          <xdr:spPr>
            <a:xfrm>
              <a:off x="4969247" y="95357016"/>
              <a:ext cx="4326505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ES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𝑀_𝑡𝑎𝑙ó𝑛=1,5∗𝑀_𝐸𝑆𝑣+1,35∗𝑀_𝐸𝑉1−𝜎_𝑣∗𝑙^2/2</a:t>
              </a:r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9</xdr:col>
      <xdr:colOff>203453</xdr:colOff>
      <xdr:row>416</xdr:row>
      <xdr:rowOff>99333</xdr:rowOff>
    </xdr:from>
    <xdr:to>
      <xdr:col>12</xdr:col>
      <xdr:colOff>598714</xdr:colOff>
      <xdr:row>435</xdr:row>
      <xdr:rowOff>170737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11117"/>
        <a:stretch/>
      </xdr:blipFill>
      <xdr:spPr>
        <a:xfrm>
          <a:off x="7224739" y="83075690"/>
          <a:ext cx="2681261" cy="4439297"/>
        </a:xfrm>
        <a:prstGeom prst="rect">
          <a:avLst/>
        </a:prstGeom>
      </xdr:spPr>
    </xdr:pic>
    <xdr:clientData/>
  </xdr:twoCellAnchor>
  <xdr:twoCellAnchor editAs="oneCell">
    <xdr:from>
      <xdr:col>8</xdr:col>
      <xdr:colOff>713264</xdr:colOff>
      <xdr:row>459</xdr:row>
      <xdr:rowOff>81641</xdr:rowOff>
    </xdr:from>
    <xdr:to>
      <xdr:col>12</xdr:col>
      <xdr:colOff>651576</xdr:colOff>
      <xdr:row>474</xdr:row>
      <xdr:rowOff>184739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72550" y="90528320"/>
          <a:ext cx="2986312" cy="3722599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421821</xdr:colOff>
      <xdr:row>291</xdr:row>
      <xdr:rowOff>180400</xdr:rowOff>
    </xdr:from>
    <xdr:to>
      <xdr:col>11</xdr:col>
      <xdr:colOff>247925</xdr:colOff>
      <xdr:row>303</xdr:row>
      <xdr:rowOff>126790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19107" y="36239329"/>
          <a:ext cx="2874104" cy="223239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127907</xdr:colOff>
      <xdr:row>277</xdr:row>
      <xdr:rowOff>91167</xdr:rowOff>
    </xdr:from>
    <xdr:to>
      <xdr:col>11</xdr:col>
      <xdr:colOff>312964</xdr:colOff>
      <xdr:row>287</xdr:row>
      <xdr:rowOff>80211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25193" y="33483096"/>
          <a:ext cx="3233057" cy="189404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304</xdr:row>
      <xdr:rowOff>119062</xdr:rowOff>
    </xdr:from>
    <xdr:ext cx="10029824" cy="7230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0" y="58031062"/>
              <a:ext cx="10029824" cy="723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8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𝑒</m:t>
                  </m:r>
                  <m:r>
                    <a:rPr lang="es-ES" sz="18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100%∗</m:t>
                      </m:r>
                      <m:d>
                        <m:d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𝑃𝐴𝐸</m:t>
                              </m:r>
                            </m:sub>
                          </m:s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+1,35∗</m:t>
                          </m:r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khWs</m:t>
                              </m:r>
                            </m:sub>
                          </m:sSub>
                        </m:e>
                      </m:d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+50%</m:t>
                      </m:r>
                      <m:d>
                        <m:d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1,25∗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kh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𝐷𝐶</m:t>
                              </m:r>
                            </m:sub>
                          </m:s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+1,5∗</m:t>
                          </m:r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kh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𝐷𝑊</m:t>
                              </m:r>
                            </m:sub>
                          </m:s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1,25∗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khW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−1∗</m:t>
                      </m:r>
                      <m:sSub>
                        <m:sSub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𝑊𝑠</m:t>
                          </m:r>
                        </m:sub>
                      </m:sSub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+1,25∗</m:t>
                      </m:r>
                      <m:sSub>
                        <m:sSub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𝐷𝐶</m:t>
                          </m:r>
                        </m:sub>
                      </m:sSub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+1,5∗</m:t>
                      </m:r>
                      <m:sSub>
                        <m:sSub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𝐷𝑊</m:t>
                          </m:r>
                        </m:sub>
                      </m:sSub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+1,25∗</m:t>
                      </m:r>
                      <m:sSub>
                        <m:sSub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num>
                    <m:den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0,9∗</m:t>
                      </m:r>
                      <m:d>
                        <m:d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𝐷𝐶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1+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d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+1∗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𝑊𝑠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+0,65∗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𝐷𝑊</m:t>
                      </m:r>
                    </m:den>
                  </m:f>
                </m:oMath>
              </a14:m>
              <a:r>
                <a:rPr lang="es-ES" sz="1800" b="0"/>
                <a:t> </a:t>
              </a:r>
            </a:p>
            <a:p>
              <a:endParaRPr lang="es-ES" sz="18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0" y="58031062"/>
              <a:ext cx="10029824" cy="723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𝑒=(100%∗(𝑀_𝑃𝐴𝐸+1,35∗𝑀_khWs )+50%(〖1,25∗𝑀〗_kh𝐷𝐶+1,5∗𝑀_kh𝐷𝑊+〖1,25∗𝑀〗_khW1 )−1∗𝑀_𝑊𝑠+1,25∗𝑀_𝐷𝐶+1,5∗𝑀_𝐷𝑊+1,25∗𝑀_𝑊1)/(0,9∗(𝐷𝐶+𝑊1+𝑊2)+1∗𝑊𝑠+0,65∗𝐷𝑊)</a:t>
              </a:r>
              <a:r>
                <a:rPr lang="es-ES" sz="1800" b="0"/>
                <a:t> </a:t>
              </a:r>
            </a:p>
            <a:p>
              <a:endParaRPr lang="es-ES" sz="1800"/>
            </a:p>
          </xdr:txBody>
        </xdr:sp>
      </mc:Fallback>
    </mc:AlternateContent>
    <xdr:clientData/>
  </xdr:oneCellAnchor>
  <xdr:oneCellAnchor>
    <xdr:from>
      <xdr:col>0</xdr:col>
      <xdr:colOff>142875</xdr:colOff>
      <xdr:row>317</xdr:row>
      <xdr:rowOff>152400</xdr:rowOff>
    </xdr:from>
    <xdr:ext cx="10029824" cy="7230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142875" y="59969400"/>
              <a:ext cx="10029824" cy="723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8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𝑒</m:t>
                  </m:r>
                  <m:r>
                    <a:rPr lang="es-ES" sz="18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50%∗</m:t>
                      </m:r>
                      <m:d>
                        <m:d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𝑃𝐴𝐸</m:t>
                              </m:r>
                            </m:sub>
                          </m:s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+1,35∗</m:t>
                          </m:r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khWs</m:t>
                              </m:r>
                            </m:sub>
                          </m:sSub>
                        </m:e>
                      </m:d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+100%</m:t>
                      </m:r>
                      <m:d>
                        <m:d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1,25∗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kh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𝐷𝐶</m:t>
                              </m:r>
                            </m:sub>
                          </m:s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+1,5∗</m:t>
                          </m:r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kh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𝐷𝑊</m:t>
                              </m:r>
                            </m:sub>
                          </m:s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1,25∗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khW</m:t>
                              </m:r>
                              <m:r>
                                <a:rPr lang="es-ES" sz="18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−1∗</m:t>
                      </m:r>
                      <m:sSub>
                        <m:sSub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𝑊𝑠</m:t>
                          </m:r>
                        </m:sub>
                      </m:sSub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+1,25∗</m:t>
                      </m:r>
                      <m:sSub>
                        <m:sSub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𝐷𝐶</m:t>
                          </m:r>
                        </m:sub>
                      </m:sSub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+1,5∗</m:t>
                      </m:r>
                      <m:sSub>
                        <m:sSub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𝐷𝑊</m:t>
                          </m:r>
                        </m:sub>
                      </m:sSub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+1,25∗</m:t>
                      </m:r>
                      <m:sSub>
                        <m:sSub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𝑀</m:t>
                          </m:r>
                        </m:e>
                        <m:sub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num>
                    <m:den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0,9∗</m:t>
                      </m:r>
                      <m:d>
                        <m:dPr>
                          <m:ctrlP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𝐷𝐶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1+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  <m:r>
                            <a:rPr lang="es-ES" sz="18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d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+1∗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𝑊𝑠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+0,65∗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𝐷𝑊</m:t>
                      </m:r>
                    </m:den>
                  </m:f>
                </m:oMath>
              </a14:m>
              <a:r>
                <a:rPr lang="es-ES" sz="1800" b="0"/>
                <a:t> </a:t>
              </a:r>
            </a:p>
            <a:p>
              <a:endParaRPr lang="es-ES" sz="1800"/>
            </a:p>
          </xdr:txBody>
        </xdr:sp>
      </mc:Choice>
      <mc:Fallback xmlns="">
        <xdr:sp macro="" textlink="">
          <xdr:nvSpPr>
            <xdr:cNvPr id="41" name="CuadroTexto 40"/>
            <xdr:cNvSpPr txBox="1"/>
          </xdr:nvSpPr>
          <xdr:spPr>
            <a:xfrm>
              <a:off x="142875" y="59969400"/>
              <a:ext cx="10029824" cy="723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𝑒=(50%∗(𝑀_𝑃𝐴𝐸+1,35∗𝑀_khWs )+100%(〖1,25∗𝑀〗_kh𝐷𝐶+1,5∗𝑀_kh𝐷𝑊+〖1,25∗𝑀〗_khW1 )−1∗𝑀_𝑊𝑠+1,25∗𝑀_𝐷𝐶+1,5∗𝑀_𝐷𝑊+1,25∗𝑀_𝑊1)/(0,9∗(𝐷𝐶+𝑊1+𝑊2)+1∗𝑊𝑠+0,65∗𝐷𝑊)</a:t>
              </a:r>
              <a:r>
                <a:rPr lang="es-ES" sz="1800" b="0"/>
                <a:t> </a:t>
              </a:r>
            </a:p>
            <a:p>
              <a:endParaRPr lang="es-ES" sz="1800"/>
            </a:p>
          </xdr:txBody>
        </xdr:sp>
      </mc:Fallback>
    </mc:AlternateContent>
    <xdr:clientData/>
  </xdr:oneCellAnchor>
  <xdr:oneCellAnchor>
    <xdr:from>
      <xdr:col>0</xdr:col>
      <xdr:colOff>286578</xdr:colOff>
      <xdr:row>332</xdr:row>
      <xdr:rowOff>128794</xdr:rowOff>
    </xdr:from>
    <xdr:ext cx="10240203" cy="270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286578" y="63593869"/>
              <a:ext cx="10240203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=(1,35∗</m:t>
                    </m:r>
                    <m:d>
                      <m:d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𝑊𝑠</m:t>
                        </m:r>
                      </m:e>
                    </m:d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+1,25∗</m:t>
                    </m:r>
                    <m:d>
                      <m:d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𝐷𝐶</m:t>
                        </m:r>
                      </m:e>
                    </m:d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+1,5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𝐷𝑊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2000000}"/>
                </a:ext>
              </a:extLst>
            </xdr:cNvPr>
            <xdr:cNvSpPr txBox="1"/>
          </xdr:nvSpPr>
          <xdr:spPr>
            <a:xfrm>
              <a:off x="286578" y="63593869"/>
              <a:ext cx="10240203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𝜎_𝑣=(1,35∗(𝑊𝑠)+1,25∗(𝑊1+𝑊2+𝐷𝐶)+1,5𝐷𝑊)/(𝐵−2𝑒)</a:t>
              </a:r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44824</xdr:colOff>
      <xdr:row>349</xdr:row>
      <xdr:rowOff>89647</xdr:rowOff>
    </xdr:from>
    <xdr:ext cx="5020157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1568824" y="69319588"/>
              <a:ext cx="502015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=0,9∗</m:t>
                    </m:r>
                    <m:d>
                      <m:dPr>
                        <m:ctrlP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2+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𝐷𝐶</m:t>
                        </m:r>
                      </m:e>
                    </m:d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+1∗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𝑊𝑠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+0,65∗</m:t>
                    </m:r>
                    <m:r>
                      <a:rPr lang="es-E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𝐷𝑊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1568824" y="69319588"/>
              <a:ext cx="502015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𝑉=0,9∗(𝑊1+𝑊2+𝐷𝐶)+1∗𝑊𝑠+0,65∗𝐷𝑊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2</xdr:col>
      <xdr:colOff>152400</xdr:colOff>
      <xdr:row>357</xdr:row>
      <xdr:rowOff>11765</xdr:rowOff>
    </xdr:from>
    <xdr:ext cx="76868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1676400" y="68029790"/>
              <a:ext cx="76868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𝑎𝑐𝑡</m:t>
                        </m:r>
                      </m:sub>
                    </m:sSub>
                    <m:r>
                      <a:rPr lang="es-ES" sz="1600" b="0" i="0">
                        <a:latin typeface="Cambria Math" panose="02040503050406030204" pitchFamily="18" charset="0"/>
                      </a:rPr>
                      <m:t>=100%∗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600" b="0" i="0">
                            <a:latin typeface="Cambria Math" panose="02040503050406030204" pitchFamily="18" charset="0"/>
                          </a:rPr>
                          <m:t>PAE</m:t>
                        </m:r>
                        <m:r>
                          <a:rPr lang="es-ES" sz="1600" b="0" i="0">
                            <a:latin typeface="Cambria Math" panose="02040503050406030204" pitchFamily="18" charset="0"/>
                          </a:rPr>
                          <m:t>+1,35∗</m:t>
                        </m:r>
                        <m:r>
                          <m:rPr>
                            <m:sty m:val="p"/>
                          </m:rPr>
                          <a:rPr lang="es-ES" sz="1600" b="0" i="0">
                            <a:latin typeface="Cambria Math" panose="02040503050406030204" pitchFamily="18" charset="0"/>
                          </a:rPr>
                          <m:t>khWs</m:t>
                        </m:r>
                      </m:e>
                    </m:d>
                    <m:r>
                      <a:rPr lang="es-ES" sz="1600" b="0" i="0">
                        <a:latin typeface="Cambria Math" panose="02040503050406030204" pitchFamily="18" charset="0"/>
                      </a:rPr>
                      <m:t>+50%∗(1,25∗</m:t>
                    </m:r>
                    <m:r>
                      <m:rPr>
                        <m:sty m:val="p"/>
                      </m:rPr>
                      <a:rPr lang="es-ES" sz="1600" b="0" i="0">
                        <a:latin typeface="Cambria Math" panose="02040503050406030204" pitchFamily="18" charset="0"/>
                      </a:rPr>
                      <m:t>khDC</m:t>
                    </m:r>
                    <m:r>
                      <a:rPr lang="es-ES" sz="1600" b="0" i="0">
                        <a:latin typeface="Cambria Math" panose="02040503050406030204" pitchFamily="18" charset="0"/>
                      </a:rPr>
                      <m:t>+1,5∗</m:t>
                    </m:r>
                    <m:r>
                      <m:rPr>
                        <m:sty m:val="p"/>
                      </m:rPr>
                      <a:rPr lang="es-ES" sz="1600" b="0" i="0">
                        <a:latin typeface="Cambria Math" panose="02040503050406030204" pitchFamily="18" charset="0"/>
                      </a:rPr>
                      <m:t>khDW</m:t>
                    </m:r>
                    <m:r>
                      <a:rPr lang="es-ES" sz="1600" b="0" i="0">
                        <a:latin typeface="Cambria Math" panose="02040503050406030204" pitchFamily="18" charset="0"/>
                      </a:rPr>
                      <m:t>+1,25</m:t>
                    </m:r>
                    <m:r>
                      <m:rPr>
                        <m:sty m:val="p"/>
                      </m:rPr>
                      <a:rPr lang="es-ES" sz="1600" b="0" i="0">
                        <a:latin typeface="Cambria Math" panose="02040503050406030204" pitchFamily="18" charset="0"/>
                      </a:rPr>
                      <m:t>khW</m:t>
                    </m:r>
                    <m:r>
                      <a:rPr lang="es-ES" sz="1600" b="0" i="0">
                        <a:latin typeface="Cambria Math" panose="02040503050406030204" pitchFamily="18" charset="0"/>
                      </a:rPr>
                      <m:t>1)</m:t>
                    </m:r>
                  </m:oMath>
                </m:oMathPara>
              </a14:m>
              <a:endParaRPr lang="es-ES" sz="16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A000000}"/>
                </a:ext>
              </a:extLst>
            </xdr:cNvPr>
            <xdr:cNvSpPr txBox="1"/>
          </xdr:nvSpPr>
          <xdr:spPr>
            <a:xfrm>
              <a:off x="1676400" y="68029790"/>
              <a:ext cx="76868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𝐹_𝑎𝑐𝑡=100%∗(PAE+1,35∗khWs)+50%∗(1,25∗khDC+1,5∗khDW+1,25khW1)</a:t>
              </a:r>
              <a:endParaRPr lang="es-ES" sz="1600"/>
            </a:p>
          </xdr:txBody>
        </xdr:sp>
      </mc:Fallback>
    </mc:AlternateContent>
    <xdr:clientData/>
  </xdr:oneCellAnchor>
  <xdr:oneCellAnchor>
    <xdr:from>
      <xdr:col>2</xdr:col>
      <xdr:colOff>76200</xdr:colOff>
      <xdr:row>365</xdr:row>
      <xdr:rowOff>123825</xdr:rowOff>
    </xdr:from>
    <xdr:ext cx="768684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1600200" y="69094350"/>
              <a:ext cx="76868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𝑎𝑐𝑡</m:t>
                        </m:r>
                      </m:sub>
                    </m:sSub>
                    <m:r>
                      <a:rPr lang="es-ES" sz="1600" b="0" i="0">
                        <a:latin typeface="Cambria Math" panose="02040503050406030204" pitchFamily="18" charset="0"/>
                      </a:rPr>
                      <m:t>=50%∗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600" b="0" i="0">
                            <a:latin typeface="Cambria Math" panose="02040503050406030204" pitchFamily="18" charset="0"/>
                          </a:rPr>
                          <m:t>PAE</m:t>
                        </m:r>
                        <m:r>
                          <a:rPr lang="es-ES" sz="1600" b="0" i="0">
                            <a:latin typeface="Cambria Math" panose="02040503050406030204" pitchFamily="18" charset="0"/>
                          </a:rPr>
                          <m:t>+1,35∗</m:t>
                        </m:r>
                        <m:r>
                          <m:rPr>
                            <m:sty m:val="p"/>
                          </m:rPr>
                          <a:rPr lang="es-ES" sz="1600" b="0" i="0">
                            <a:latin typeface="Cambria Math" panose="02040503050406030204" pitchFamily="18" charset="0"/>
                          </a:rPr>
                          <m:t>khWs</m:t>
                        </m:r>
                      </m:e>
                    </m:d>
                    <m:r>
                      <a:rPr lang="es-ES" sz="1600" b="0" i="0">
                        <a:latin typeface="Cambria Math" panose="02040503050406030204" pitchFamily="18" charset="0"/>
                      </a:rPr>
                      <m:t>+100%∗(1,25∗</m:t>
                    </m:r>
                    <m:r>
                      <m:rPr>
                        <m:sty m:val="p"/>
                      </m:rPr>
                      <a:rPr lang="es-ES" sz="1600" b="0" i="0">
                        <a:latin typeface="Cambria Math" panose="02040503050406030204" pitchFamily="18" charset="0"/>
                      </a:rPr>
                      <m:t>khDC</m:t>
                    </m:r>
                    <m:r>
                      <a:rPr lang="es-ES" sz="1600" b="0" i="0">
                        <a:latin typeface="Cambria Math" panose="02040503050406030204" pitchFamily="18" charset="0"/>
                      </a:rPr>
                      <m:t>+1,5∗</m:t>
                    </m:r>
                    <m:r>
                      <m:rPr>
                        <m:sty m:val="p"/>
                      </m:rPr>
                      <a:rPr lang="es-ES" sz="1600" b="0" i="0">
                        <a:latin typeface="Cambria Math" panose="02040503050406030204" pitchFamily="18" charset="0"/>
                      </a:rPr>
                      <m:t>khDW</m:t>
                    </m:r>
                    <m:r>
                      <a:rPr lang="es-ES" sz="1600" b="0" i="0">
                        <a:latin typeface="Cambria Math" panose="02040503050406030204" pitchFamily="18" charset="0"/>
                      </a:rPr>
                      <m:t>+1,25</m:t>
                    </m:r>
                    <m:r>
                      <m:rPr>
                        <m:sty m:val="p"/>
                      </m:rPr>
                      <a:rPr lang="es-ES" sz="1600" b="0" i="0">
                        <a:latin typeface="Cambria Math" panose="02040503050406030204" pitchFamily="18" charset="0"/>
                      </a:rPr>
                      <m:t>khW</m:t>
                    </m:r>
                    <m:r>
                      <a:rPr lang="es-ES" sz="1600" b="0" i="0">
                        <a:latin typeface="Cambria Math" panose="02040503050406030204" pitchFamily="18" charset="0"/>
                      </a:rPr>
                      <m:t>1)</m:t>
                    </m:r>
                  </m:oMath>
                </m:oMathPara>
              </a14:m>
              <a:endParaRPr lang="es-ES" sz="16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000-00002A000000}"/>
                </a:ext>
              </a:extLst>
            </xdr:cNvPr>
            <xdr:cNvSpPr txBox="1"/>
          </xdr:nvSpPr>
          <xdr:spPr>
            <a:xfrm>
              <a:off x="1600200" y="69094350"/>
              <a:ext cx="768684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𝐹_𝑎𝑐𝑡=50%∗(PAE+1,35∗khWs)+100%∗(1,25∗khDC+1,5∗khDW+1,25khW1)</a:t>
              </a:r>
              <a:endParaRPr lang="es-ES" sz="1600"/>
            </a:p>
          </xdr:txBody>
        </xdr:sp>
      </mc:Fallback>
    </mc:AlternateContent>
    <xdr:clientData/>
  </xdr:oneCellAnchor>
  <xdr:twoCellAnchor editAs="oneCell">
    <xdr:from>
      <xdr:col>5</xdr:col>
      <xdr:colOff>707572</xdr:colOff>
      <xdr:row>418</xdr:row>
      <xdr:rowOff>217714</xdr:rowOff>
    </xdr:from>
    <xdr:to>
      <xdr:col>9</xdr:col>
      <xdr:colOff>275246</xdr:colOff>
      <xdr:row>433</xdr:row>
      <xdr:rowOff>152827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49536" y="83711143"/>
          <a:ext cx="2846996" cy="3336898"/>
        </a:xfrm>
        <a:prstGeom prst="rect">
          <a:avLst/>
        </a:prstGeom>
      </xdr:spPr>
    </xdr:pic>
    <xdr:clientData/>
  </xdr:twoCellAnchor>
  <xdr:twoCellAnchor editAs="oneCell">
    <xdr:from>
      <xdr:col>2</xdr:col>
      <xdr:colOff>168888</xdr:colOff>
      <xdr:row>392</xdr:row>
      <xdr:rowOff>216914</xdr:rowOff>
    </xdr:from>
    <xdr:to>
      <xdr:col>10</xdr:col>
      <xdr:colOff>268387</xdr:colOff>
      <xdr:row>394</xdr:row>
      <xdr:rowOff>307901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92888" y="78145021"/>
          <a:ext cx="6358785" cy="771344"/>
        </a:xfrm>
        <a:prstGeom prst="rect">
          <a:avLst/>
        </a:prstGeom>
      </xdr:spPr>
    </xdr:pic>
    <xdr:clientData/>
  </xdr:twoCellAnchor>
  <xdr:oneCellAnchor>
    <xdr:from>
      <xdr:col>3</xdr:col>
      <xdr:colOff>86446</xdr:colOff>
      <xdr:row>419</xdr:row>
      <xdr:rowOff>35219</xdr:rowOff>
    </xdr:from>
    <xdr:ext cx="1517851" cy="3018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2576553" y="83773576"/>
              <a:ext cx="1517851" cy="301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𝒑𝒂𝒏𝒕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𝑷𝑨𝑬</m:t>
                        </m:r>
                      </m:sub>
                    </m:sSub>
                  </m:oMath>
                </m:oMathPara>
              </a14:m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30000000}"/>
                </a:ext>
              </a:extLst>
            </xdr:cNvPr>
            <xdr:cNvSpPr txBox="1"/>
          </xdr:nvSpPr>
          <xdr:spPr>
            <a:xfrm>
              <a:off x="2576553" y="83773576"/>
              <a:ext cx="1517851" cy="301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1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𝑴_𝒑𝒂𝒏𝒕=𝑴_𝑷𝑨𝑬</a:t>
              </a:r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535481</xdr:colOff>
      <xdr:row>442</xdr:row>
      <xdr:rowOff>241727</xdr:rowOff>
    </xdr:from>
    <xdr:ext cx="3185359" cy="588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4277445" y="88239120"/>
              <a:ext cx="3185359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𝒑𝒊𝒆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𝝈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𝒗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𝒍</m:t>
                            </m:r>
                          </m:e>
                          <m:sub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𝒑𝒊𝒆</m:t>
                            </m:r>
                          </m:sub>
                          <m:sup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num>
                      <m:den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𝟑𝟓</m:t>
                    </m:r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𝑬𝑽</m:t>
                        </m:r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32000000}"/>
                </a:ext>
              </a:extLst>
            </xdr:cNvPr>
            <xdr:cNvSpPr txBox="1"/>
          </xdr:nvSpPr>
          <xdr:spPr>
            <a:xfrm>
              <a:off x="4277445" y="88239120"/>
              <a:ext cx="3185359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ES" sz="1800" b="1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𝑴_𝒑𝒊𝒆=𝝈_𝒗∗(𝒍_𝒑𝒊𝒆^𝟐)/𝟐−𝟏,𝟑𝟓∗𝑴_𝑬𝑽𝟐</a:t>
              </a:r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571500</xdr:colOff>
      <xdr:row>453</xdr:row>
      <xdr:rowOff>22412</xdr:rowOff>
    </xdr:from>
    <xdr:ext cx="1655453" cy="588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5076265" y="88425618"/>
              <a:ext cx="1655453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𝒑𝒊𝒆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𝝈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𝒗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𝒍</m:t>
                            </m:r>
                          </m:e>
                          <m:sub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𝒑𝒊𝒆</m:t>
                            </m:r>
                          </m:sub>
                          <m:sup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num>
                      <m:den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</m:oMath>
                </m:oMathPara>
              </a14:m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32000000}"/>
                </a:ext>
              </a:extLst>
            </xdr:cNvPr>
            <xdr:cNvSpPr txBox="1"/>
          </xdr:nvSpPr>
          <xdr:spPr>
            <a:xfrm>
              <a:off x="5076265" y="88425618"/>
              <a:ext cx="1655453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1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𝑴_𝒑𝒊𝒆=𝝈_𝒗∗(𝒍_𝒑𝒊𝒆^𝟐)/𝟐</a:t>
              </a:r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146477</xdr:colOff>
      <xdr:row>460</xdr:row>
      <xdr:rowOff>44023</xdr:rowOff>
    </xdr:from>
    <xdr:ext cx="1655453" cy="588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4650441" y="90762844"/>
              <a:ext cx="1655453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𝑴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𝒑𝒊𝒆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𝝈</m:t>
                        </m:r>
                      </m:e>
                      <m:sub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𝒗</m:t>
                        </m:r>
                      </m:sub>
                    </m:sSub>
                    <m:r>
                      <a:rPr lang="es-ES" sz="1800" b="1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𝒍</m:t>
                            </m:r>
                          </m:e>
                          <m:sub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𝒑𝒊𝒆</m:t>
                            </m:r>
                          </m:sub>
                          <m:sup>
                            <m:r>
                              <a:rPr lang="es-ES" sz="18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num>
                      <m:den>
                        <m:r>
                          <a:rPr lang="es-ES" sz="18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</m:oMath>
                </m:oMathPara>
              </a14:m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32000000}"/>
                </a:ext>
              </a:extLst>
            </xdr:cNvPr>
            <xdr:cNvSpPr txBox="1"/>
          </xdr:nvSpPr>
          <xdr:spPr>
            <a:xfrm>
              <a:off x="4650441" y="90762844"/>
              <a:ext cx="1655453" cy="588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1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𝑴_𝒑𝒊𝒆=𝝈_𝒗∗(𝒍_𝒑𝒊𝒆^𝟐)/𝟐</a:t>
              </a:r>
              <a:endParaRPr lang="es-ES" sz="1800" b="1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271997</xdr:colOff>
      <xdr:row>486</xdr:row>
      <xdr:rowOff>218004</xdr:rowOff>
    </xdr:from>
    <xdr:ext cx="2976777" cy="553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5762879" y="96476533"/>
              <a:ext cx="2976777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𝑡𝑎𝑙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=1,35∗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𝑊𝑠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8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p>
                            <m:r>
                              <a:rPr lang="es-ES" sz="18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8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36000000}"/>
                </a:ext>
              </a:extLst>
            </xdr:cNvPr>
            <xdr:cNvSpPr txBox="1"/>
          </xdr:nvSpPr>
          <xdr:spPr>
            <a:xfrm>
              <a:off x="5762879" y="96476533"/>
              <a:ext cx="2976777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𝑀_𝑡𝑎𝑙ó𝑛=1,35∗𝑀_𝑊𝑠−𝜎_𝑣∗𝑙^2/2</a:t>
              </a:r>
              <a:endParaRPr lang="es-ES" sz="18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7</xdr:col>
      <xdr:colOff>68836</xdr:colOff>
      <xdr:row>499</xdr:row>
      <xdr:rowOff>203307</xdr:rowOff>
    </xdr:from>
    <xdr:to>
      <xdr:col>12</xdr:col>
      <xdr:colOff>554074</xdr:colOff>
      <xdr:row>517</xdr:row>
      <xdr:rowOff>17608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48617"/>
        <a:stretch/>
      </xdr:blipFill>
      <xdr:spPr>
        <a:xfrm>
          <a:off x="5566122" y="88799414"/>
          <a:ext cx="4295238" cy="3447408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523</xdr:row>
      <xdr:rowOff>121664</xdr:rowOff>
    </xdr:from>
    <xdr:to>
      <xdr:col>12</xdr:col>
      <xdr:colOff>593270</xdr:colOff>
      <xdr:row>538</xdr:row>
      <xdr:rowOff>20101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t="51048"/>
        <a:stretch/>
      </xdr:blipFill>
      <xdr:spPr>
        <a:xfrm>
          <a:off x="6162675" y="107182664"/>
          <a:ext cx="3736520" cy="2860711"/>
        </a:xfrm>
        <a:prstGeom prst="rect">
          <a:avLst/>
        </a:prstGeom>
      </xdr:spPr>
    </xdr:pic>
    <xdr:clientData/>
  </xdr:twoCellAnchor>
  <xdr:twoCellAnchor editAs="oneCell">
    <xdr:from>
      <xdr:col>7</xdr:col>
      <xdr:colOff>133270</xdr:colOff>
      <xdr:row>517</xdr:row>
      <xdr:rowOff>114861</xdr:rowOff>
    </xdr:from>
    <xdr:to>
      <xdr:col>12</xdr:col>
      <xdr:colOff>628032</xdr:colOff>
      <xdr:row>522</xdr:row>
      <xdr:rowOff>143313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29195" y="106032861"/>
          <a:ext cx="4304762" cy="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234765</xdr:colOff>
      <xdr:row>513</xdr:row>
      <xdr:rowOff>169317</xdr:rowOff>
    </xdr:from>
    <xdr:to>
      <xdr:col>6</xdr:col>
      <xdr:colOff>597563</xdr:colOff>
      <xdr:row>530</xdr:row>
      <xdr:rowOff>84931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6765" y="105325317"/>
          <a:ext cx="4106123" cy="3154114"/>
        </a:xfrm>
        <a:prstGeom prst="rect">
          <a:avLst/>
        </a:prstGeom>
      </xdr:spPr>
    </xdr:pic>
    <xdr:clientData/>
  </xdr:twoCellAnchor>
  <xdr:twoCellAnchor>
    <xdr:from>
      <xdr:col>8</xdr:col>
      <xdr:colOff>390525</xdr:colOff>
      <xdr:row>538</xdr:row>
      <xdr:rowOff>187777</xdr:rowOff>
    </xdr:from>
    <xdr:to>
      <xdr:col>12</xdr:col>
      <xdr:colOff>721991</xdr:colOff>
      <xdr:row>555</xdr:row>
      <xdr:rowOff>0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pSpPr/>
      </xdr:nvGrpSpPr>
      <xdr:grpSpPr>
        <a:xfrm>
          <a:off x="7138555" y="110849019"/>
          <a:ext cx="3625903" cy="3074137"/>
          <a:chOff x="1895475" y="81038700"/>
          <a:chExt cx="4380952" cy="3990618"/>
        </a:xfrm>
      </xdr:grpSpPr>
      <xdr:pic>
        <xdr:nvPicPr>
          <xdr:cNvPr id="64" name="Imagen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1962150" y="81038700"/>
            <a:ext cx="4247619" cy="1114286"/>
          </a:xfrm>
          <a:prstGeom prst="rect">
            <a:avLst/>
          </a:prstGeom>
        </xdr:spPr>
      </xdr:pic>
      <xdr:pic>
        <xdr:nvPicPr>
          <xdr:cNvPr id="65" name="Imagen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1895475" y="82172175"/>
            <a:ext cx="4380952" cy="2857143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231322</xdr:colOff>
      <xdr:row>600</xdr:row>
      <xdr:rowOff>18251</xdr:rowOff>
    </xdr:from>
    <xdr:to>
      <xdr:col>12</xdr:col>
      <xdr:colOff>312818</xdr:colOff>
      <xdr:row>613</xdr:row>
      <xdr:rowOff>143704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b="47571"/>
        <a:stretch/>
      </xdr:blipFill>
      <xdr:spPr>
        <a:xfrm>
          <a:off x="5728608" y="116617858"/>
          <a:ext cx="3891496" cy="2710810"/>
        </a:xfrm>
        <a:prstGeom prst="rect">
          <a:avLst/>
        </a:prstGeom>
      </xdr:spPr>
    </xdr:pic>
    <xdr:clientData/>
  </xdr:twoCellAnchor>
  <xdr:oneCellAnchor>
    <xdr:from>
      <xdr:col>7</xdr:col>
      <xdr:colOff>214991</xdr:colOff>
      <xdr:row>576</xdr:row>
      <xdr:rowOff>75038</xdr:rowOff>
    </xdr:from>
    <xdr:ext cx="3635739" cy="6384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>
              <a:off x="5712277" y="100441324"/>
              <a:ext cx="3635739" cy="6384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𝐴𝑠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2,54∗70,307</m:t>
                        </m:r>
                      </m:num>
                      <m:den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0,305</m:t>
                        </m:r>
                      </m:den>
                    </m:f>
                    <m:r>
                      <a:rPr lang="es-ES" sz="20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1,3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𝑏h</m:t>
                        </m:r>
                      </m:num>
                      <m:den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</m:d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s-ES" sz="2000"/>
            </a:p>
          </xdr:txBody>
        </xdr:sp>
      </mc:Choice>
      <mc:Fallback xmlns="">
        <xdr:sp macro="" textlink="">
          <xdr:nvSpPr>
            <xdr:cNvPr id="71" name="CuadroTexto 70"/>
            <xdr:cNvSpPr txBox="1"/>
          </xdr:nvSpPr>
          <xdr:spPr>
            <a:xfrm>
              <a:off x="5712277" y="100441324"/>
              <a:ext cx="3635739" cy="6384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000" b="0" i="0">
                  <a:latin typeface="Cambria Math" panose="02040503050406030204" pitchFamily="18" charset="0"/>
                </a:rPr>
                <a:t>𝐴𝑠≥(2,54∗70,307)/0,305∗1,3𝑏ℎ/2(𝑏+ℎ)𝑓𝑦</a:t>
              </a:r>
              <a:endParaRPr lang="es-ES" sz="2000"/>
            </a:p>
          </xdr:txBody>
        </xdr:sp>
      </mc:Fallback>
    </mc:AlternateContent>
    <xdr:clientData/>
  </xdr:oneCellAnchor>
  <xdr:twoCellAnchor editAs="oneCell">
    <xdr:from>
      <xdr:col>2</xdr:col>
      <xdr:colOff>609998</xdr:colOff>
      <xdr:row>581</xdr:row>
      <xdr:rowOff>43543</xdr:rowOff>
    </xdr:from>
    <xdr:to>
      <xdr:col>6</xdr:col>
      <xdr:colOff>656119</xdr:colOff>
      <xdr:row>590</xdr:row>
      <xdr:rowOff>54428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133998" y="112914793"/>
          <a:ext cx="3026085" cy="1725385"/>
        </a:xfrm>
        <a:prstGeom prst="rect">
          <a:avLst/>
        </a:prstGeom>
      </xdr:spPr>
    </xdr:pic>
    <xdr:clientData/>
  </xdr:twoCellAnchor>
  <xdr:twoCellAnchor editAs="oneCell">
    <xdr:from>
      <xdr:col>7</xdr:col>
      <xdr:colOff>204908</xdr:colOff>
      <xdr:row>582</xdr:row>
      <xdr:rowOff>0</xdr:rowOff>
    </xdr:from>
    <xdr:to>
      <xdr:col>12</xdr:col>
      <xdr:colOff>670200</xdr:colOff>
      <xdr:row>596</xdr:row>
      <xdr:rowOff>29850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52536"/>
        <a:stretch/>
      </xdr:blipFill>
      <xdr:spPr>
        <a:xfrm>
          <a:off x="5702194" y="113061750"/>
          <a:ext cx="4275292" cy="2696850"/>
        </a:xfrm>
        <a:prstGeom prst="rect">
          <a:avLst/>
        </a:prstGeom>
      </xdr:spPr>
    </xdr:pic>
    <xdr:clientData/>
  </xdr:twoCellAnchor>
  <xdr:oneCellAnchor>
    <xdr:from>
      <xdr:col>6</xdr:col>
      <xdr:colOff>666750</xdr:colOff>
      <xdr:row>652</xdr:row>
      <xdr:rowOff>103910</xdr:rowOff>
    </xdr:from>
    <xdr:ext cx="4626429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CuadroTexto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 txBox="1"/>
          </xdr:nvSpPr>
          <xdr:spPr>
            <a:xfrm>
              <a:off x="5170714" y="108893017"/>
              <a:ext cx="4626429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𝑉𝑐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0,0316∗100</m:t>
                        </m:r>
                      </m:num>
                      <m:den>
                        <m:sSup>
                          <m:sSupPr>
                            <m:ctrlPr>
                              <a:rPr lang="es-E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2,54</m:t>
                            </m:r>
                          </m:e>
                          <m:sup>
                            <m:r>
                              <a:rPr lang="es-E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s-E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70,307</m:t>
                            </m:r>
                          </m:e>
                          <m:sup>
                            <m:r>
                              <a:rPr lang="es-E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0,5</m:t>
                            </m:r>
                          </m:sup>
                        </m:sSup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∗2,205</m:t>
                        </m:r>
                      </m:den>
                    </m:f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𝛽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s-E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p>
                            <m:r>
                              <a:rPr lang="es-E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rad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𝑑𝑣</m:t>
                    </m:r>
                  </m:oMath>
                </m:oMathPara>
              </a14:m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CuadroTexto 74"/>
            <xdr:cNvSpPr txBox="1"/>
          </xdr:nvSpPr>
          <xdr:spPr>
            <a:xfrm>
              <a:off x="5170714" y="108893017"/>
              <a:ext cx="4626429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𝑉𝑐=(0,0316∗100)/(〖2,54〗^2∗〖70,307〗^0,5∗2,205)∗𝛽∗√(𝑓^′ 𝑐)∗𝑑𝑣</a:t>
              </a:r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6</xdr:col>
      <xdr:colOff>555564</xdr:colOff>
      <xdr:row>639</xdr:row>
      <xdr:rowOff>2547</xdr:rowOff>
    </xdr:from>
    <xdr:to>
      <xdr:col>12</xdr:col>
      <xdr:colOff>447136</xdr:colOff>
      <xdr:row>643</xdr:row>
      <xdr:rowOff>57628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059528" y="121391868"/>
          <a:ext cx="4694894" cy="830688"/>
        </a:xfrm>
        <a:prstGeom prst="rect">
          <a:avLst/>
        </a:prstGeom>
      </xdr:spPr>
    </xdr:pic>
    <xdr:clientData/>
  </xdr:twoCellAnchor>
  <xdr:twoCellAnchor editAs="oneCell">
    <xdr:from>
      <xdr:col>0</xdr:col>
      <xdr:colOff>530679</xdr:colOff>
      <xdr:row>628</xdr:row>
      <xdr:rowOff>98598</xdr:rowOff>
    </xdr:from>
    <xdr:to>
      <xdr:col>6</xdr:col>
      <xdr:colOff>183297</xdr:colOff>
      <xdr:row>634</xdr:row>
      <xdr:rowOff>1983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30679" y="119283562"/>
          <a:ext cx="4156582" cy="1046385"/>
        </a:xfrm>
        <a:prstGeom prst="rect">
          <a:avLst/>
        </a:prstGeom>
      </xdr:spPr>
    </xdr:pic>
    <xdr:clientData/>
  </xdr:twoCellAnchor>
  <xdr:twoCellAnchor editAs="oneCell">
    <xdr:from>
      <xdr:col>6</xdr:col>
      <xdr:colOff>709717</xdr:colOff>
      <xdr:row>617</xdr:row>
      <xdr:rowOff>48821</xdr:rowOff>
    </xdr:from>
    <xdr:to>
      <xdr:col>12</xdr:col>
      <xdr:colOff>515919</xdr:colOff>
      <xdr:row>634</xdr:row>
      <xdr:rowOff>143591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213681" y="119995785"/>
          <a:ext cx="4609524" cy="3333270"/>
        </a:xfrm>
        <a:prstGeom prst="rect">
          <a:avLst/>
        </a:prstGeom>
      </xdr:spPr>
    </xdr:pic>
    <xdr:clientData/>
  </xdr:twoCellAnchor>
  <xdr:oneCellAnchor>
    <xdr:from>
      <xdr:col>7</xdr:col>
      <xdr:colOff>653143</xdr:colOff>
      <xdr:row>649</xdr:row>
      <xdr:rowOff>59232</xdr:rowOff>
    </xdr:from>
    <xdr:ext cx="2688365" cy="270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 txBox="1"/>
          </xdr:nvSpPr>
          <xdr:spPr>
            <a:xfrm>
              <a:off x="6150429" y="108236018"/>
              <a:ext cx="2688365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𝑡𝑎𝑙</m:t>
                        </m:r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=1,35∗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𝑊𝑠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</m:t>
                    </m:r>
                  </m:oMath>
                </m:oMathPara>
              </a14:m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9" name="CuadroTexto 78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36000000}"/>
                </a:ext>
              </a:extLst>
            </xdr:cNvPr>
            <xdr:cNvSpPr txBox="1"/>
          </xdr:nvSpPr>
          <xdr:spPr>
            <a:xfrm>
              <a:off x="6150429" y="108236018"/>
              <a:ext cx="2688365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𝑉_𝑡𝑎𝑙ó𝑛=1,35∗𝑊𝑠−𝜎_𝑣∗𝑙</a:t>
              </a:r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621</xdr:row>
      <xdr:rowOff>184315</xdr:rowOff>
    </xdr:from>
    <xdr:to>
      <xdr:col>6</xdr:col>
      <xdr:colOff>529444</xdr:colOff>
      <xdr:row>626</xdr:row>
      <xdr:rowOff>23757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18035779"/>
          <a:ext cx="5033408" cy="791942"/>
        </a:xfrm>
        <a:prstGeom prst="rect">
          <a:avLst/>
        </a:prstGeom>
      </xdr:spPr>
    </xdr:pic>
    <xdr:clientData/>
  </xdr:twoCellAnchor>
  <xdr:oneCellAnchor>
    <xdr:from>
      <xdr:col>7</xdr:col>
      <xdr:colOff>90448</xdr:colOff>
      <xdr:row>666</xdr:row>
      <xdr:rowOff>154480</xdr:rowOff>
    </xdr:from>
    <xdr:ext cx="2688365" cy="270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5587734" y="110698909"/>
              <a:ext cx="2688365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𝑡𝑎𝑙</m:t>
                        </m:r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=1,35∗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𝑊𝑠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</m:t>
                    </m:r>
                  </m:oMath>
                </m:oMathPara>
              </a14:m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CuadroTexto 80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36000000}"/>
                </a:ext>
              </a:extLst>
            </xdr:cNvPr>
            <xdr:cNvSpPr txBox="1"/>
          </xdr:nvSpPr>
          <xdr:spPr>
            <a:xfrm>
              <a:off x="5587734" y="110698909"/>
              <a:ext cx="2688365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/>
              <a:r>
                <a:rPr lang="es-ES" sz="18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𝑉_𝑡𝑎𝑙ó𝑛=1,35∗𝑊𝑠−𝜎_𝑣∗𝑙</a:t>
              </a:r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585106</xdr:colOff>
      <xdr:row>674</xdr:row>
      <xdr:rowOff>149679</xdr:rowOff>
    </xdr:from>
    <xdr:ext cx="5230471" cy="270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CuadroTexto 83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4327070" y="112449429"/>
              <a:ext cx="5230471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𝑡𝑎𝑙</m:t>
                        </m:r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=1,5∗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𝐸𝑠𝑣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+1,35∗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𝐸𝑉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1+1,75∗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𝐿𝑠𝑣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</m:t>
                    </m:r>
                  </m:oMath>
                </m:oMathPara>
              </a14:m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4" name="CuadroTexto 8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36000000}"/>
                </a:ext>
              </a:extLst>
            </xdr:cNvPr>
            <xdr:cNvSpPr txBox="1"/>
          </xdr:nvSpPr>
          <xdr:spPr>
            <a:xfrm>
              <a:off x="4327070" y="112449429"/>
              <a:ext cx="5230471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𝑉_𝑡𝑎𝑙ó𝑛=1,5∗𝐸𝑠𝑣+1,35∗𝐸𝑉1+1,75∗𝐿𝑠𝑣−𝜎_𝑣∗𝑙</a:t>
              </a:r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724382</xdr:colOff>
      <xdr:row>681</xdr:row>
      <xdr:rowOff>190500</xdr:rowOff>
    </xdr:from>
    <xdr:ext cx="3949094" cy="270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>
              <a:off x="5228346" y="114041464"/>
              <a:ext cx="3949094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𝑡𝑎𝑙</m:t>
                        </m:r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=1,5∗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𝐸𝑠𝑣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+1,35∗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𝐸𝑉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sSub>
                      <m:sSubPr>
                        <m:ctrlP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800" b="0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800" b="0" i="1">
                        <a:solidFill>
                          <a:schemeClr val="accent6">
                            <a:lumMod val="75000"/>
                          </a:schemeClr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</m:t>
                    </m:r>
                  </m:oMath>
                </m:oMathPara>
              </a14:m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6" name="CuadroTexto 85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000-000036000000}"/>
                </a:ext>
              </a:extLst>
            </xdr:cNvPr>
            <xdr:cNvSpPr txBox="1"/>
          </xdr:nvSpPr>
          <xdr:spPr>
            <a:xfrm>
              <a:off x="5228346" y="114041464"/>
              <a:ext cx="3949094" cy="270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ES" sz="1800" b="0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𝑉_𝑡𝑎𝑙ó𝑛=1,5∗𝐸𝑠𝑣+1,35∗𝐸𝑉1−𝜎_𝑣∗𝑙</a:t>
              </a:r>
              <a:endParaRPr lang="es-ES" sz="1800" b="0" i="1">
                <a:solidFill>
                  <a:schemeClr val="accent6">
                    <a:lumMod val="75000"/>
                  </a:schemeClr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701"/>
  <sheetViews>
    <sheetView tabSelected="1" view="pageBreakPreview" zoomScale="85" zoomScaleNormal="85" zoomScaleSheetLayoutView="85" workbookViewId="0">
      <selection activeCell="G40" sqref="G40"/>
    </sheetView>
  </sheetViews>
  <sheetFormatPr defaultColWidth="11.42578125" defaultRowHeight="15" x14ac:dyDescent="0.25"/>
  <cols>
    <col min="3" max="3" width="14.42578125" customWidth="1"/>
    <col min="4" max="4" width="10.28515625" style="1" customWidth="1"/>
    <col min="5" max="5" width="8.5703125" style="4" customWidth="1"/>
    <col min="7" max="7" width="14.85546875" customWidth="1"/>
  </cols>
  <sheetData>
    <row r="2" spans="2:8" x14ac:dyDescent="0.25">
      <c r="B2" s="68" t="s">
        <v>2</v>
      </c>
      <c r="C2" s="68"/>
      <c r="D2" s="1">
        <v>5.2</v>
      </c>
      <c r="E2" s="4" t="s">
        <v>6</v>
      </c>
      <c r="F2" s="15">
        <f>D2/0.3048</f>
        <v>17.060367454068242</v>
      </c>
      <c r="G2" s="19" t="s">
        <v>58</v>
      </c>
      <c r="H2" t="s">
        <v>5</v>
      </c>
    </row>
    <row r="3" spans="2:8" x14ac:dyDescent="0.25">
      <c r="B3" s="68" t="s">
        <v>0</v>
      </c>
      <c r="C3" s="68"/>
      <c r="D3" s="1">
        <v>8</v>
      </c>
      <c r="E3" s="4" t="s">
        <v>6</v>
      </c>
      <c r="F3" s="2" t="s">
        <v>3</v>
      </c>
    </row>
    <row r="4" spans="2:8" x14ac:dyDescent="0.25">
      <c r="B4" s="68" t="s">
        <v>57</v>
      </c>
      <c r="C4" s="68"/>
      <c r="D4" s="1">
        <f>ROUNDUP(0.1*D2,1)</f>
        <v>0.6</v>
      </c>
      <c r="E4" s="4" t="s">
        <v>6</v>
      </c>
      <c r="F4" s="2" t="s">
        <v>1</v>
      </c>
    </row>
    <row r="5" spans="2:8" x14ac:dyDescent="0.25">
      <c r="B5" s="68" t="s">
        <v>9</v>
      </c>
      <c r="C5" s="68"/>
      <c r="D5" s="1">
        <v>0.7</v>
      </c>
      <c r="E5" s="4" t="s">
        <v>6</v>
      </c>
      <c r="F5" t="s">
        <v>4</v>
      </c>
    </row>
    <row r="6" spans="2:8" x14ac:dyDescent="0.25">
      <c r="B6" s="68" t="s">
        <v>7</v>
      </c>
      <c r="C6" s="68"/>
      <c r="D6" s="1">
        <v>1</v>
      </c>
      <c r="E6" s="4" t="s">
        <v>6</v>
      </c>
    </row>
    <row r="7" spans="2:8" x14ac:dyDescent="0.25">
      <c r="B7" s="68" t="s">
        <v>8</v>
      </c>
      <c r="C7" s="68"/>
      <c r="D7" s="1">
        <f>D3-D6-D4</f>
        <v>6.4</v>
      </c>
      <c r="E7" s="4" t="s">
        <v>6</v>
      </c>
    </row>
    <row r="8" spans="2:8" x14ac:dyDescent="0.25">
      <c r="B8" s="68" t="s">
        <v>48</v>
      </c>
      <c r="C8" s="68"/>
      <c r="D8" s="1">
        <f>D2-D5</f>
        <v>4.5</v>
      </c>
      <c r="E8" s="4" t="s">
        <v>6</v>
      </c>
    </row>
    <row r="9" spans="2:8" x14ac:dyDescent="0.25">
      <c r="B9" s="68" t="s">
        <v>26</v>
      </c>
      <c r="C9" s="68"/>
      <c r="D9" s="1">
        <f>10.5</f>
        <v>10.5</v>
      </c>
      <c r="E9" s="4" t="s">
        <v>6</v>
      </c>
    </row>
    <row r="10" spans="2:8" x14ac:dyDescent="0.25">
      <c r="B10" s="68" t="s">
        <v>40</v>
      </c>
      <c r="C10" s="68"/>
      <c r="D10" s="1">
        <v>4</v>
      </c>
    </row>
    <row r="11" spans="2:8" x14ac:dyDescent="0.25">
      <c r="B11" s="68" t="s">
        <v>27</v>
      </c>
      <c r="C11" s="68"/>
      <c r="D11" s="1">
        <v>2</v>
      </c>
    </row>
    <row r="12" spans="2:8" x14ac:dyDescent="0.25">
      <c r="B12" s="68" t="s">
        <v>43</v>
      </c>
      <c r="C12" s="68"/>
      <c r="D12" s="1">
        <f>14.52*2</f>
        <v>29.04</v>
      </c>
      <c r="E12" s="4" t="s">
        <v>31</v>
      </c>
      <c r="F12" t="s">
        <v>44</v>
      </c>
    </row>
    <row r="13" spans="2:8" x14ac:dyDescent="0.25">
      <c r="B13" s="68" t="s">
        <v>52</v>
      </c>
      <c r="C13" s="68"/>
      <c r="D13" s="1">
        <v>0.6</v>
      </c>
      <c r="E13" s="4" t="s">
        <v>6</v>
      </c>
    </row>
    <row r="15" spans="2:8" x14ac:dyDescent="0.25">
      <c r="B15" s="68" t="s">
        <v>10</v>
      </c>
      <c r="C15" s="68"/>
      <c r="D15" s="1">
        <v>2.4</v>
      </c>
      <c r="E15" s="4" t="s">
        <v>12</v>
      </c>
    </row>
    <row r="16" spans="2:8" x14ac:dyDescent="0.25">
      <c r="B16" s="68" t="s">
        <v>11</v>
      </c>
      <c r="C16" s="68"/>
      <c r="D16" s="1">
        <v>1.7</v>
      </c>
      <c r="E16" s="4" t="s">
        <v>12</v>
      </c>
    </row>
    <row r="17" spans="2:5" x14ac:dyDescent="0.25">
      <c r="B17" s="62"/>
      <c r="C17" s="62"/>
      <c r="E17" s="64"/>
    </row>
    <row r="18" spans="2:5" x14ac:dyDescent="0.25">
      <c r="B18" s="62"/>
      <c r="C18" s="62"/>
      <c r="E18" s="64"/>
    </row>
    <row r="19" spans="2:5" x14ac:dyDescent="0.25">
      <c r="B19" s="62"/>
      <c r="C19" s="62"/>
      <c r="E19" s="64"/>
    </row>
    <row r="20" spans="2:5" x14ac:dyDescent="0.25">
      <c r="B20" s="62"/>
      <c r="C20" s="62"/>
      <c r="E20" s="64"/>
    </row>
    <row r="21" spans="2:5" x14ac:dyDescent="0.25">
      <c r="B21" s="62"/>
      <c r="C21" s="62"/>
      <c r="E21" s="64"/>
    </row>
    <row r="22" spans="2:5" x14ac:dyDescent="0.25">
      <c r="B22" s="62"/>
      <c r="C22" s="62"/>
      <c r="E22" s="64"/>
    </row>
    <row r="23" spans="2:5" x14ac:dyDescent="0.25">
      <c r="B23" s="62"/>
      <c r="C23" s="62"/>
      <c r="E23" s="64"/>
    </row>
    <row r="24" spans="2:5" x14ac:dyDescent="0.25">
      <c r="B24" s="62"/>
      <c r="C24" s="62"/>
      <c r="E24" s="64"/>
    </row>
    <row r="25" spans="2:5" x14ac:dyDescent="0.25">
      <c r="B25" s="62"/>
      <c r="C25" s="62"/>
      <c r="E25" s="64"/>
    </row>
    <row r="26" spans="2:5" x14ac:dyDescent="0.25">
      <c r="B26" s="62"/>
      <c r="C26" s="62"/>
      <c r="E26" s="64"/>
    </row>
    <row r="27" spans="2:5" x14ac:dyDescent="0.25">
      <c r="B27" s="62"/>
      <c r="C27" s="62"/>
      <c r="E27" s="64"/>
    </row>
    <row r="28" spans="2:5" x14ac:dyDescent="0.25">
      <c r="B28" s="62"/>
      <c r="C28" s="62"/>
      <c r="E28" s="64"/>
    </row>
    <row r="29" spans="2:5" x14ac:dyDescent="0.25">
      <c r="B29" s="62"/>
      <c r="C29" s="62"/>
      <c r="E29" s="64"/>
    </row>
    <row r="30" spans="2:5" x14ac:dyDescent="0.25">
      <c r="B30" s="62"/>
      <c r="C30" s="62"/>
      <c r="E30" s="64"/>
    </row>
    <row r="31" spans="2:5" x14ac:dyDescent="0.25">
      <c r="B31" s="62"/>
      <c r="C31" s="62"/>
      <c r="E31" s="64"/>
    </row>
    <row r="32" spans="2:5" x14ac:dyDescent="0.25">
      <c r="B32" s="62"/>
      <c r="C32" s="62"/>
      <c r="E32" s="64"/>
    </row>
    <row r="33" spans="1:5" x14ac:dyDescent="0.25">
      <c r="B33" s="62"/>
      <c r="C33" s="62"/>
      <c r="E33" s="64"/>
    </row>
    <row r="34" spans="1:5" x14ac:dyDescent="0.25">
      <c r="B34" s="62"/>
      <c r="C34" s="62"/>
      <c r="E34" s="64"/>
    </row>
    <row r="35" spans="1:5" x14ac:dyDescent="0.25">
      <c r="B35" s="62"/>
      <c r="C35" s="62"/>
      <c r="E35" s="64"/>
    </row>
    <row r="36" spans="1:5" x14ac:dyDescent="0.25">
      <c r="B36" s="62"/>
      <c r="C36" s="62"/>
      <c r="E36" s="64"/>
    </row>
    <row r="37" spans="1:5" x14ac:dyDescent="0.25">
      <c r="B37" s="62"/>
      <c r="C37" s="62"/>
      <c r="E37" s="64"/>
    </row>
    <row r="38" spans="1:5" x14ac:dyDescent="0.25">
      <c r="B38" s="62"/>
      <c r="C38" s="62"/>
      <c r="E38" s="64"/>
    </row>
    <row r="39" spans="1:5" x14ac:dyDescent="0.25">
      <c r="B39" s="62"/>
      <c r="C39" s="62"/>
      <c r="E39" s="64"/>
    </row>
    <row r="40" spans="1:5" x14ac:dyDescent="0.25">
      <c r="B40" s="62"/>
      <c r="C40" s="62"/>
      <c r="E40" s="64"/>
    </row>
    <row r="41" spans="1:5" ht="15.75" x14ac:dyDescent="0.25">
      <c r="C41" s="5"/>
    </row>
    <row r="42" spans="1:5" x14ac:dyDescent="0.25">
      <c r="A42" s="3" t="s">
        <v>13</v>
      </c>
      <c r="B42" s="1">
        <v>34</v>
      </c>
      <c r="C42" s="4" t="s">
        <v>17</v>
      </c>
      <c r="D42" t="s">
        <v>18</v>
      </c>
    </row>
    <row r="43" spans="1:5" x14ac:dyDescent="0.25">
      <c r="A43" s="3" t="s">
        <v>14</v>
      </c>
      <c r="B43" s="1">
        <v>0</v>
      </c>
      <c r="C43" s="4" t="s">
        <v>17</v>
      </c>
      <c r="D43" t="s">
        <v>21</v>
      </c>
    </row>
    <row r="44" spans="1:5" x14ac:dyDescent="0.25">
      <c r="A44" s="3" t="s">
        <v>15</v>
      </c>
      <c r="B44" s="1">
        <v>0</v>
      </c>
      <c r="C44" s="4" t="s">
        <v>17</v>
      </c>
      <c r="D44" t="s">
        <v>20</v>
      </c>
    </row>
    <row r="45" spans="1:5" x14ac:dyDescent="0.25">
      <c r="A45" s="3" t="s">
        <v>16</v>
      </c>
      <c r="B45" s="1">
        <v>0</v>
      </c>
      <c r="C45" s="4" t="s">
        <v>17</v>
      </c>
      <c r="D45" t="s">
        <v>19</v>
      </c>
    </row>
    <row r="46" spans="1:5" x14ac:dyDescent="0.25">
      <c r="C46" s="3"/>
    </row>
    <row r="47" spans="1:5" x14ac:dyDescent="0.25">
      <c r="C47" s="3" t="s">
        <v>22</v>
      </c>
      <c r="D47" s="7">
        <f>TAN(RADIANS(45-B42/2))^2</f>
        <v>0.28271491971777274</v>
      </c>
    </row>
    <row r="48" spans="1:5" x14ac:dyDescent="0.25">
      <c r="C48" s="3"/>
      <c r="D48" s="7"/>
    </row>
    <row r="49" spans="1:7" ht="15.75" thickBot="1" x14ac:dyDescent="0.3">
      <c r="A49" s="72" t="s">
        <v>37</v>
      </c>
      <c r="B49" s="72"/>
      <c r="C49" s="72"/>
      <c r="D49" s="72"/>
      <c r="F49" t="s">
        <v>39</v>
      </c>
    </row>
    <row r="50" spans="1:7" ht="15" customHeight="1" x14ac:dyDescent="0.25">
      <c r="B50" s="69" t="s">
        <v>38</v>
      </c>
      <c r="C50" s="8" t="s">
        <v>23</v>
      </c>
      <c r="D50" s="9">
        <v>58.83</v>
      </c>
      <c r="E50" s="4" t="s">
        <v>31</v>
      </c>
      <c r="F50" t="s">
        <v>30</v>
      </c>
      <c r="G50">
        <v>1.75</v>
      </c>
    </row>
    <row r="51" spans="1:7" x14ac:dyDescent="0.25">
      <c r="B51" s="70"/>
      <c r="C51" s="10" t="s">
        <v>24</v>
      </c>
      <c r="D51" s="11">
        <v>17.59</v>
      </c>
      <c r="E51" s="4" t="s">
        <v>31</v>
      </c>
      <c r="F51" t="s">
        <v>28</v>
      </c>
      <c r="G51">
        <v>1.25</v>
      </c>
    </row>
    <row r="52" spans="1:7" ht="15.75" thickBot="1" x14ac:dyDescent="0.3">
      <c r="B52" s="71"/>
      <c r="C52" s="12" t="s">
        <v>25</v>
      </c>
      <c r="D52" s="13">
        <v>2.21</v>
      </c>
      <c r="E52" s="4" t="s">
        <v>31</v>
      </c>
      <c r="F52" t="s">
        <v>29</v>
      </c>
      <c r="G52">
        <v>1.5</v>
      </c>
    </row>
    <row r="54" spans="1:7" ht="15.75" thickBot="1" x14ac:dyDescent="0.3">
      <c r="D54"/>
      <c r="E54"/>
    </row>
    <row r="55" spans="1:7" x14ac:dyDescent="0.25">
      <c r="B55" s="69" t="s">
        <v>36</v>
      </c>
      <c r="C55" s="8" t="s">
        <v>23</v>
      </c>
      <c r="D55" s="16">
        <f>D50/G50</f>
        <v>33.617142857142859</v>
      </c>
      <c r="E55" s="4" t="s">
        <v>31</v>
      </c>
    </row>
    <row r="56" spans="1:7" x14ac:dyDescent="0.25">
      <c r="B56" s="70"/>
      <c r="C56" s="10" t="s">
        <v>24</v>
      </c>
      <c r="D56" s="17">
        <f>D51/G51</f>
        <v>14.071999999999999</v>
      </c>
      <c r="E56" s="4" t="s">
        <v>31</v>
      </c>
    </row>
    <row r="57" spans="1:7" ht="15.75" thickBot="1" x14ac:dyDescent="0.3">
      <c r="B57" s="71"/>
      <c r="C57" s="12" t="s">
        <v>25</v>
      </c>
      <c r="D57" s="18">
        <f>D52/G52</f>
        <v>1.4733333333333334</v>
      </c>
      <c r="E57" s="4" t="s">
        <v>31</v>
      </c>
    </row>
    <row r="59" spans="1:7" x14ac:dyDescent="0.25">
      <c r="C59" s="3" t="s">
        <v>32</v>
      </c>
      <c r="D59" s="15">
        <f>D55*$D$10/$D$9</f>
        <v>12.806530612244899</v>
      </c>
      <c r="E59" s="4" t="s">
        <v>35</v>
      </c>
    </row>
    <row r="60" spans="1:7" x14ac:dyDescent="0.25">
      <c r="C60" s="3" t="s">
        <v>33</v>
      </c>
      <c r="D60" s="15">
        <f t="shared" ref="D60:D61" si="0">D56*$D$10/$D$9</f>
        <v>5.3607619047619046</v>
      </c>
      <c r="E60" s="4" t="s">
        <v>35</v>
      </c>
      <c r="F60" t="s">
        <v>41</v>
      </c>
    </row>
    <row r="61" spans="1:7" x14ac:dyDescent="0.25">
      <c r="C61" s="3" t="s">
        <v>34</v>
      </c>
      <c r="D61" s="15">
        <f t="shared" si="0"/>
        <v>0.56126984126984125</v>
      </c>
      <c r="E61" s="4" t="s">
        <v>35</v>
      </c>
    </row>
    <row r="64" spans="1:7" x14ac:dyDescent="0.25">
      <c r="C64" s="3" t="s">
        <v>42</v>
      </c>
      <c r="D64" s="15">
        <f>0.25*D12*D11/(2*D9)</f>
        <v>0.69142857142857139</v>
      </c>
      <c r="E64" s="4" t="s">
        <v>35</v>
      </c>
      <c r="F64" t="s">
        <v>46</v>
      </c>
    </row>
    <row r="65" spans="1:6" x14ac:dyDescent="0.25">
      <c r="C65" s="3" t="s">
        <v>45</v>
      </c>
      <c r="D65" s="15">
        <f>0.5*D16*D47*D2^2</f>
        <v>6.497919714793289</v>
      </c>
      <c r="E65" s="4" t="s">
        <v>35</v>
      </c>
    </row>
    <row r="66" spans="1:6" x14ac:dyDescent="0.25">
      <c r="C66" s="3" t="s">
        <v>47</v>
      </c>
      <c r="D66" s="15">
        <f>D7*D8*D16</f>
        <v>48.96</v>
      </c>
      <c r="E66" s="4" t="s">
        <v>35</v>
      </c>
      <c r="F66" t="s">
        <v>50</v>
      </c>
    </row>
    <row r="67" spans="1:6" x14ac:dyDescent="0.25">
      <c r="C67" s="3" t="s">
        <v>49</v>
      </c>
      <c r="D67" s="1">
        <f>D13*D6*D16</f>
        <v>1.02</v>
      </c>
      <c r="E67" s="4" t="s">
        <v>35</v>
      </c>
      <c r="F67" t="s">
        <v>51</v>
      </c>
    </row>
    <row r="69" spans="1:6" x14ac:dyDescent="0.25">
      <c r="C69" s="3" t="s">
        <v>53</v>
      </c>
      <c r="D69" s="15">
        <f>D15*D8*D4</f>
        <v>6.4799999999999995</v>
      </c>
      <c r="E69" s="4" t="s">
        <v>35</v>
      </c>
      <c r="F69" t="s">
        <v>55</v>
      </c>
    </row>
    <row r="70" spans="1:6" x14ac:dyDescent="0.25">
      <c r="C70" s="3" t="s">
        <v>54</v>
      </c>
      <c r="D70" s="15">
        <f>D5*D3*D15</f>
        <v>13.44</v>
      </c>
      <c r="E70" s="4" t="s">
        <v>35</v>
      </c>
      <c r="F70" t="s">
        <v>56</v>
      </c>
    </row>
    <row r="71" spans="1:6" x14ac:dyDescent="0.25">
      <c r="C71" s="3"/>
    </row>
    <row r="72" spans="1:6" x14ac:dyDescent="0.25">
      <c r="A72" s="68" t="s">
        <v>66</v>
      </c>
      <c r="B72" s="68"/>
      <c r="C72" s="68"/>
      <c r="D72" s="15">
        <v>1</v>
      </c>
      <c r="E72" s="4" t="s">
        <v>67</v>
      </c>
      <c r="F72" s="2"/>
    </row>
    <row r="73" spans="1:6" x14ac:dyDescent="0.25">
      <c r="B73" s="68" t="s">
        <v>64</v>
      </c>
      <c r="C73" s="68"/>
      <c r="D73" s="15">
        <f>D72*D7</f>
        <v>6.4</v>
      </c>
      <c r="E73" s="4" t="s">
        <v>35</v>
      </c>
    </row>
    <row r="74" spans="1:6" x14ac:dyDescent="0.25">
      <c r="B74" s="68" t="s">
        <v>65</v>
      </c>
      <c r="C74" s="68"/>
      <c r="D74" s="15">
        <f>D47*D72*D2</f>
        <v>1.4701175825324182</v>
      </c>
      <c r="E74" s="4" t="s">
        <v>35</v>
      </c>
    </row>
    <row r="75" spans="1:6" x14ac:dyDescent="0.25">
      <c r="C75" s="20"/>
    </row>
    <row r="76" spans="1:6" ht="15" customHeight="1" x14ac:dyDescent="0.25">
      <c r="A76" s="74" t="s">
        <v>59</v>
      </c>
      <c r="B76" s="74"/>
      <c r="C76" s="74"/>
      <c r="D76" s="75">
        <f>0.305*3</f>
        <v>0.91500000000000004</v>
      </c>
      <c r="E76" s="78" t="s">
        <v>6</v>
      </c>
      <c r="F76" s="1"/>
    </row>
    <row r="77" spans="1:6" x14ac:dyDescent="0.25">
      <c r="A77" s="74"/>
      <c r="B77" s="74"/>
      <c r="C77" s="74"/>
      <c r="D77" s="75"/>
      <c r="E77" s="78"/>
      <c r="F77" s="1"/>
    </row>
    <row r="79" spans="1:6" x14ac:dyDescent="0.25">
      <c r="B79" s="68" t="s">
        <v>62</v>
      </c>
      <c r="C79" s="68"/>
      <c r="D79" s="15">
        <f>D16*D47*D76^2</f>
        <v>0.40238319772321096</v>
      </c>
      <c r="E79" s="4" t="s">
        <v>35</v>
      </c>
    </row>
    <row r="80" spans="1:6" x14ac:dyDescent="0.25">
      <c r="B80" s="68" t="s">
        <v>63</v>
      </c>
      <c r="C80" s="68"/>
      <c r="D80" s="15">
        <f>D76*D16</f>
        <v>1.5555000000000001</v>
      </c>
      <c r="E80" s="4" t="s">
        <v>35</v>
      </c>
    </row>
    <row r="81" spans="1:11" x14ac:dyDescent="0.25">
      <c r="B81" s="66"/>
      <c r="C81" s="66"/>
      <c r="D81" s="15"/>
      <c r="E81" s="67"/>
    </row>
    <row r="82" spans="1:11" x14ac:dyDescent="0.25">
      <c r="B82" s="66"/>
      <c r="C82" s="66"/>
      <c r="D82" s="15"/>
      <c r="E82" s="67"/>
    </row>
    <row r="83" spans="1:11" x14ac:dyDescent="0.25">
      <c r="B83" s="66"/>
      <c r="C83" s="66"/>
      <c r="D83" s="15"/>
      <c r="E83" s="67"/>
    </row>
    <row r="84" spans="1:11" x14ac:dyDescent="0.25">
      <c r="B84" s="66"/>
      <c r="C84" s="66"/>
      <c r="D84" s="15"/>
      <c r="E84" s="67"/>
    </row>
    <row r="85" spans="1:11" x14ac:dyDescent="0.25">
      <c r="B85" s="66"/>
      <c r="C85" s="66"/>
      <c r="D85" s="15"/>
      <c r="E85" s="67"/>
    </row>
    <row r="86" spans="1:11" x14ac:dyDescent="0.25">
      <c r="B86" s="66"/>
      <c r="C86" s="66"/>
      <c r="D86" s="15"/>
      <c r="E86" s="67"/>
    </row>
    <row r="87" spans="1:11" x14ac:dyDescent="0.25">
      <c r="B87" s="66"/>
      <c r="C87" s="66"/>
      <c r="D87" s="15"/>
      <c r="E87" s="67"/>
    </row>
    <row r="88" spans="1:11" x14ac:dyDescent="0.25">
      <c r="B88" s="66"/>
      <c r="C88" s="66"/>
      <c r="D88" s="15"/>
      <c r="E88" s="67"/>
    </row>
    <row r="89" spans="1:11" x14ac:dyDescent="0.25">
      <c r="B89" s="66"/>
      <c r="C89" s="66"/>
      <c r="D89" s="15"/>
      <c r="E89" s="67"/>
    </row>
    <row r="90" spans="1:11" x14ac:dyDescent="0.25">
      <c r="B90" s="66"/>
      <c r="C90" s="66"/>
      <c r="D90" s="15"/>
      <c r="E90" s="67"/>
    </row>
    <row r="91" spans="1:11" x14ac:dyDescent="0.25">
      <c r="B91" s="66"/>
      <c r="C91" s="66"/>
      <c r="D91" s="15"/>
      <c r="E91" s="67"/>
    </row>
    <row r="92" spans="1:11" x14ac:dyDescent="0.25">
      <c r="B92" s="3"/>
      <c r="C92" s="3"/>
      <c r="D92" s="15"/>
      <c r="G92" t="s">
        <v>141</v>
      </c>
      <c r="J92">
        <v>0.5</v>
      </c>
      <c r="K92" t="s">
        <v>6</v>
      </c>
    </row>
    <row r="93" spans="1:11" x14ac:dyDescent="0.25">
      <c r="A93" t="s">
        <v>93</v>
      </c>
      <c r="C93" s="73"/>
      <c r="D93" s="73"/>
      <c r="E93" s="73"/>
    </row>
    <row r="94" spans="1:11" x14ac:dyDescent="0.25">
      <c r="A94" s="15">
        <f>D2/2</f>
        <v>2.6</v>
      </c>
      <c r="B94" s="23" t="s">
        <v>6</v>
      </c>
      <c r="C94" t="s">
        <v>80</v>
      </c>
      <c r="D94" s="15">
        <f>A94*D74</f>
        <v>3.8223057145842874</v>
      </c>
      <c r="E94" s="4" t="s">
        <v>92</v>
      </c>
      <c r="F94" t="s">
        <v>94</v>
      </c>
    </row>
    <row r="95" spans="1:11" x14ac:dyDescent="0.25">
      <c r="A95" s="15">
        <f>D3/2-D7/2</f>
        <v>0.79999999999999982</v>
      </c>
      <c r="B95" s="23" t="s">
        <v>6</v>
      </c>
      <c r="C95" t="s">
        <v>81</v>
      </c>
      <c r="D95" s="15">
        <f>A95*D73</f>
        <v>5.1199999999999992</v>
      </c>
      <c r="E95" s="4" t="s">
        <v>92</v>
      </c>
      <c r="F95" t="s">
        <v>95</v>
      </c>
    </row>
    <row r="96" spans="1:11" x14ac:dyDescent="0.25">
      <c r="A96" s="15">
        <f>D2/3</f>
        <v>1.7333333333333334</v>
      </c>
      <c r="B96" s="23" t="s">
        <v>6</v>
      </c>
      <c r="C96" t="s">
        <v>82</v>
      </c>
      <c r="D96" s="15">
        <f>D65*A96</f>
        <v>11.263060838975035</v>
      </c>
      <c r="E96" s="4" t="s">
        <v>92</v>
      </c>
      <c r="F96" t="s">
        <v>94</v>
      </c>
    </row>
    <row r="97" spans="1:6" x14ac:dyDescent="0.25">
      <c r="A97" s="15">
        <f>D3/2-D6-D4/2</f>
        <v>2.7</v>
      </c>
      <c r="B97" s="23" t="s">
        <v>6</v>
      </c>
      <c r="C97" t="s">
        <v>83</v>
      </c>
      <c r="D97" s="15">
        <f>D69*A97</f>
        <v>17.495999999999999</v>
      </c>
      <c r="E97" s="4" t="s">
        <v>92</v>
      </c>
      <c r="F97" t="s">
        <v>94</v>
      </c>
    </row>
    <row r="98" spans="1:6" x14ac:dyDescent="0.25">
      <c r="A98" s="15">
        <f>A97</f>
        <v>2.7</v>
      </c>
      <c r="B98" s="23" t="s">
        <v>6</v>
      </c>
      <c r="C98" t="s">
        <v>84</v>
      </c>
      <c r="D98" s="15">
        <f>D60*A98</f>
        <v>14.474057142857143</v>
      </c>
      <c r="E98" s="4" t="s">
        <v>92</v>
      </c>
      <c r="F98" t="s">
        <v>94</v>
      </c>
    </row>
    <row r="99" spans="1:6" x14ac:dyDescent="0.25">
      <c r="A99" s="15">
        <f>A95</f>
        <v>0.79999999999999982</v>
      </c>
      <c r="B99" s="23" t="s">
        <v>6</v>
      </c>
      <c r="C99" t="s">
        <v>85</v>
      </c>
      <c r="D99" s="15">
        <f>D66*A99</f>
        <v>39.167999999999992</v>
      </c>
      <c r="E99" s="4" t="s">
        <v>92</v>
      </c>
      <c r="F99" t="s">
        <v>95</v>
      </c>
    </row>
    <row r="100" spans="1:6" x14ac:dyDescent="0.25">
      <c r="A100" s="15">
        <f>D3/2-D4/2</f>
        <v>3.7</v>
      </c>
      <c r="B100" s="23" t="s">
        <v>6</v>
      </c>
      <c r="C100" t="s">
        <v>86</v>
      </c>
      <c r="D100" s="15">
        <f>D67*A100</f>
        <v>3.7740000000000005</v>
      </c>
      <c r="E100" s="4" t="s">
        <v>92</v>
      </c>
      <c r="F100" t="s">
        <v>94</v>
      </c>
    </row>
    <row r="101" spans="1:6" x14ac:dyDescent="0.25">
      <c r="A101" s="15">
        <f>A98</f>
        <v>2.7</v>
      </c>
      <c r="B101" s="23" t="s">
        <v>6</v>
      </c>
      <c r="C101" t="s">
        <v>87</v>
      </c>
      <c r="D101" s="15">
        <f>D59*A101</f>
        <v>34.577632653061229</v>
      </c>
      <c r="E101" s="4" t="s">
        <v>92</v>
      </c>
      <c r="F101" t="s">
        <v>94</v>
      </c>
    </row>
    <row r="102" spans="1:6" x14ac:dyDescent="0.25">
      <c r="A102" s="15">
        <f>D2-J92</f>
        <v>4.7</v>
      </c>
      <c r="B102" s="23" t="s">
        <v>6</v>
      </c>
      <c r="C102" t="s">
        <v>88</v>
      </c>
      <c r="D102" s="15">
        <f>D64*A102</f>
        <v>3.2497142857142856</v>
      </c>
      <c r="E102" s="4" t="s">
        <v>92</v>
      </c>
      <c r="F102" t="s">
        <v>94</v>
      </c>
    </row>
    <row r="103" spans="1:6" x14ac:dyDescent="0.25">
      <c r="A103" s="15">
        <f>A95</f>
        <v>0.79999999999999982</v>
      </c>
      <c r="B103" s="23" t="s">
        <v>6</v>
      </c>
      <c r="C103" t="s">
        <v>89</v>
      </c>
      <c r="D103" s="15">
        <f>A103*D80</f>
        <v>1.2443999999999997</v>
      </c>
      <c r="E103" s="4" t="s">
        <v>92</v>
      </c>
      <c r="F103" t="s">
        <v>95</v>
      </c>
    </row>
    <row r="104" spans="1:6" x14ac:dyDescent="0.25">
      <c r="A104" s="15">
        <f>A94</f>
        <v>2.6</v>
      </c>
      <c r="B104" s="23" t="s">
        <v>6</v>
      </c>
      <c r="C104" t="s">
        <v>90</v>
      </c>
      <c r="D104" s="15">
        <f>A104*D79</f>
        <v>1.0461963140803485</v>
      </c>
      <c r="E104" s="4" t="s">
        <v>92</v>
      </c>
      <c r="F104" t="s">
        <v>94</v>
      </c>
    </row>
    <row r="105" spans="1:6" x14ac:dyDescent="0.25">
      <c r="A105" s="15">
        <f>A98</f>
        <v>2.7</v>
      </c>
      <c r="B105" s="23" t="s">
        <v>6</v>
      </c>
      <c r="C105" t="s">
        <v>91</v>
      </c>
      <c r="D105" s="15">
        <f>D61*A105</f>
        <v>1.5154285714285716</v>
      </c>
      <c r="E105" s="4" t="s">
        <v>92</v>
      </c>
      <c r="F105" t="s">
        <v>94</v>
      </c>
    </row>
    <row r="106" spans="1:6" x14ac:dyDescent="0.25">
      <c r="A106" s="15"/>
      <c r="B106" s="23"/>
      <c r="D106" s="15"/>
      <c r="E106" s="60"/>
    </row>
    <row r="107" spans="1:6" x14ac:dyDescent="0.25">
      <c r="A107" s="15"/>
      <c r="B107" s="23"/>
      <c r="D107" s="15"/>
      <c r="E107" s="64"/>
    </row>
    <row r="108" spans="1:6" x14ac:dyDescent="0.25">
      <c r="A108" s="15"/>
      <c r="B108" s="23"/>
      <c r="D108" s="15"/>
      <c r="E108" s="64"/>
    </row>
    <row r="109" spans="1:6" x14ac:dyDescent="0.25">
      <c r="A109" s="15"/>
      <c r="B109" s="23"/>
      <c r="D109" s="15"/>
      <c r="E109" s="64"/>
    </row>
    <row r="110" spans="1:6" x14ac:dyDescent="0.25">
      <c r="A110" s="15"/>
      <c r="B110" s="23"/>
      <c r="D110" s="15"/>
      <c r="E110" s="64"/>
    </row>
    <row r="111" spans="1:6" x14ac:dyDescent="0.25">
      <c r="A111" s="15"/>
      <c r="B111" s="23"/>
      <c r="D111" s="15"/>
      <c r="E111" s="64"/>
    </row>
    <row r="112" spans="1:6" x14ac:dyDescent="0.25">
      <c r="A112" s="15"/>
      <c r="B112" s="23"/>
      <c r="D112" s="15"/>
      <c r="E112" s="64"/>
    </row>
    <row r="113" spans="1:5" x14ac:dyDescent="0.25">
      <c r="A113" s="15"/>
      <c r="B113" s="23"/>
      <c r="D113" s="15"/>
      <c r="E113" s="64"/>
    </row>
    <row r="114" spans="1:5" x14ac:dyDescent="0.25">
      <c r="A114" s="15"/>
      <c r="B114" s="23"/>
      <c r="D114" s="15"/>
      <c r="E114" s="64"/>
    </row>
    <row r="115" spans="1:5" x14ac:dyDescent="0.25">
      <c r="A115" s="15"/>
      <c r="B115" s="23"/>
      <c r="D115" s="15"/>
      <c r="E115" s="64"/>
    </row>
    <row r="116" spans="1:5" x14ac:dyDescent="0.25">
      <c r="A116" s="15"/>
      <c r="B116" s="23"/>
      <c r="D116" s="15"/>
      <c r="E116" s="64"/>
    </row>
    <row r="117" spans="1:5" x14ac:dyDescent="0.25">
      <c r="A117" s="15"/>
      <c r="B117" s="23"/>
      <c r="D117" s="15"/>
      <c r="E117" s="64"/>
    </row>
    <row r="118" spans="1:5" x14ac:dyDescent="0.25">
      <c r="A118" s="15"/>
      <c r="B118" s="23"/>
      <c r="D118" s="15"/>
      <c r="E118" s="64"/>
    </row>
    <row r="119" spans="1:5" x14ac:dyDescent="0.25">
      <c r="A119" s="15"/>
      <c r="B119" s="23"/>
      <c r="D119" s="15"/>
      <c r="E119" s="64"/>
    </row>
    <row r="120" spans="1:5" x14ac:dyDescent="0.25">
      <c r="A120" s="15"/>
      <c r="B120" s="23"/>
      <c r="D120" s="15"/>
      <c r="E120" s="64"/>
    </row>
    <row r="121" spans="1:5" x14ac:dyDescent="0.25">
      <c r="A121" s="15"/>
      <c r="B121" s="23"/>
      <c r="D121" s="15"/>
      <c r="E121" s="64"/>
    </row>
    <row r="122" spans="1:5" x14ac:dyDescent="0.25">
      <c r="A122" s="15"/>
      <c r="B122" s="23"/>
      <c r="D122" s="15"/>
      <c r="E122" s="64"/>
    </row>
    <row r="123" spans="1:5" x14ac:dyDescent="0.25">
      <c r="A123" s="15"/>
      <c r="B123" s="23"/>
      <c r="D123" s="15"/>
      <c r="E123" s="64"/>
    </row>
    <row r="124" spans="1:5" x14ac:dyDescent="0.25">
      <c r="A124" s="15"/>
      <c r="B124" s="23"/>
      <c r="D124" s="15"/>
      <c r="E124" s="64"/>
    </row>
    <row r="125" spans="1:5" x14ac:dyDescent="0.25">
      <c r="A125" s="15"/>
      <c r="B125" s="23"/>
      <c r="D125" s="15"/>
      <c r="E125" s="64"/>
    </row>
    <row r="126" spans="1:5" x14ac:dyDescent="0.25">
      <c r="A126" s="15"/>
      <c r="B126" s="23"/>
      <c r="D126" s="15"/>
      <c r="E126" s="64"/>
    </row>
    <row r="127" spans="1:5" x14ac:dyDescent="0.25">
      <c r="A127" s="15"/>
      <c r="B127" s="23"/>
      <c r="D127" s="15"/>
      <c r="E127" s="64"/>
    </row>
    <row r="128" spans="1:5" x14ac:dyDescent="0.25">
      <c r="A128" s="15"/>
      <c r="B128" s="23"/>
      <c r="D128" s="15"/>
      <c r="E128" s="64"/>
    </row>
    <row r="129" spans="1:5" x14ac:dyDescent="0.25">
      <c r="A129" s="15"/>
      <c r="B129" s="23"/>
      <c r="D129" s="15"/>
      <c r="E129" s="64"/>
    </row>
    <row r="130" spans="1:5" x14ac:dyDescent="0.25">
      <c r="A130" s="15"/>
      <c r="B130" s="23"/>
      <c r="D130" s="15"/>
      <c r="E130" s="64"/>
    </row>
    <row r="131" spans="1:5" x14ac:dyDescent="0.25">
      <c r="A131" s="15"/>
      <c r="B131" s="23"/>
      <c r="D131" s="15"/>
      <c r="E131" s="60"/>
    </row>
    <row r="132" spans="1:5" x14ac:dyDescent="0.25">
      <c r="A132" s="15"/>
      <c r="B132" s="23"/>
      <c r="D132" s="15"/>
      <c r="E132" s="60"/>
    </row>
    <row r="133" spans="1:5" x14ac:dyDescent="0.25">
      <c r="A133" s="15"/>
      <c r="B133" s="23"/>
      <c r="D133" s="15"/>
      <c r="E133" s="60"/>
    </row>
    <row r="134" spans="1:5" x14ac:dyDescent="0.25">
      <c r="A134" s="15"/>
      <c r="B134" s="23"/>
      <c r="D134" s="15"/>
      <c r="E134" s="60"/>
    </row>
    <row r="135" spans="1:5" x14ac:dyDescent="0.25">
      <c r="A135" s="15"/>
      <c r="B135" s="23"/>
      <c r="D135" s="15"/>
      <c r="E135" s="60"/>
    </row>
    <row r="136" spans="1:5" x14ac:dyDescent="0.25">
      <c r="A136" s="15"/>
      <c r="B136" s="23"/>
      <c r="D136" s="15"/>
      <c r="E136" s="60"/>
    </row>
    <row r="137" spans="1:5" x14ac:dyDescent="0.25">
      <c r="A137" s="15"/>
      <c r="B137" s="23"/>
      <c r="D137" s="15"/>
      <c r="E137" s="60"/>
    </row>
    <row r="138" spans="1:5" x14ac:dyDescent="0.25">
      <c r="A138" s="15"/>
      <c r="B138" s="23"/>
      <c r="D138" s="15"/>
      <c r="E138" s="60"/>
    </row>
    <row r="139" spans="1:5" x14ac:dyDescent="0.25">
      <c r="A139" s="15"/>
      <c r="B139" s="23"/>
      <c r="D139" s="15"/>
      <c r="E139" s="60"/>
    </row>
    <row r="140" spans="1:5" x14ac:dyDescent="0.25">
      <c r="A140" s="15"/>
      <c r="B140" s="23"/>
      <c r="D140" s="15"/>
      <c r="E140" s="60"/>
    </row>
    <row r="141" spans="1:5" x14ac:dyDescent="0.25">
      <c r="A141" s="15"/>
      <c r="B141" s="23"/>
      <c r="D141" s="15"/>
      <c r="E141" s="60"/>
    </row>
    <row r="142" spans="1:5" x14ac:dyDescent="0.25">
      <c r="A142" s="15"/>
      <c r="B142" s="23"/>
      <c r="D142" s="15"/>
      <c r="E142" s="60"/>
    </row>
    <row r="143" spans="1:5" x14ac:dyDescent="0.25">
      <c r="A143" s="15"/>
      <c r="B143" s="23"/>
      <c r="D143" s="15"/>
      <c r="E143" s="60"/>
    </row>
    <row r="144" spans="1:5" x14ac:dyDescent="0.25">
      <c r="A144" s="15"/>
      <c r="B144" s="23"/>
      <c r="D144" s="15"/>
      <c r="E144" s="60"/>
    </row>
    <row r="145" spans="1:9" x14ac:dyDescent="0.25">
      <c r="A145" s="15"/>
      <c r="B145" s="23"/>
      <c r="D145" s="15"/>
      <c r="E145" s="60"/>
    </row>
    <row r="146" spans="1:9" x14ac:dyDescent="0.25">
      <c r="A146" s="15"/>
      <c r="B146" s="23"/>
      <c r="D146" s="15"/>
      <c r="E146" s="60"/>
    </row>
    <row r="147" spans="1:9" x14ac:dyDescent="0.25">
      <c r="A147" s="15"/>
      <c r="B147" s="23"/>
      <c r="D147" s="15"/>
      <c r="E147" s="60"/>
    </row>
    <row r="148" spans="1:9" x14ac:dyDescent="0.25">
      <c r="A148" s="15"/>
      <c r="B148" s="23"/>
      <c r="D148" s="15"/>
      <c r="E148" s="60"/>
    </row>
    <row r="149" spans="1:9" ht="15" customHeight="1" x14ac:dyDescent="0.4">
      <c r="D149" s="61"/>
      <c r="E149" s="61"/>
      <c r="F149" s="61"/>
      <c r="G149" s="61"/>
      <c r="H149" s="61"/>
      <c r="I149" s="61"/>
    </row>
    <row r="150" spans="1:9" ht="15" customHeight="1" x14ac:dyDescent="0.4">
      <c r="D150" s="61"/>
      <c r="E150" s="61"/>
      <c r="F150" s="61"/>
      <c r="G150" s="61"/>
      <c r="H150" s="61"/>
      <c r="I150" s="61"/>
    </row>
    <row r="151" spans="1:9" ht="15" customHeight="1" x14ac:dyDescent="0.4">
      <c r="D151" s="61"/>
      <c r="E151" s="61"/>
      <c r="F151" s="61"/>
      <c r="G151" s="61"/>
      <c r="H151" s="61"/>
      <c r="I151" s="61"/>
    </row>
    <row r="152" spans="1:9" ht="15" customHeight="1" x14ac:dyDescent="0.4">
      <c r="D152" s="61"/>
      <c r="E152" s="61"/>
      <c r="F152" s="61"/>
      <c r="G152" s="61"/>
      <c r="H152" s="61"/>
      <c r="I152" s="61"/>
    </row>
    <row r="153" spans="1:9" ht="15" customHeight="1" x14ac:dyDescent="0.4">
      <c r="D153" s="61"/>
      <c r="E153" s="61"/>
      <c r="F153" s="61"/>
      <c r="G153" s="61"/>
      <c r="H153" s="61"/>
      <c r="I153" s="61"/>
    </row>
    <row r="154" spans="1:9" ht="15" customHeight="1" x14ac:dyDescent="0.4">
      <c r="D154" s="61"/>
      <c r="E154" s="61"/>
      <c r="F154" s="61"/>
      <c r="G154" s="61"/>
      <c r="H154" s="61"/>
      <c r="I154" s="61"/>
    </row>
    <row r="155" spans="1:9" ht="15" customHeight="1" x14ac:dyDescent="0.4">
      <c r="D155" s="61"/>
      <c r="E155" s="61"/>
      <c r="F155" s="61"/>
      <c r="G155" s="61"/>
      <c r="H155" s="61"/>
      <c r="I155" s="61"/>
    </row>
    <row r="156" spans="1:9" ht="15" customHeight="1" x14ac:dyDescent="0.4">
      <c r="D156" s="61"/>
      <c r="E156" s="61"/>
      <c r="F156" s="61"/>
      <c r="G156" s="61"/>
      <c r="H156" s="61"/>
      <c r="I156" s="61"/>
    </row>
    <row r="157" spans="1:9" ht="15" customHeight="1" x14ac:dyDescent="0.4">
      <c r="D157" s="61"/>
      <c r="E157" s="61"/>
      <c r="F157" s="61"/>
      <c r="G157" s="61"/>
      <c r="H157" s="61"/>
      <c r="I157" s="61"/>
    </row>
    <row r="158" spans="1:9" ht="15" customHeight="1" x14ac:dyDescent="0.4">
      <c r="D158" s="61"/>
      <c r="E158" s="61"/>
      <c r="F158" s="61"/>
      <c r="G158" s="61"/>
      <c r="H158" s="61"/>
      <c r="I158" s="61"/>
    </row>
    <row r="159" spans="1:9" ht="15" customHeight="1" x14ac:dyDescent="0.4">
      <c r="C159" s="61"/>
      <c r="D159" s="61"/>
      <c r="E159" s="61"/>
      <c r="F159" s="61"/>
      <c r="G159" s="61"/>
      <c r="H159" s="61"/>
      <c r="I159" s="61"/>
    </row>
    <row r="160" spans="1:9" ht="15" customHeight="1" x14ac:dyDescent="0.4">
      <c r="C160" s="61"/>
      <c r="D160" s="61"/>
      <c r="E160" s="61"/>
      <c r="F160" s="61"/>
      <c r="G160" s="61"/>
      <c r="H160" s="61"/>
      <c r="I160" s="61"/>
    </row>
    <row r="161" spans="3:9" ht="15" customHeight="1" x14ac:dyDescent="0.4">
      <c r="C161" s="61"/>
      <c r="D161" s="61"/>
      <c r="E161" s="61"/>
      <c r="F161" s="61"/>
      <c r="G161" s="61"/>
      <c r="H161" s="61"/>
      <c r="I161" s="61"/>
    </row>
    <row r="162" spans="3:9" ht="33.75" customHeight="1" x14ac:dyDescent="0.4">
      <c r="C162" s="61" t="s">
        <v>96</v>
      </c>
      <c r="D162" s="61"/>
      <c r="E162" s="61"/>
      <c r="F162" s="61"/>
      <c r="G162" s="61"/>
      <c r="H162" s="61"/>
      <c r="I162" s="61"/>
    </row>
    <row r="163" spans="3:9" ht="21" x14ac:dyDescent="0.35">
      <c r="C163" s="25" t="s">
        <v>69</v>
      </c>
      <c r="E163" t="s">
        <v>70</v>
      </c>
    </row>
    <row r="164" spans="3:9" x14ac:dyDescent="0.25">
      <c r="C164" t="s">
        <v>75</v>
      </c>
      <c r="D164" s="15">
        <v>1.75</v>
      </c>
      <c r="E164" s="15">
        <v>1.75</v>
      </c>
    </row>
    <row r="165" spans="3:9" x14ac:dyDescent="0.25">
      <c r="C165" t="s">
        <v>28</v>
      </c>
      <c r="D165" s="15">
        <v>1.25</v>
      </c>
      <c r="E165" s="15">
        <v>0.9</v>
      </c>
    </row>
    <row r="166" spans="3:9" x14ac:dyDescent="0.25">
      <c r="C166" t="s">
        <v>29</v>
      </c>
      <c r="D166" s="15">
        <v>1.5</v>
      </c>
      <c r="E166" s="15">
        <v>0.65</v>
      </c>
    </row>
    <row r="167" spans="3:9" x14ac:dyDescent="0.25">
      <c r="C167" t="s">
        <v>76</v>
      </c>
      <c r="D167" s="15">
        <v>1.5</v>
      </c>
      <c r="E167" s="15">
        <v>0.9</v>
      </c>
    </row>
    <row r="168" spans="3:9" x14ac:dyDescent="0.25">
      <c r="C168" t="s">
        <v>77</v>
      </c>
      <c r="D168" s="15">
        <v>1.35</v>
      </c>
      <c r="E168" s="15">
        <v>1</v>
      </c>
    </row>
    <row r="169" spans="3:9" x14ac:dyDescent="0.25">
      <c r="C169" t="s">
        <v>78</v>
      </c>
      <c r="D169" s="15">
        <v>1.5</v>
      </c>
      <c r="E169" s="15">
        <v>0.75</v>
      </c>
    </row>
    <row r="170" spans="3:9" x14ac:dyDescent="0.25">
      <c r="D170" s="15"/>
      <c r="E170" s="15"/>
    </row>
    <row r="171" spans="3:9" x14ac:dyDescent="0.25">
      <c r="D171" s="15"/>
      <c r="E171" s="15"/>
    </row>
    <row r="172" spans="3:9" x14ac:dyDescent="0.25">
      <c r="D172" s="15"/>
      <c r="E172" s="15"/>
    </row>
    <row r="174" spans="3:9" x14ac:dyDescent="0.25">
      <c r="C174" s="3" t="s">
        <v>61</v>
      </c>
      <c r="D174" s="7">
        <f>(D169*D94-E169*D95+D167*D96+D165*(D97+D98)-E168*D99+D168*D100+D164*(D101+D102-D103+D104)+D166*D105)/(E169*D73+E165*(D69+D70+D60)+E168*(D66+D67)+E164*(D59+D80)+E166*D61)</f>
        <v>0.90071538224410685</v>
      </c>
      <c r="E174" s="4" t="s">
        <v>6</v>
      </c>
      <c r="G174" t="s">
        <v>68</v>
      </c>
    </row>
    <row r="175" spans="3:9" x14ac:dyDescent="0.25">
      <c r="C175" s="3" t="s">
        <v>60</v>
      </c>
      <c r="D175" s="7">
        <f>D3/6</f>
        <v>1.3333333333333333</v>
      </c>
      <c r="E175" s="4" t="s">
        <v>6</v>
      </c>
    </row>
    <row r="176" spans="3:9" ht="26.25" x14ac:dyDescent="0.4">
      <c r="D176" s="50" t="str">
        <f>IF(D175&gt;=ABS(D174),"Cumple con el requisito de volcamiento","NO Cumple con el requisito de volcamiento")</f>
        <v>Cumple con el requisito de volcamiento</v>
      </c>
    </row>
    <row r="179" spans="3:9" ht="21" x14ac:dyDescent="0.35">
      <c r="C179" s="25" t="s">
        <v>71</v>
      </c>
      <c r="D179" s="15"/>
      <c r="E179" t="s">
        <v>72</v>
      </c>
    </row>
    <row r="180" spans="3:9" x14ac:dyDescent="0.25">
      <c r="C180" t="s">
        <v>28</v>
      </c>
      <c r="D180" s="15">
        <v>1.5</v>
      </c>
      <c r="E180" s="15">
        <v>0.9</v>
      </c>
    </row>
    <row r="181" spans="3:9" x14ac:dyDescent="0.25">
      <c r="C181" t="s">
        <v>29</v>
      </c>
      <c r="D181" s="15">
        <v>1.5</v>
      </c>
      <c r="E181" s="15">
        <v>0.65</v>
      </c>
    </row>
    <row r="182" spans="3:9" x14ac:dyDescent="0.25">
      <c r="C182" t="s">
        <v>76</v>
      </c>
      <c r="D182" s="15">
        <v>1.5</v>
      </c>
      <c r="E182" s="15">
        <v>0.9</v>
      </c>
    </row>
    <row r="183" spans="3:9" x14ac:dyDescent="0.25">
      <c r="C183" t="s">
        <v>77</v>
      </c>
      <c r="D183" s="15">
        <v>1.35</v>
      </c>
      <c r="E183" s="15">
        <v>1</v>
      </c>
    </row>
    <row r="184" spans="3:9" x14ac:dyDescent="0.25">
      <c r="C184" t="s">
        <v>78</v>
      </c>
      <c r="D184" s="15">
        <v>1.5</v>
      </c>
      <c r="E184" s="15">
        <v>0.75</v>
      </c>
    </row>
    <row r="186" spans="3:9" x14ac:dyDescent="0.25">
      <c r="C186" s="3" t="s">
        <v>61</v>
      </c>
      <c r="D186" s="7">
        <f>(D184*D94-E184*D95+D182*D96+D180*D97-E183*D66+D183*D67)/(E184*D73+E180*(D69+D70)+E183*(D66+D67))</f>
        <v>-3.5084862321354139E-2</v>
      </c>
      <c r="E186" s="4" t="s">
        <v>6</v>
      </c>
    </row>
    <row r="187" spans="3:9" x14ac:dyDescent="0.25">
      <c r="C187" s="3" t="s">
        <v>60</v>
      </c>
      <c r="D187" s="7">
        <f>D3/6</f>
        <v>1.3333333333333333</v>
      </c>
      <c r="E187" s="4" t="s">
        <v>6</v>
      </c>
    </row>
    <row r="188" spans="3:9" ht="26.25" x14ac:dyDescent="0.4">
      <c r="D188" s="50" t="str">
        <f>IF(D187&gt;=ABS(D186),"Cumple con el requisito de volcamiento","NO Cumple con el requisito de volcamiento")</f>
        <v>Cumple con el requisito de volcamiento</v>
      </c>
    </row>
    <row r="190" spans="3:9" x14ac:dyDescent="0.25">
      <c r="C190" s="77" t="s">
        <v>97</v>
      </c>
      <c r="D190" s="77"/>
      <c r="E190" s="77"/>
      <c r="F190" s="77"/>
      <c r="G190" s="77"/>
      <c r="H190" s="77"/>
      <c r="I190" s="77"/>
    </row>
    <row r="191" spans="3:9" x14ac:dyDescent="0.25">
      <c r="C191" s="77"/>
      <c r="D191" s="77"/>
      <c r="E191" s="77"/>
      <c r="F191" s="77"/>
      <c r="G191" s="77"/>
      <c r="H191" s="77"/>
      <c r="I191" s="77"/>
    </row>
    <row r="192" spans="3:9" ht="26.25" x14ac:dyDescent="0.4">
      <c r="C192" s="26"/>
      <c r="D192" s="26"/>
      <c r="E192" s="26"/>
      <c r="F192" s="26"/>
      <c r="G192" s="26"/>
      <c r="H192" s="26"/>
      <c r="I192" s="26"/>
    </row>
    <row r="193" spans="3:9" ht="21" x14ac:dyDescent="0.35">
      <c r="C193" s="25" t="s">
        <v>69</v>
      </c>
      <c r="G193" s="30" t="s">
        <v>99</v>
      </c>
      <c r="H193" s="30">
        <v>22</v>
      </c>
      <c r="I193" s="30" t="s">
        <v>67</v>
      </c>
    </row>
    <row r="194" spans="3:9" ht="18.75" x14ac:dyDescent="0.3">
      <c r="C194" s="28" t="s">
        <v>98</v>
      </c>
      <c r="D194" s="15">
        <f>(D168*(D66+D67)+D165*(D69+D70+D60)+D169*D73+D164*(D59+D80)+D166*D61)/(D3-2*D174)</f>
        <v>21.722659794275632</v>
      </c>
      <c r="E194" s="4" t="s">
        <v>67</v>
      </c>
    </row>
    <row r="195" spans="3:9" ht="26.25" x14ac:dyDescent="0.4">
      <c r="D195" s="50" t="str">
        <f>IF(D194&lt;=ABS(H193),"Cumple con el requisito de qadm","NO Cumple con el requisito de qadm")</f>
        <v>Cumple con el requisito de qadm</v>
      </c>
    </row>
    <row r="199" spans="3:9" ht="21" x14ac:dyDescent="0.35">
      <c r="C199" s="25" t="s">
        <v>71</v>
      </c>
      <c r="G199" s="29"/>
      <c r="H199" s="29"/>
      <c r="I199" s="29"/>
    </row>
    <row r="200" spans="3:9" ht="18.75" x14ac:dyDescent="0.3">
      <c r="C200" s="28" t="s">
        <v>98</v>
      </c>
      <c r="D200" s="15">
        <f>(D183*(D66+D67)+D180*(D69+D70)+D184*D73)/(D3-2*D186)</f>
        <v>13.252881122612964</v>
      </c>
      <c r="E200" s="4" t="s">
        <v>67</v>
      </c>
    </row>
    <row r="201" spans="3:9" ht="26.25" x14ac:dyDescent="0.4">
      <c r="D201" s="50" t="str">
        <f>IF(D200&lt;=ABS(H193),"Cumple con el requisito de qadm","NO Cumple con el requisito de qadm")</f>
        <v>Cumple con el requisito de qadm</v>
      </c>
    </row>
    <row r="205" spans="3:9" x14ac:dyDescent="0.25">
      <c r="E205" s="60"/>
    </row>
    <row r="206" spans="3:9" x14ac:dyDescent="0.25">
      <c r="E206" s="60"/>
    </row>
    <row r="207" spans="3:9" x14ac:dyDescent="0.25">
      <c r="E207" s="60"/>
    </row>
    <row r="208" spans="3:9" x14ac:dyDescent="0.25">
      <c r="E208" s="60"/>
    </row>
    <row r="209" spans="3:11" x14ac:dyDescent="0.25">
      <c r="E209" s="60"/>
    </row>
    <row r="210" spans="3:11" x14ac:dyDescent="0.25">
      <c r="E210" s="60"/>
    </row>
    <row r="211" spans="3:11" x14ac:dyDescent="0.25">
      <c r="E211" s="60"/>
    </row>
    <row r="212" spans="3:11" x14ac:dyDescent="0.25">
      <c r="E212" s="60"/>
    </row>
    <row r="213" spans="3:11" x14ac:dyDescent="0.25">
      <c r="E213" s="60"/>
    </row>
    <row r="214" spans="3:11" x14ac:dyDescent="0.25">
      <c r="E214" s="60"/>
    </row>
    <row r="215" spans="3:11" x14ac:dyDescent="0.25">
      <c r="E215" s="60"/>
    </row>
    <row r="216" spans="3:11" x14ac:dyDescent="0.25">
      <c r="E216" s="60"/>
    </row>
    <row r="217" spans="3:11" x14ac:dyDescent="0.25">
      <c r="E217" s="60"/>
    </row>
    <row r="218" spans="3:11" x14ac:dyDescent="0.25">
      <c r="E218" s="60"/>
    </row>
    <row r="219" spans="3:11" x14ac:dyDescent="0.25">
      <c r="E219" s="60"/>
    </row>
    <row r="220" spans="3:11" x14ac:dyDescent="0.25">
      <c r="E220" s="60"/>
    </row>
    <row r="221" spans="3:11" x14ac:dyDescent="0.25">
      <c r="E221" s="60"/>
    </row>
    <row r="222" spans="3:11" ht="15" customHeight="1" x14ac:dyDescent="0.25">
      <c r="C222" s="77" t="s">
        <v>100</v>
      </c>
      <c r="D222" s="77"/>
      <c r="E222" s="77"/>
      <c r="F222" s="77"/>
      <c r="G222" s="77"/>
      <c r="H222" s="77"/>
      <c r="I222" s="77"/>
    </row>
    <row r="223" spans="3:11" ht="15" customHeight="1" x14ac:dyDescent="0.25">
      <c r="C223" s="77"/>
      <c r="D223" s="77"/>
      <c r="E223" s="77"/>
      <c r="F223" s="77"/>
      <c r="G223" s="77"/>
      <c r="H223" s="77"/>
      <c r="I223" s="77"/>
    </row>
    <row r="224" spans="3:11" ht="15" customHeight="1" x14ac:dyDescent="0.25">
      <c r="C224" s="77"/>
      <c r="D224" s="77"/>
      <c r="E224" s="77"/>
      <c r="F224" s="77"/>
      <c r="G224" s="77"/>
      <c r="H224" s="77"/>
      <c r="I224" s="77"/>
      <c r="J224" t="s">
        <v>104</v>
      </c>
      <c r="K224">
        <v>0.8</v>
      </c>
    </row>
    <row r="225" spans="3:10" ht="21" customHeight="1" x14ac:dyDescent="0.35">
      <c r="C225" s="25" t="s">
        <v>69</v>
      </c>
      <c r="J225" t="s">
        <v>105</v>
      </c>
    </row>
    <row r="227" spans="3:10" ht="18.75" x14ac:dyDescent="0.3">
      <c r="C227" s="31" t="s">
        <v>101</v>
      </c>
      <c r="D227" s="15">
        <f>E169*D73+E165*(D69+D70+D60)+E168*(D66+D67)+E164*(D59+D80)+E166*D61</f>
        <v>103.03106468253969</v>
      </c>
      <c r="E227" s="4" t="s">
        <v>35</v>
      </c>
    </row>
    <row r="230" spans="3:10" x14ac:dyDescent="0.25">
      <c r="C230" s="15" t="s">
        <v>102</v>
      </c>
      <c r="D230" s="15">
        <f>D227*TAN(RADIANS(B42))</f>
        <v>69.495330627715987</v>
      </c>
      <c r="E230" s="4" t="s">
        <v>35</v>
      </c>
    </row>
    <row r="231" spans="3:10" x14ac:dyDescent="0.25">
      <c r="C231" s="15" t="s">
        <v>103</v>
      </c>
      <c r="D231" s="15">
        <f>D164*(D79+D64)+D169*D74+D167*D65</f>
        <v>13.866226542004179</v>
      </c>
      <c r="E231" s="4" t="s">
        <v>35</v>
      </c>
    </row>
    <row r="236" spans="3:10" ht="26.25" x14ac:dyDescent="0.4">
      <c r="D236" s="50" t="str">
        <f>IF(D231&lt;=(D230*K224),"Cumple con el requisito de deslizamiento","NO Cumple con el requisito de deslizamiento")</f>
        <v>Cumple con el requisito de deslizamiento</v>
      </c>
    </row>
    <row r="239" spans="3:10" ht="21" x14ac:dyDescent="0.35">
      <c r="C239" s="25" t="s">
        <v>71</v>
      </c>
    </row>
    <row r="240" spans="3:10" x14ac:dyDescent="0.25">
      <c r="C240" s="1" t="s">
        <v>101</v>
      </c>
      <c r="D240" s="15">
        <f>E184*D73+E180*(D69+D70)+E183*(D66+D67)</f>
        <v>72.707999999999998</v>
      </c>
      <c r="E240" s="4" t="s">
        <v>35</v>
      </c>
    </row>
    <row r="244" spans="3:9" x14ac:dyDescent="0.25">
      <c r="C244" s="15" t="s">
        <v>102</v>
      </c>
      <c r="D244" s="15">
        <f>D240*TAN(RADIANS(B42))</f>
        <v>49.042165242579159</v>
      </c>
      <c r="E244" s="4" t="s">
        <v>35</v>
      </c>
    </row>
    <row r="245" spans="3:9" x14ac:dyDescent="0.25">
      <c r="C245" s="15" t="s">
        <v>103</v>
      </c>
      <c r="D245" s="15">
        <f>D169*D74+D167*D65</f>
        <v>11.95205594598856</v>
      </c>
      <c r="E245" s="4" t="s">
        <v>35</v>
      </c>
    </row>
    <row r="250" spans="3:9" ht="26.25" x14ac:dyDescent="0.4">
      <c r="D250" s="50" t="str">
        <f>IF(D245&lt;=(D244*K224),"Cumple con el requisito de deslizamiento","NO Cumple con el requisito de deslizamiento")</f>
        <v>Cumple con el requisito de deslizamiento</v>
      </c>
    </row>
    <row r="252" spans="3:9" x14ac:dyDescent="0.25">
      <c r="C252" s="85" t="s">
        <v>150</v>
      </c>
      <c r="D252" s="85"/>
      <c r="E252" s="85"/>
      <c r="F252" s="85"/>
      <c r="G252" s="85"/>
      <c r="H252" s="85"/>
      <c r="I252" s="85"/>
    </row>
    <row r="253" spans="3:9" x14ac:dyDescent="0.25">
      <c r="C253" s="85"/>
      <c r="D253" s="85"/>
      <c r="E253" s="85"/>
      <c r="F253" s="85"/>
      <c r="G253" s="85"/>
      <c r="H253" s="85"/>
      <c r="I253" s="85"/>
    </row>
    <row r="255" spans="3:9" x14ac:dyDescent="0.25">
      <c r="C255" s="42" t="s">
        <v>146</v>
      </c>
      <c r="D255" s="1">
        <v>0.5</v>
      </c>
      <c r="E255" s="4" t="s">
        <v>147</v>
      </c>
    </row>
    <row r="256" spans="3:9" x14ac:dyDescent="0.25">
      <c r="C256" s="42" t="s">
        <v>144</v>
      </c>
      <c r="D256" s="1">
        <f>0.5*D255</f>
        <v>0.25</v>
      </c>
      <c r="E256" s="4" t="s">
        <v>147</v>
      </c>
      <c r="F256" t="s">
        <v>148</v>
      </c>
    </row>
    <row r="257" spans="3:6" x14ac:dyDescent="0.25">
      <c r="C257" s="42" t="s">
        <v>145</v>
      </c>
      <c r="D257" s="1">
        <f>0.5*D256</f>
        <v>0.125</v>
      </c>
      <c r="E257" s="4" t="s">
        <v>147</v>
      </c>
    </row>
    <row r="258" spans="3:6" x14ac:dyDescent="0.25">
      <c r="C258" s="44" t="s">
        <v>149</v>
      </c>
      <c r="D258" s="7">
        <f>ATAN(D256/(1-D257))</f>
        <v>0.27829965900511133</v>
      </c>
    </row>
    <row r="259" spans="3:6" x14ac:dyDescent="0.25">
      <c r="C259" s="42" t="s">
        <v>142</v>
      </c>
      <c r="D259" s="15">
        <f>(1+SQRT((SIN(RADIANS(B42+B45))*SIN(RADIANS(B42-B44)-D258))/(COS(RADIANS(B42+B43)+D258)*COS(RADIANS(B44-B43)))))^2</f>
        <v>2.3072172208451742</v>
      </c>
    </row>
    <row r="260" spans="3:6" x14ac:dyDescent="0.25">
      <c r="C260" s="42" t="s">
        <v>143</v>
      </c>
      <c r="D260" s="7">
        <f>(COS(RADIANS(B42-B43)-D258)^2)/(D259*(COS(RADIANS(B44))^2)*COS(D258)*COS(D258+RADIANS(B43+B42)))</f>
        <v>0.63319049207871381</v>
      </c>
    </row>
    <row r="261" spans="3:6" x14ac:dyDescent="0.25">
      <c r="C261" s="44" t="s">
        <v>153</v>
      </c>
      <c r="D261" s="7">
        <f>D47</f>
        <v>0.28271491971777274</v>
      </c>
    </row>
    <row r="263" spans="3:6" x14ac:dyDescent="0.25">
      <c r="C263" s="44"/>
    </row>
    <row r="264" spans="3:6" x14ac:dyDescent="0.25">
      <c r="C264" s="44"/>
      <c r="D264" s="15"/>
      <c r="E264" s="45"/>
    </row>
    <row r="265" spans="3:6" x14ac:dyDescent="0.25">
      <c r="C265" s="44" t="s">
        <v>33</v>
      </c>
      <c r="D265" s="15">
        <f>D60</f>
        <v>5.3607619047619046</v>
      </c>
      <c r="E265" s="45" t="s">
        <v>35</v>
      </c>
      <c r="F265" t="s">
        <v>41</v>
      </c>
    </row>
    <row r="266" spans="3:6" x14ac:dyDescent="0.25">
      <c r="C266" s="44" t="s">
        <v>34</v>
      </c>
      <c r="D266" s="15">
        <f>D61</f>
        <v>0.56126984126984125</v>
      </c>
      <c r="E266" s="45" t="s">
        <v>35</v>
      </c>
    </row>
    <row r="267" spans="3:6" x14ac:dyDescent="0.25">
      <c r="C267" s="44" t="s">
        <v>154</v>
      </c>
      <c r="D267" s="15">
        <f>D66</f>
        <v>48.96</v>
      </c>
      <c r="E267" s="45" t="s">
        <v>35</v>
      </c>
    </row>
    <row r="268" spans="3:6" x14ac:dyDescent="0.25">
      <c r="C268" s="44"/>
      <c r="D268" s="15"/>
      <c r="E268" s="45"/>
    </row>
    <row r="269" spans="3:6" x14ac:dyDescent="0.25">
      <c r="C269" s="44" t="s">
        <v>53</v>
      </c>
      <c r="D269" s="15">
        <f>D69</f>
        <v>6.4799999999999995</v>
      </c>
      <c r="E269" s="45" t="s">
        <v>35</v>
      </c>
    </row>
    <row r="270" spans="3:6" x14ac:dyDescent="0.25">
      <c r="C270" s="44" t="s">
        <v>54</v>
      </c>
      <c r="D270" s="15">
        <f>D70</f>
        <v>13.44</v>
      </c>
      <c r="E270" s="45" t="s">
        <v>35</v>
      </c>
    </row>
    <row r="271" spans="3:6" x14ac:dyDescent="0.25">
      <c r="C271" s="44" t="s">
        <v>151</v>
      </c>
      <c r="D271" s="15">
        <f>0.5*D16*(D2^2)*D260</f>
        <v>14.553250269937159</v>
      </c>
      <c r="E271" s="45" t="s">
        <v>35</v>
      </c>
      <c r="F271" t="s">
        <v>158</v>
      </c>
    </row>
    <row r="273" spans="1:7" x14ac:dyDescent="0.25">
      <c r="C273" s="19" t="s">
        <v>160</v>
      </c>
    </row>
    <row r="274" spans="1:7" x14ac:dyDescent="0.25">
      <c r="C274" s="44" t="s">
        <v>155</v>
      </c>
      <c r="D274" s="15">
        <f>D256*D265</f>
        <v>1.3401904761904762</v>
      </c>
      <c r="E274" s="45" t="s">
        <v>35</v>
      </c>
    </row>
    <row r="275" spans="1:7" x14ac:dyDescent="0.25">
      <c r="C275" s="44" t="s">
        <v>159</v>
      </c>
      <c r="D275" s="15">
        <f>D256*D266</f>
        <v>0.14031746031746031</v>
      </c>
      <c r="E275" s="45" t="s">
        <v>35</v>
      </c>
    </row>
    <row r="276" spans="1:7" x14ac:dyDescent="0.25">
      <c r="C276" s="44" t="s">
        <v>156</v>
      </c>
      <c r="D276" s="15">
        <f>D256*D269</f>
        <v>1.6199999999999999</v>
      </c>
      <c r="E276" s="45" t="s">
        <v>35</v>
      </c>
    </row>
    <row r="277" spans="1:7" x14ac:dyDescent="0.25">
      <c r="C277" s="44" t="s">
        <v>157</v>
      </c>
      <c r="D277" s="15">
        <f>D256*D267</f>
        <v>12.24</v>
      </c>
      <c r="E277" s="45" t="s">
        <v>35</v>
      </c>
    </row>
    <row r="279" spans="1:7" x14ac:dyDescent="0.25">
      <c r="C279" s="19" t="s">
        <v>115</v>
      </c>
    </row>
    <row r="280" spans="1:7" x14ac:dyDescent="0.25">
      <c r="A280" t="s">
        <v>93</v>
      </c>
      <c r="F280" t="s">
        <v>167</v>
      </c>
      <c r="G280" t="s">
        <v>168</v>
      </c>
    </row>
    <row r="281" spans="1:7" x14ac:dyDescent="0.25">
      <c r="A281">
        <f>D2/3</f>
        <v>1.7333333333333334</v>
      </c>
      <c r="B281" s="45" t="s">
        <v>6</v>
      </c>
      <c r="C281" s="44" t="s">
        <v>161</v>
      </c>
      <c r="D281" s="15">
        <f>D271*A281</f>
        <v>25.225633801224411</v>
      </c>
      <c r="E281" s="45" t="s">
        <v>92</v>
      </c>
      <c r="F281" s="48">
        <v>1</v>
      </c>
      <c r="G281" s="48">
        <v>0.5</v>
      </c>
    </row>
    <row r="282" spans="1:7" x14ac:dyDescent="0.25">
      <c r="A282" s="14">
        <f>A102</f>
        <v>4.7</v>
      </c>
      <c r="B282" s="45" t="s">
        <v>6</v>
      </c>
      <c r="C282" s="44" t="s">
        <v>163</v>
      </c>
      <c r="D282" s="15">
        <f>D274*A282</f>
        <v>6.2988952380952385</v>
      </c>
      <c r="E282" s="45" t="s">
        <v>92</v>
      </c>
      <c r="F282" s="48">
        <v>0.5</v>
      </c>
      <c r="G282" s="48">
        <v>1</v>
      </c>
    </row>
    <row r="283" spans="1:7" x14ac:dyDescent="0.25">
      <c r="A283" s="14">
        <f>A282</f>
        <v>4.7</v>
      </c>
      <c r="B283" s="45" t="s">
        <v>6</v>
      </c>
      <c r="C283" s="44" t="s">
        <v>164</v>
      </c>
      <c r="D283" s="15">
        <f>D275*A283</f>
        <v>0.65949206349206346</v>
      </c>
      <c r="E283" s="45" t="s">
        <v>92</v>
      </c>
      <c r="F283" s="48">
        <v>0.5</v>
      </c>
      <c r="G283" s="48">
        <v>1</v>
      </c>
    </row>
    <row r="284" spans="1:7" x14ac:dyDescent="0.25">
      <c r="A284">
        <f>D5+D8/2</f>
        <v>2.95</v>
      </c>
      <c r="B284" s="45" t="s">
        <v>6</v>
      </c>
      <c r="C284" s="44" t="s">
        <v>165</v>
      </c>
      <c r="D284" s="15">
        <f>D276*A284</f>
        <v>4.7789999999999999</v>
      </c>
      <c r="E284" s="45" t="s">
        <v>92</v>
      </c>
      <c r="F284" s="48">
        <v>0.5</v>
      </c>
      <c r="G284" s="48">
        <v>1</v>
      </c>
    </row>
    <row r="285" spans="1:7" x14ac:dyDescent="0.25">
      <c r="A285">
        <f>A284</f>
        <v>2.95</v>
      </c>
      <c r="B285" s="45" t="s">
        <v>6</v>
      </c>
      <c r="C285" s="44" t="s">
        <v>166</v>
      </c>
      <c r="D285" s="15">
        <f>D277*A285</f>
        <v>36.108000000000004</v>
      </c>
      <c r="E285" s="45" t="s">
        <v>92</v>
      </c>
      <c r="F285" s="48">
        <v>1</v>
      </c>
      <c r="G285" s="48">
        <v>0.5</v>
      </c>
    </row>
    <row r="286" spans="1:7" x14ac:dyDescent="0.25">
      <c r="A286" s="14">
        <f>A97</f>
        <v>2.7</v>
      </c>
      <c r="B286" s="45" t="s">
        <v>6</v>
      </c>
      <c r="C286" s="44" t="s">
        <v>84</v>
      </c>
      <c r="D286" s="15">
        <f>D265*A286</f>
        <v>14.474057142857143</v>
      </c>
      <c r="E286" s="45" t="s">
        <v>92</v>
      </c>
    </row>
    <row r="287" spans="1:7" x14ac:dyDescent="0.25">
      <c r="A287" s="14">
        <f>A286</f>
        <v>2.7</v>
      </c>
      <c r="B287" s="45" t="s">
        <v>6</v>
      </c>
      <c r="C287" s="44" t="s">
        <v>91</v>
      </c>
      <c r="D287" s="15">
        <f>D266*A287</f>
        <v>1.5154285714285716</v>
      </c>
      <c r="E287" s="45" t="s">
        <v>92</v>
      </c>
    </row>
    <row r="288" spans="1:7" x14ac:dyDescent="0.25">
      <c r="A288" s="14">
        <f>A287</f>
        <v>2.7</v>
      </c>
      <c r="B288" s="45" t="s">
        <v>6</v>
      </c>
      <c r="C288" s="44" t="s">
        <v>83</v>
      </c>
      <c r="D288" s="15">
        <f>D269*A288</f>
        <v>17.495999999999999</v>
      </c>
      <c r="E288" s="45" t="s">
        <v>92</v>
      </c>
    </row>
    <row r="289" spans="1:9" x14ac:dyDescent="0.25">
      <c r="A289" s="14">
        <f>A99</f>
        <v>0.79999999999999982</v>
      </c>
      <c r="B289" s="45" t="s">
        <v>6</v>
      </c>
      <c r="C289" s="44" t="s">
        <v>162</v>
      </c>
      <c r="D289" s="15">
        <f>D267*A289</f>
        <v>39.167999999999992</v>
      </c>
      <c r="E289" s="45" t="s">
        <v>92</v>
      </c>
    </row>
    <row r="290" spans="1:9" x14ac:dyDescent="0.25">
      <c r="B290" s="45"/>
      <c r="C290" s="44"/>
      <c r="E290" s="45"/>
    </row>
    <row r="291" spans="1:9" x14ac:dyDescent="0.25">
      <c r="B291" s="45"/>
      <c r="C291" s="44"/>
      <c r="E291" s="45"/>
    </row>
    <row r="292" spans="1:9" x14ac:dyDescent="0.25">
      <c r="C292" t="s">
        <v>73</v>
      </c>
      <c r="F292" t="s">
        <v>74</v>
      </c>
    </row>
    <row r="293" spans="1:9" x14ac:dyDescent="0.25">
      <c r="C293" t="s">
        <v>75</v>
      </c>
      <c r="D293" s="15">
        <v>1</v>
      </c>
      <c r="E293" s="15">
        <v>1</v>
      </c>
    </row>
    <row r="294" spans="1:9" x14ac:dyDescent="0.25">
      <c r="C294" t="s">
        <v>28</v>
      </c>
      <c r="D294" s="15">
        <v>1.25</v>
      </c>
      <c r="E294" s="15">
        <v>0.9</v>
      </c>
    </row>
    <row r="295" spans="1:9" x14ac:dyDescent="0.25">
      <c r="C295" t="s">
        <v>29</v>
      </c>
      <c r="D295" s="15">
        <v>1.5</v>
      </c>
      <c r="E295" s="15">
        <v>0.65</v>
      </c>
    </row>
    <row r="296" spans="1:9" x14ac:dyDescent="0.25">
      <c r="C296" t="s">
        <v>76</v>
      </c>
      <c r="D296" s="15">
        <v>1.5</v>
      </c>
      <c r="E296" s="15">
        <v>0.9</v>
      </c>
    </row>
    <row r="297" spans="1:9" x14ac:dyDescent="0.25">
      <c r="C297" t="s">
        <v>77</v>
      </c>
      <c r="D297" s="15">
        <v>1.35</v>
      </c>
      <c r="E297" s="15">
        <v>1</v>
      </c>
    </row>
    <row r="298" spans="1:9" x14ac:dyDescent="0.25">
      <c r="C298" t="s">
        <v>78</v>
      </c>
      <c r="D298" s="15">
        <v>1.5</v>
      </c>
      <c r="E298" s="15">
        <v>0.75</v>
      </c>
    </row>
    <row r="299" spans="1:9" x14ac:dyDescent="0.25">
      <c r="C299" t="s">
        <v>79</v>
      </c>
      <c r="D299" s="15">
        <v>1</v>
      </c>
      <c r="E299" s="15">
        <v>1</v>
      </c>
    </row>
    <row r="301" spans="1:9" x14ac:dyDescent="0.25">
      <c r="C301" s="76" t="s">
        <v>171</v>
      </c>
      <c r="D301" s="76"/>
      <c r="E301" s="76"/>
      <c r="F301" s="76"/>
      <c r="G301" s="76"/>
      <c r="H301" s="76"/>
      <c r="I301" s="76"/>
    </row>
    <row r="302" spans="1:9" x14ac:dyDescent="0.25">
      <c r="C302" s="76"/>
      <c r="D302" s="76"/>
      <c r="E302" s="76"/>
      <c r="F302" s="76"/>
      <c r="G302" s="76"/>
      <c r="H302" s="76"/>
      <c r="I302" s="76"/>
    </row>
    <row r="304" spans="1:9" x14ac:dyDescent="0.25">
      <c r="C304" s="19" t="s">
        <v>169</v>
      </c>
    </row>
    <row r="309" spans="3:5" x14ac:dyDescent="0.25">
      <c r="E309" s="45"/>
    </row>
    <row r="310" spans="3:5" x14ac:dyDescent="0.25">
      <c r="C310" s="44" t="s">
        <v>61</v>
      </c>
      <c r="D310" s="15">
        <f>(1*(D281+D297*D285)+0.5*(D282*D294+D283*D295+D284*D294)-E297*D289+D294*D286+D295*D287+D294*D288)/(E294*(D269+D270+D265)+E297*D267+E295*D266)</f>
        <v>1.1717587130356357</v>
      </c>
      <c r="E310" s="45" t="s">
        <v>6</v>
      </c>
    </row>
    <row r="311" spans="3:5" x14ac:dyDescent="0.25">
      <c r="C311" s="44" t="s">
        <v>60</v>
      </c>
      <c r="D311" s="15">
        <f>D3/6</f>
        <v>1.3333333333333333</v>
      </c>
      <c r="E311" s="45" t="s">
        <v>6</v>
      </c>
    </row>
    <row r="312" spans="3:5" ht="26.25" x14ac:dyDescent="0.4">
      <c r="D312" s="50" t="str">
        <f>IF(D311&gt;=ABS(D310),"Cumple con el requisito de volcamiento","NO Cumple con el requisito de volcamiento")</f>
        <v>Cumple con el requisito de volcamiento</v>
      </c>
    </row>
    <row r="316" spans="3:5" x14ac:dyDescent="0.25">
      <c r="C316" s="19" t="s">
        <v>170</v>
      </c>
    </row>
    <row r="323" spans="3:13" x14ac:dyDescent="0.25">
      <c r="C323" s="44" t="s">
        <v>61</v>
      </c>
      <c r="D323" s="15">
        <f>(0.5*(D281+D297*D285)+1*(D282*D294+D283*D295+D284*D294)-E297*D289+D294*D286+D295*D287+D294*D288)/(E294*(D269+D270+D265)+E297*D267+E295*D266)</f>
        <v>0.76154181079543504</v>
      </c>
      <c r="E323" s="45" t="s">
        <v>6</v>
      </c>
    </row>
    <row r="324" spans="3:13" x14ac:dyDescent="0.25">
      <c r="C324" s="44" t="s">
        <v>60</v>
      </c>
      <c r="D324" s="15">
        <f>D311</f>
        <v>1.3333333333333333</v>
      </c>
      <c r="E324" s="45" t="s">
        <v>6</v>
      </c>
    </row>
    <row r="325" spans="3:13" ht="26.25" x14ac:dyDescent="0.4">
      <c r="D325" s="50" t="str">
        <f>IF(D324&gt;=ABS(D323),"Cumple con el requisito de volcamiento","NO Cumple con el requisito de volcamiento")</f>
        <v>Cumple con el requisito de volcamiento</v>
      </c>
    </row>
    <row r="327" spans="3:13" ht="21" x14ac:dyDescent="0.35">
      <c r="F327" s="30"/>
      <c r="G327" s="30"/>
      <c r="H327" s="30"/>
    </row>
    <row r="329" spans="3:13" x14ac:dyDescent="0.25">
      <c r="C329" s="76" t="s">
        <v>172</v>
      </c>
      <c r="D329" s="76"/>
      <c r="E329" s="76"/>
      <c r="F329" s="76"/>
      <c r="G329" s="76"/>
      <c r="H329" s="76"/>
      <c r="I329" s="76"/>
    </row>
    <row r="330" spans="3:13" ht="21" x14ac:dyDescent="0.35">
      <c r="C330" s="76"/>
      <c r="D330" s="76"/>
      <c r="E330" s="76"/>
      <c r="F330" s="76"/>
      <c r="G330" s="76"/>
      <c r="H330" s="76"/>
      <c r="I330" s="76"/>
      <c r="K330" s="30" t="s">
        <v>99</v>
      </c>
      <c r="L330" s="30">
        <v>30</v>
      </c>
      <c r="M330" s="30" t="s">
        <v>67</v>
      </c>
    </row>
    <row r="331" spans="3:13" x14ac:dyDescent="0.25">
      <c r="C331" s="19" t="s">
        <v>169</v>
      </c>
      <c r="K331" t="s">
        <v>229</v>
      </c>
    </row>
    <row r="336" spans="3:13" ht="18.75" x14ac:dyDescent="0.3">
      <c r="C336" s="43" t="s">
        <v>98</v>
      </c>
      <c r="D336" s="15">
        <f>(D297*D267+D294*(D269+D270+D265)+D266*D295)/(D3-2*D310)</f>
        <v>17.42051811439006</v>
      </c>
      <c r="E336" s="4" t="s">
        <v>67</v>
      </c>
    </row>
    <row r="337" spans="3:13" ht="26.25" x14ac:dyDescent="0.4">
      <c r="D337" s="50" t="str">
        <f>IF(D336&lt;=L330,"Cumple con el requisito de qadm","NO Cumple con el requisito de qadm")</f>
        <v>Cumple con el requisito de qadm</v>
      </c>
    </row>
    <row r="339" spans="3:13" x14ac:dyDescent="0.25">
      <c r="C339" s="19" t="s">
        <v>170</v>
      </c>
    </row>
    <row r="341" spans="3:13" ht="18.75" x14ac:dyDescent="0.3">
      <c r="C341" s="43" t="s">
        <v>98</v>
      </c>
      <c r="D341" s="15">
        <f>(D297*D267+D294*(D269+D270+D265)+D266*D295)/(D3-2*D323)</f>
        <v>15.213853535509193</v>
      </c>
      <c r="E341" s="45" t="s">
        <v>67</v>
      </c>
    </row>
    <row r="342" spans="3:13" ht="26.25" x14ac:dyDescent="0.4">
      <c r="D342" s="50" t="str">
        <f>IF(D341&lt;=L330,"Cumple con el requisito de qadm","NO Cumple con el requisito de qadm")</f>
        <v>Cumple con el requisito de qadm</v>
      </c>
    </row>
    <row r="344" spans="3:13" x14ac:dyDescent="0.25">
      <c r="C344" s="76" t="s">
        <v>173</v>
      </c>
      <c r="D344" s="76"/>
      <c r="E344" s="76"/>
      <c r="F344" s="76"/>
      <c r="G344" s="76"/>
      <c r="H344" s="76"/>
      <c r="I344" s="76"/>
    </row>
    <row r="345" spans="3:13" ht="15" customHeight="1" x14ac:dyDescent="0.25">
      <c r="C345" s="76"/>
      <c r="D345" s="76"/>
      <c r="E345" s="76"/>
      <c r="F345" s="76"/>
      <c r="G345" s="76"/>
      <c r="H345" s="76"/>
      <c r="I345" s="76"/>
      <c r="K345" t="s">
        <v>104</v>
      </c>
      <c r="L345">
        <v>1</v>
      </c>
    </row>
    <row r="346" spans="3:13" ht="15" customHeight="1" x14ac:dyDescent="0.25">
      <c r="L346" t="s">
        <v>230</v>
      </c>
    </row>
    <row r="347" spans="3:13" x14ac:dyDescent="0.25">
      <c r="K347" t="s">
        <v>13</v>
      </c>
      <c r="L347">
        <f>B42</f>
        <v>34</v>
      </c>
      <c r="M347" t="s">
        <v>17</v>
      </c>
    </row>
    <row r="349" spans="3:13" x14ac:dyDescent="0.25">
      <c r="E349" s="67"/>
    </row>
    <row r="350" spans="3:13" x14ac:dyDescent="0.25">
      <c r="E350" s="67"/>
    </row>
    <row r="353" spans="3:5" x14ac:dyDescent="0.25">
      <c r="C353" s="1" t="s">
        <v>101</v>
      </c>
      <c r="D353" s="15">
        <f>E294*(D269+D270+D265)+E297*D267+D266*E295</f>
        <v>72.077511111111107</v>
      </c>
      <c r="E353" s="45" t="s">
        <v>35</v>
      </c>
    </row>
    <row r="354" spans="3:5" x14ac:dyDescent="0.25">
      <c r="C354" s="15" t="s">
        <v>102</v>
      </c>
      <c r="D354" s="15">
        <f>D353*TAN(RADIANS(L347))</f>
        <v>48.616895117249086</v>
      </c>
      <c r="E354" s="45" t="s">
        <v>35</v>
      </c>
    </row>
    <row r="355" spans="3:5" x14ac:dyDescent="0.25">
      <c r="C355" s="1" t="s">
        <v>174</v>
      </c>
      <c r="D355" s="15">
        <f>D354*L345</f>
        <v>48.616895117249086</v>
      </c>
      <c r="E355" s="45" t="s">
        <v>35</v>
      </c>
    </row>
    <row r="356" spans="3:5" x14ac:dyDescent="0.25">
      <c r="C356" s="19" t="s">
        <v>169</v>
      </c>
      <c r="E356" s="45"/>
    </row>
    <row r="360" spans="3:5" x14ac:dyDescent="0.25">
      <c r="C360" s="15" t="s">
        <v>103</v>
      </c>
      <c r="D360" s="15">
        <f>1*(D271+D297*D277)+0.5*(D294*D274+D275*D295+D276*D294)</f>
        <v>33.032607412794306</v>
      </c>
      <c r="E360" s="45" t="s">
        <v>35</v>
      </c>
    </row>
    <row r="361" spans="3:5" x14ac:dyDescent="0.25">
      <c r="C361" s="15"/>
      <c r="E361" s="45"/>
    </row>
    <row r="362" spans="3:5" ht="26.25" x14ac:dyDescent="0.4">
      <c r="C362" s="15"/>
      <c r="D362" s="50" t="str">
        <f>IF(D360&lt;=(D355),"Cumple con el requisito de deslizamiento","NO Cumple con el requisito de deslizamiento")</f>
        <v>Cumple con el requisito de deslizamiento</v>
      </c>
      <c r="E362" s="45"/>
    </row>
    <row r="363" spans="3:5" x14ac:dyDescent="0.25">
      <c r="C363" s="15"/>
      <c r="E363" s="45"/>
    </row>
    <row r="364" spans="3:5" x14ac:dyDescent="0.25">
      <c r="D364" s="15"/>
    </row>
    <row r="365" spans="3:5" x14ac:dyDescent="0.25">
      <c r="C365" s="19" t="s">
        <v>170</v>
      </c>
      <c r="E365" s="45"/>
    </row>
    <row r="366" spans="3:5" x14ac:dyDescent="0.25">
      <c r="E366" s="45"/>
    </row>
    <row r="367" spans="3:5" x14ac:dyDescent="0.25">
      <c r="E367" s="45"/>
    </row>
    <row r="368" spans="3:5" x14ac:dyDescent="0.25">
      <c r="E368" s="45"/>
    </row>
    <row r="369" spans="3:21" x14ac:dyDescent="0.25">
      <c r="C369" s="15" t="s">
        <v>103</v>
      </c>
      <c r="D369" s="15">
        <f>0.5*(D271+D297*D277)+1*(D294*D274+D275*D295+D276*D294)</f>
        <v>19.449339420682865</v>
      </c>
      <c r="E369" s="45" t="s">
        <v>35</v>
      </c>
    </row>
    <row r="371" spans="3:21" ht="26.25" x14ac:dyDescent="0.4">
      <c r="D371" s="50" t="str">
        <f>IF(D369&lt;=(D355),"Cumple con el requisito de deslizamiento","NO Cumple con el requisito de deslizamiento")</f>
        <v>Cumple con el requisito de deslizamiento</v>
      </c>
    </row>
    <row r="372" spans="3:21" ht="26.25" x14ac:dyDescent="0.4">
      <c r="D372" s="50"/>
      <c r="E372" s="64"/>
    </row>
    <row r="373" spans="3:21" ht="26.25" x14ac:dyDescent="0.4">
      <c r="D373" s="50"/>
      <c r="E373" s="64"/>
    </row>
    <row r="374" spans="3:21" ht="23.25" x14ac:dyDescent="0.35">
      <c r="C374" s="32" t="s">
        <v>119</v>
      </c>
      <c r="D374"/>
      <c r="E374"/>
      <c r="G374" s="37">
        <f>J92</f>
        <v>0.5</v>
      </c>
      <c r="H374" s="37" t="s">
        <v>6</v>
      </c>
    </row>
    <row r="375" spans="3:21" x14ac:dyDescent="0.25">
      <c r="C375" s="77" t="s">
        <v>106</v>
      </c>
      <c r="D375" s="77"/>
      <c r="E375" s="77"/>
      <c r="F375" s="77"/>
      <c r="G375" s="77"/>
      <c r="H375" s="77"/>
      <c r="I375" s="77"/>
    </row>
    <row r="376" spans="3:21" ht="15.75" thickBot="1" x14ac:dyDescent="0.3">
      <c r="C376" s="77"/>
      <c r="D376" s="77"/>
      <c r="E376" s="77"/>
      <c r="F376" s="77"/>
      <c r="G376" s="77"/>
      <c r="H376" s="77"/>
      <c r="I376" s="77"/>
    </row>
    <row r="377" spans="3:21" ht="27" customHeight="1" thickBot="1" x14ac:dyDescent="0.4">
      <c r="C377" s="79" t="s">
        <v>175</v>
      </c>
      <c r="D377" s="80"/>
      <c r="E377" s="80"/>
      <c r="F377" s="80"/>
      <c r="G377" s="80"/>
      <c r="H377" s="80"/>
      <c r="I377" s="80"/>
      <c r="J377" s="80"/>
      <c r="K377" s="81"/>
    </row>
    <row r="378" spans="3:21" ht="26.25" customHeight="1" thickBot="1" x14ac:dyDescent="0.45">
      <c r="C378" s="26"/>
      <c r="D378" s="26"/>
      <c r="E378" s="26"/>
      <c r="F378" s="26"/>
      <c r="G378" s="82" t="s">
        <v>114</v>
      </c>
      <c r="H378" s="83"/>
      <c r="I378" s="36"/>
      <c r="J378" s="82" t="s">
        <v>115</v>
      </c>
      <c r="K378" s="83"/>
    </row>
    <row r="379" spans="3:21" ht="26.25" x14ac:dyDescent="0.4">
      <c r="C379" s="34" t="s">
        <v>120</v>
      </c>
      <c r="D379" s="37">
        <f>D47*D72*(D2-D5)</f>
        <v>1.2722171387299772</v>
      </c>
      <c r="E379" s="34" t="s">
        <v>35</v>
      </c>
      <c r="F379" s="34"/>
      <c r="G379" s="37">
        <f>(D2-D5)/2</f>
        <v>2.25</v>
      </c>
      <c r="H379" s="34" t="s">
        <v>6</v>
      </c>
      <c r="I379" s="26"/>
      <c r="J379" s="37">
        <f>G379*D379</f>
        <v>2.862488562142449</v>
      </c>
      <c r="K379" s="34" t="s">
        <v>92</v>
      </c>
    </row>
    <row r="380" spans="3:21" ht="26.25" x14ac:dyDescent="0.4">
      <c r="C380" s="34" t="s">
        <v>45</v>
      </c>
      <c r="D380" s="37">
        <f>0.5*D16*D47*(D2-D5)^2</f>
        <v>4.8662305556421632</v>
      </c>
      <c r="E380" s="34" t="s">
        <v>35</v>
      </c>
      <c r="F380" s="34"/>
      <c r="G380" s="37">
        <f>(D2-D5)/3</f>
        <v>1.5</v>
      </c>
      <c r="H380" s="34" t="s">
        <v>6</v>
      </c>
      <c r="I380" s="26"/>
      <c r="J380" s="37">
        <f t="shared" ref="J380:J386" si="1">G380*D380</f>
        <v>7.2993458334632448</v>
      </c>
      <c r="K380" s="34" t="s">
        <v>92</v>
      </c>
    </row>
    <row r="381" spans="3:21" ht="26.25" x14ac:dyDescent="0.4">
      <c r="C381" s="34" t="s">
        <v>113</v>
      </c>
      <c r="D381" s="37">
        <f>D79</f>
        <v>0.40238319772321096</v>
      </c>
      <c r="E381" s="34" t="s">
        <v>35</v>
      </c>
      <c r="F381" s="34"/>
      <c r="G381" s="37">
        <f>G379</f>
        <v>2.25</v>
      </c>
      <c r="H381" s="34" t="s">
        <v>6</v>
      </c>
      <c r="I381" s="26"/>
      <c r="J381" s="37">
        <f t="shared" si="1"/>
        <v>0.90536219487722469</v>
      </c>
      <c r="K381" s="34" t="s">
        <v>92</v>
      </c>
      <c r="M381" s="34"/>
      <c r="O381" s="34"/>
      <c r="Q381" s="49"/>
      <c r="R381" s="35"/>
      <c r="T381" s="49"/>
      <c r="U381" s="35"/>
    </row>
    <row r="382" spans="3:21" ht="26.25" x14ac:dyDescent="0.4">
      <c r="C382" s="34" t="s">
        <v>110</v>
      </c>
      <c r="D382" s="37">
        <f>D73</f>
        <v>6.4</v>
      </c>
      <c r="E382" s="34" t="s">
        <v>35</v>
      </c>
      <c r="F382" s="34"/>
      <c r="G382" s="37">
        <f>D7/2</f>
        <v>3.2</v>
      </c>
      <c r="H382" s="34" t="s">
        <v>6</v>
      </c>
      <c r="I382" s="26"/>
      <c r="J382" s="37">
        <f t="shared" si="1"/>
        <v>20.480000000000004</v>
      </c>
      <c r="K382" s="34" t="s">
        <v>92</v>
      </c>
      <c r="M382" s="34"/>
      <c r="O382" s="34"/>
      <c r="Q382" s="49"/>
      <c r="R382" s="35"/>
      <c r="T382" s="49"/>
      <c r="U382" s="35"/>
    </row>
    <row r="383" spans="3:21" ht="26.25" x14ac:dyDescent="0.4">
      <c r="C383" s="34" t="s">
        <v>47</v>
      </c>
      <c r="D383" s="37">
        <f>D66</f>
        <v>48.96</v>
      </c>
      <c r="E383" s="34" t="s">
        <v>35</v>
      </c>
      <c r="F383" s="34"/>
      <c r="G383" s="37">
        <f>D7/2</f>
        <v>3.2</v>
      </c>
      <c r="H383" s="34" t="s">
        <v>6</v>
      </c>
      <c r="I383" s="26"/>
      <c r="J383" s="37">
        <f t="shared" si="1"/>
        <v>156.67200000000003</v>
      </c>
      <c r="K383" s="34" t="s">
        <v>92</v>
      </c>
      <c r="M383" s="34"/>
      <c r="O383" s="34"/>
      <c r="Q383" s="49"/>
      <c r="R383" s="35"/>
      <c r="T383" s="49"/>
      <c r="U383" s="35"/>
    </row>
    <row r="384" spans="3:21" ht="26.25" x14ac:dyDescent="0.4">
      <c r="C384" s="34" t="s">
        <v>111</v>
      </c>
      <c r="D384" s="37">
        <f>D80</f>
        <v>1.5555000000000001</v>
      </c>
      <c r="E384" s="34" t="s">
        <v>35</v>
      </c>
      <c r="F384" s="34"/>
      <c r="G384" s="37">
        <f>D7/2</f>
        <v>3.2</v>
      </c>
      <c r="H384" s="34" t="s">
        <v>6</v>
      </c>
      <c r="I384" s="26"/>
      <c r="J384" s="37">
        <f t="shared" si="1"/>
        <v>4.9776000000000007</v>
      </c>
      <c r="K384" s="34" t="s">
        <v>92</v>
      </c>
      <c r="M384" s="34"/>
      <c r="O384" s="34"/>
      <c r="Q384" s="49"/>
      <c r="R384" s="35"/>
      <c r="T384" s="49"/>
      <c r="U384" s="35"/>
    </row>
    <row r="385" spans="3:21" ht="26.25" x14ac:dyDescent="0.4">
      <c r="C385" s="34" t="s">
        <v>49</v>
      </c>
      <c r="D385" s="35">
        <f>D67</f>
        <v>1.02</v>
      </c>
      <c r="E385" s="34" t="s">
        <v>35</v>
      </c>
      <c r="F385" s="34"/>
      <c r="G385" s="37">
        <f>D6/2</f>
        <v>0.5</v>
      </c>
      <c r="H385" s="34" t="s">
        <v>6</v>
      </c>
      <c r="I385" s="26"/>
      <c r="J385" s="37">
        <f t="shared" si="1"/>
        <v>0.51</v>
      </c>
      <c r="K385" s="34" t="s">
        <v>92</v>
      </c>
      <c r="M385" s="34"/>
      <c r="O385" s="34"/>
      <c r="Q385" s="49"/>
      <c r="R385" s="35"/>
      <c r="T385" s="49"/>
      <c r="U385" s="35"/>
    </row>
    <row r="386" spans="3:21" ht="26.25" x14ac:dyDescent="0.4">
      <c r="C386" s="34" t="s">
        <v>42</v>
      </c>
      <c r="D386" s="37">
        <f>D64</f>
        <v>0.69142857142857139</v>
      </c>
      <c r="E386" s="34" t="s">
        <v>35</v>
      </c>
      <c r="F386" s="34"/>
      <c r="G386" s="37">
        <f>D2-D5-G374</f>
        <v>4</v>
      </c>
      <c r="H386" s="34" t="s">
        <v>6</v>
      </c>
      <c r="I386" s="26"/>
      <c r="J386" s="37">
        <f t="shared" si="1"/>
        <v>2.7657142857142856</v>
      </c>
      <c r="K386" s="34" t="s">
        <v>92</v>
      </c>
      <c r="O386" s="34"/>
      <c r="Q386" s="49"/>
      <c r="R386" s="35"/>
      <c r="T386" s="49"/>
      <c r="U386" s="35"/>
    </row>
    <row r="387" spans="3:21" ht="27" thickBot="1" x14ac:dyDescent="0.45">
      <c r="C387" s="34"/>
      <c r="D387" s="37"/>
      <c r="E387" s="34"/>
      <c r="F387" s="34"/>
      <c r="G387" s="37"/>
      <c r="H387" s="34"/>
      <c r="I387" s="63"/>
      <c r="J387" s="37"/>
      <c r="K387" s="34"/>
      <c r="O387" s="34"/>
      <c r="Q387" s="49"/>
      <c r="R387" s="35"/>
      <c r="T387" s="49"/>
      <c r="U387" s="35"/>
    </row>
    <row r="388" spans="3:21" ht="21.75" thickBot="1" x14ac:dyDescent="0.4">
      <c r="C388" s="79" t="s">
        <v>176</v>
      </c>
      <c r="D388" s="80"/>
      <c r="E388" s="80"/>
      <c r="F388" s="80"/>
      <c r="G388" s="80"/>
      <c r="H388" s="80"/>
      <c r="I388" s="80"/>
      <c r="J388" s="80"/>
      <c r="K388" s="81"/>
      <c r="O388" s="34"/>
      <c r="Q388" s="49"/>
      <c r="R388" s="35"/>
      <c r="T388" s="49"/>
      <c r="U388" s="35"/>
    </row>
    <row r="389" spans="3:21" ht="21.75" thickBot="1" x14ac:dyDescent="0.4">
      <c r="D389"/>
      <c r="E389"/>
      <c r="G389" s="82" t="s">
        <v>114</v>
      </c>
      <c r="H389" s="83"/>
      <c r="I389" s="36"/>
      <c r="J389" s="82" t="s">
        <v>115</v>
      </c>
      <c r="K389" s="83"/>
      <c r="O389" s="34"/>
      <c r="Q389" s="49"/>
      <c r="R389" s="35"/>
      <c r="T389" s="49"/>
      <c r="U389" s="35"/>
    </row>
    <row r="390" spans="3:21" ht="21" x14ac:dyDescent="0.35">
      <c r="C390" s="34" t="s">
        <v>151</v>
      </c>
      <c r="D390" s="49">
        <f>D271</f>
        <v>14.553250269937159</v>
      </c>
      <c r="E390" s="34" t="s">
        <v>35</v>
      </c>
      <c r="G390" s="49">
        <f>(D2-D5)/3</f>
        <v>1.5</v>
      </c>
      <c r="H390" s="35" t="s">
        <v>6</v>
      </c>
      <c r="J390" s="49">
        <f>G390*D390</f>
        <v>21.829875404905739</v>
      </c>
      <c r="K390" s="35" t="s">
        <v>92</v>
      </c>
      <c r="O390" s="34"/>
      <c r="Q390" s="49"/>
      <c r="R390" s="35"/>
      <c r="T390" s="49"/>
      <c r="U390" s="35"/>
    </row>
    <row r="391" spans="3:21" ht="21" x14ac:dyDescent="0.35">
      <c r="C391" s="34" t="s">
        <v>152</v>
      </c>
      <c r="D391" s="49">
        <f>D267</f>
        <v>48.96</v>
      </c>
      <c r="E391" s="34" t="s">
        <v>35</v>
      </c>
      <c r="G391" s="49">
        <f>D7/2</f>
        <v>3.2</v>
      </c>
      <c r="H391" s="35" t="s">
        <v>6</v>
      </c>
      <c r="J391" s="49">
        <f>G391*D391</f>
        <v>156.67200000000003</v>
      </c>
      <c r="K391" s="35" t="s">
        <v>92</v>
      </c>
      <c r="O391" s="34"/>
      <c r="Q391" s="49"/>
      <c r="R391" s="35"/>
      <c r="T391" s="49"/>
      <c r="U391" s="35"/>
    </row>
    <row r="392" spans="3:21" ht="26.25" x14ac:dyDescent="0.4">
      <c r="C392" s="34"/>
      <c r="D392" s="37"/>
      <c r="E392" s="34"/>
      <c r="F392" s="34"/>
      <c r="G392" s="37"/>
      <c r="H392" s="34"/>
      <c r="I392" s="63"/>
      <c r="J392" s="37"/>
      <c r="K392" s="34"/>
      <c r="O392" s="34"/>
      <c r="Q392" s="49"/>
      <c r="R392" s="35"/>
      <c r="T392" s="49"/>
      <c r="U392" s="35"/>
    </row>
    <row r="393" spans="3:21" ht="26.25" x14ac:dyDescent="0.4">
      <c r="C393" s="34"/>
      <c r="D393" s="37"/>
      <c r="E393" s="34"/>
      <c r="F393" s="34"/>
      <c r="G393" s="37"/>
      <c r="H393" s="34"/>
      <c r="I393" s="63"/>
      <c r="J393" s="37"/>
      <c r="K393" s="34"/>
      <c r="O393" s="34"/>
      <c r="Q393" s="49"/>
      <c r="R393" s="35"/>
      <c r="T393" s="49"/>
      <c r="U393" s="35"/>
    </row>
    <row r="394" spans="3:21" ht="26.25" x14ac:dyDescent="0.4">
      <c r="C394" s="34"/>
      <c r="D394" s="37"/>
      <c r="E394" s="34"/>
      <c r="F394" s="34"/>
      <c r="G394" s="37"/>
      <c r="H394" s="34"/>
      <c r="I394" s="63"/>
      <c r="J394" s="37"/>
      <c r="K394" s="34"/>
      <c r="O394" s="34"/>
      <c r="Q394" s="49"/>
      <c r="R394" s="35"/>
      <c r="T394" s="49"/>
      <c r="U394" s="35"/>
    </row>
    <row r="395" spans="3:21" ht="26.25" x14ac:dyDescent="0.4">
      <c r="C395" s="34"/>
      <c r="D395" s="37"/>
      <c r="E395" s="34"/>
      <c r="F395" s="34"/>
      <c r="G395" s="37"/>
      <c r="H395" s="34"/>
      <c r="I395" s="63"/>
      <c r="J395" s="37"/>
      <c r="K395" s="34"/>
      <c r="O395" s="34"/>
      <c r="Q395" s="49"/>
      <c r="R395" s="35"/>
      <c r="T395" s="49"/>
      <c r="U395" s="35"/>
    </row>
    <row r="396" spans="3:21" ht="26.25" x14ac:dyDescent="0.4">
      <c r="C396" s="34"/>
      <c r="D396" s="37"/>
      <c r="E396" s="34"/>
      <c r="F396" s="34"/>
      <c r="G396" s="37"/>
      <c r="H396" s="34"/>
      <c r="I396" s="63"/>
      <c r="J396" s="37"/>
      <c r="K396" s="34"/>
      <c r="O396" s="34"/>
      <c r="Q396" s="49"/>
      <c r="R396" s="35"/>
      <c r="T396" s="49"/>
      <c r="U396" s="35"/>
    </row>
    <row r="397" spans="3:21" ht="26.25" x14ac:dyDescent="0.4">
      <c r="C397" s="34"/>
      <c r="D397" s="37"/>
      <c r="E397" s="34"/>
      <c r="F397" s="34"/>
      <c r="G397" s="37"/>
      <c r="H397" s="34"/>
      <c r="I397" s="63"/>
      <c r="J397" s="37"/>
      <c r="K397" s="34"/>
      <c r="O397" s="34"/>
      <c r="Q397" s="49"/>
      <c r="R397" s="35"/>
      <c r="T397" s="49"/>
      <c r="U397" s="35"/>
    </row>
    <row r="398" spans="3:21" s="21" customFormat="1" x14ac:dyDescent="0.25">
      <c r="D398" s="22"/>
      <c r="E398" s="33"/>
    </row>
    <row r="399" spans="3:21" ht="23.25" x14ac:dyDescent="0.35">
      <c r="C399" s="39" t="s">
        <v>107</v>
      </c>
      <c r="G399" t="s">
        <v>132</v>
      </c>
      <c r="H399">
        <f>D422</f>
        <v>240</v>
      </c>
      <c r="I399" t="s">
        <v>134</v>
      </c>
    </row>
    <row r="400" spans="3:21" ht="18.75" x14ac:dyDescent="0.3">
      <c r="C400" s="28" t="s">
        <v>177</v>
      </c>
      <c r="D400" s="1">
        <f>D4*10000</f>
        <v>6000</v>
      </c>
      <c r="E400" s="45" t="s">
        <v>178</v>
      </c>
      <c r="G400" t="s">
        <v>179</v>
      </c>
    </row>
    <row r="401" spans="3:12" ht="21" x14ac:dyDescent="0.35">
      <c r="C401" s="28" t="s">
        <v>180</v>
      </c>
      <c r="D401" s="1">
        <f>H399*L401*0.1*D400/1000</f>
        <v>144</v>
      </c>
      <c r="E401" s="45" t="s">
        <v>35</v>
      </c>
      <c r="K401" s="24" t="s">
        <v>13</v>
      </c>
      <c r="L401">
        <v>1</v>
      </c>
    </row>
    <row r="402" spans="3:12" ht="18.75" x14ac:dyDescent="0.3">
      <c r="C402" s="28" t="s">
        <v>183</v>
      </c>
      <c r="D402" s="15">
        <f>D180*D60+D61*D181</f>
        <v>8.8830476190476197</v>
      </c>
      <c r="E402" s="45"/>
      <c r="G402" t="s">
        <v>181</v>
      </c>
    </row>
    <row r="403" spans="3:12" ht="18.75" x14ac:dyDescent="0.3">
      <c r="C403" s="28" t="s">
        <v>183</v>
      </c>
      <c r="D403" s="15">
        <f>D165*D60+D61*D166+D164*D59</f>
        <v>29.954285714285717</v>
      </c>
      <c r="E403" s="45"/>
      <c r="G403" t="s">
        <v>182</v>
      </c>
    </row>
    <row r="404" spans="3:12" ht="18.75" x14ac:dyDescent="0.3">
      <c r="C404" s="28" t="s">
        <v>184</v>
      </c>
      <c r="D404" s="15">
        <f>MAX(D402:D403)</f>
        <v>29.954285714285717</v>
      </c>
      <c r="E404" s="45"/>
    </row>
    <row r="405" spans="3:12" ht="21" x14ac:dyDescent="0.35">
      <c r="C405" s="28"/>
      <c r="D405" s="65" t="str">
        <f>IF(D401&gt;=D404,"Evaluar solo flexión","Evaluar a flexión y axialmente")</f>
        <v>Evaluar solo flexión</v>
      </c>
      <c r="E405" s="45"/>
    </row>
    <row r="406" spans="3:12" ht="21" x14ac:dyDescent="0.35">
      <c r="C406" s="25" t="s">
        <v>69</v>
      </c>
    </row>
    <row r="407" spans="3:12" ht="18.75" x14ac:dyDescent="0.3">
      <c r="C407" s="28" t="s">
        <v>116</v>
      </c>
      <c r="D407" s="15">
        <f>D164*(J386+J381)+D169*J379+D167*J380</f>
        <v>21.667135434443683</v>
      </c>
      <c r="E407" s="4" t="s">
        <v>92</v>
      </c>
    </row>
    <row r="408" spans="3:12" ht="23.25" x14ac:dyDescent="0.35">
      <c r="C408" s="32"/>
    </row>
    <row r="409" spans="3:12" ht="21" x14ac:dyDescent="0.35">
      <c r="C409" s="25" t="s">
        <v>71</v>
      </c>
    </row>
    <row r="410" spans="3:12" ht="18.75" x14ac:dyDescent="0.3">
      <c r="C410" s="28" t="s">
        <v>116</v>
      </c>
      <c r="D410" s="15">
        <f>D184*J379+D182*J380</f>
        <v>15.24275159340854</v>
      </c>
      <c r="E410" s="4" t="s">
        <v>92</v>
      </c>
    </row>
    <row r="411" spans="3:12" ht="18.75" x14ac:dyDescent="0.3">
      <c r="C411" s="28"/>
      <c r="D411" s="15"/>
      <c r="E411" s="67"/>
    </row>
    <row r="412" spans="3:12" ht="18.75" x14ac:dyDescent="0.3">
      <c r="C412" s="28"/>
      <c r="D412" s="15"/>
      <c r="E412" s="67"/>
    </row>
    <row r="413" spans="3:12" ht="18.75" x14ac:dyDescent="0.3">
      <c r="C413" s="28"/>
      <c r="D413" s="15"/>
      <c r="E413" s="67"/>
    </row>
    <row r="414" spans="3:12" ht="18.75" x14ac:dyDescent="0.3">
      <c r="C414" s="28"/>
      <c r="D414" s="15"/>
      <c r="E414" s="67"/>
    </row>
    <row r="415" spans="3:12" ht="18.75" x14ac:dyDescent="0.3">
      <c r="C415" s="28"/>
      <c r="D415" s="15"/>
      <c r="E415" s="67"/>
    </row>
    <row r="416" spans="3:12" ht="18.75" x14ac:dyDescent="0.3">
      <c r="C416" s="28"/>
      <c r="D416" s="15"/>
      <c r="E416" s="67"/>
    </row>
    <row r="417" spans="2:5" ht="18.75" x14ac:dyDescent="0.3">
      <c r="C417" s="28"/>
      <c r="D417" s="15"/>
      <c r="E417" s="45"/>
    </row>
    <row r="418" spans="2:5" ht="21" x14ac:dyDescent="0.35">
      <c r="C418" s="25" t="s">
        <v>185</v>
      </c>
      <c r="D418" s="15"/>
      <c r="E418" s="45"/>
    </row>
    <row r="419" spans="2:5" ht="18.75" x14ac:dyDescent="0.3">
      <c r="C419" s="28" t="s">
        <v>116</v>
      </c>
      <c r="D419" s="15">
        <f>J390</f>
        <v>21.829875404905739</v>
      </c>
      <c r="E419" s="45" t="s">
        <v>92</v>
      </c>
    </row>
    <row r="420" spans="2:5" ht="18.75" x14ac:dyDescent="0.3">
      <c r="C420" s="28"/>
      <c r="D420" s="15"/>
      <c r="E420" s="64"/>
    </row>
    <row r="421" spans="2:5" ht="18.75" x14ac:dyDescent="0.3">
      <c r="C421" s="28"/>
      <c r="D421" s="15"/>
      <c r="E421" s="64"/>
    </row>
    <row r="422" spans="2:5" x14ac:dyDescent="0.25">
      <c r="C422" t="s">
        <v>132</v>
      </c>
      <c r="D422">
        <v>240</v>
      </c>
      <c r="E422" t="s">
        <v>134</v>
      </c>
    </row>
    <row r="423" spans="2:5" x14ac:dyDescent="0.25">
      <c r="C423" t="s">
        <v>133</v>
      </c>
      <c r="D423">
        <v>4200</v>
      </c>
      <c r="E423" t="s">
        <v>134</v>
      </c>
    </row>
    <row r="424" spans="2:5" x14ac:dyDescent="0.25">
      <c r="C424" t="s">
        <v>231</v>
      </c>
      <c r="D424"/>
      <c r="E424"/>
    </row>
    <row r="425" spans="2:5" x14ac:dyDescent="0.25">
      <c r="C425" s="40" t="s">
        <v>130</v>
      </c>
      <c r="D425">
        <v>0.9</v>
      </c>
      <c r="E425"/>
    </row>
    <row r="426" spans="2:5" x14ac:dyDescent="0.25">
      <c r="C426" t="s">
        <v>137</v>
      </c>
      <c r="D426" s="14">
        <f>(PI()*(D431/10)^2)/4</f>
        <v>3.8013271108436504</v>
      </c>
      <c r="E426"/>
    </row>
    <row r="427" spans="2:5" ht="18.75" x14ac:dyDescent="0.3">
      <c r="C427" s="28"/>
      <c r="D427" s="15"/>
      <c r="E427" s="45"/>
    </row>
    <row r="428" spans="2:5" ht="18.75" x14ac:dyDescent="0.3">
      <c r="C428" s="28" t="s">
        <v>118</v>
      </c>
      <c r="D428" s="15">
        <f>MAX(D407,D410,D419)</f>
        <v>21.829875404905739</v>
      </c>
      <c r="E428" s="4" t="s">
        <v>92</v>
      </c>
    </row>
    <row r="429" spans="2:5" ht="18.75" x14ac:dyDescent="0.3">
      <c r="C429" s="28" t="s">
        <v>123</v>
      </c>
      <c r="D429" s="15">
        <v>8</v>
      </c>
      <c r="E429" s="4" t="s">
        <v>124</v>
      </c>
    </row>
    <row r="430" spans="2:5" ht="18.75" x14ac:dyDescent="0.3">
      <c r="B430" s="84" t="s">
        <v>125</v>
      </c>
      <c r="C430" s="84"/>
      <c r="D430" s="15">
        <f>D4</f>
        <v>0.6</v>
      </c>
      <c r="E430" s="4" t="s">
        <v>6</v>
      </c>
    </row>
    <row r="431" spans="2:5" ht="18.75" x14ac:dyDescent="0.3">
      <c r="C431" s="28" t="s">
        <v>126</v>
      </c>
      <c r="D431" s="15">
        <v>22</v>
      </c>
      <c r="E431" s="4" t="s">
        <v>127</v>
      </c>
    </row>
    <row r="432" spans="2:5" ht="18.75" x14ac:dyDescent="0.3">
      <c r="C432" s="28" t="s">
        <v>128</v>
      </c>
      <c r="D432" s="15">
        <f>D430*100-D429-D431/20</f>
        <v>50.9</v>
      </c>
      <c r="E432" s="4" t="s">
        <v>124</v>
      </c>
    </row>
    <row r="433" spans="3:11" ht="18.75" x14ac:dyDescent="0.3">
      <c r="C433" s="28"/>
      <c r="D433" s="15"/>
    </row>
    <row r="434" spans="3:11" ht="18.75" x14ac:dyDescent="0.3">
      <c r="C434" s="28" t="s">
        <v>129</v>
      </c>
      <c r="D434" s="15">
        <f>D428*1000/(D425*D432^2)</f>
        <v>9.362097998912283</v>
      </c>
      <c r="E434" s="4" t="s">
        <v>134</v>
      </c>
    </row>
    <row r="435" spans="3:11" ht="15.75" x14ac:dyDescent="0.25">
      <c r="C435" s="5" t="s">
        <v>131</v>
      </c>
      <c r="D435" s="6">
        <f>0.85*(D422/D423)*(1-SQRT(1-(2*D434)/(0.85*D422)))</f>
        <v>2.2827112376536973E-3</v>
      </c>
    </row>
    <row r="436" spans="3:11" ht="18.75" x14ac:dyDescent="0.3">
      <c r="C436" s="28"/>
      <c r="D436" s="15"/>
    </row>
    <row r="437" spans="3:11" ht="18.75" x14ac:dyDescent="0.3">
      <c r="C437" s="28" t="s">
        <v>135</v>
      </c>
      <c r="D437" s="15">
        <f>D435*D432</f>
        <v>0.11619000199657319</v>
      </c>
      <c r="E437" s="4" t="s">
        <v>136</v>
      </c>
    </row>
    <row r="438" spans="3:11" ht="18.75" x14ac:dyDescent="0.3">
      <c r="C438" s="28" t="s">
        <v>138</v>
      </c>
      <c r="D438" s="15">
        <f>D426/D437</f>
        <v>32.71647341012838</v>
      </c>
      <c r="E438" s="4" t="s">
        <v>124</v>
      </c>
    </row>
    <row r="439" spans="3:11" ht="18.75" x14ac:dyDescent="0.3">
      <c r="C439" s="28" t="s">
        <v>139</v>
      </c>
      <c r="D439" s="1">
        <v>30</v>
      </c>
      <c r="E439" s="4" t="s">
        <v>124</v>
      </c>
    </row>
    <row r="440" spans="3:11" ht="23.25" x14ac:dyDescent="0.35">
      <c r="C440" s="32"/>
    </row>
    <row r="441" spans="3:11" ht="23.25" x14ac:dyDescent="0.35">
      <c r="C441" s="39" t="s">
        <v>108</v>
      </c>
      <c r="G441" s="86" t="s">
        <v>7</v>
      </c>
      <c r="H441" s="86"/>
      <c r="I441" s="38">
        <f>D6</f>
        <v>1</v>
      </c>
      <c r="J441" s="38" t="s">
        <v>6</v>
      </c>
      <c r="K441" s="24"/>
    </row>
    <row r="442" spans="3:11" ht="21" x14ac:dyDescent="0.35">
      <c r="C442" s="25" t="s">
        <v>69</v>
      </c>
    </row>
    <row r="443" spans="3:11" ht="18.75" x14ac:dyDescent="0.3">
      <c r="C443" s="28" t="s">
        <v>112</v>
      </c>
      <c r="D443" s="15">
        <f>D3-2*D174</f>
        <v>6.1985692355117861</v>
      </c>
      <c r="E443" s="4" t="s">
        <v>6</v>
      </c>
    </row>
    <row r="444" spans="3:11" ht="18.75" x14ac:dyDescent="0.3">
      <c r="C444" s="28" t="s">
        <v>98</v>
      </c>
      <c r="D444" s="15">
        <f>D194</f>
        <v>21.722659794275632</v>
      </c>
      <c r="E444" s="4" t="s">
        <v>67</v>
      </c>
    </row>
    <row r="445" spans="3:11" ht="18.75" x14ac:dyDescent="0.3">
      <c r="C445" s="28" t="s">
        <v>117</v>
      </c>
      <c r="D445" s="15">
        <f>-D183*J385+D444*(I441^2)/2</f>
        <v>10.172829897137817</v>
      </c>
      <c r="E445" s="4" t="s">
        <v>92</v>
      </c>
    </row>
    <row r="446" spans="3:11" ht="15.75" x14ac:dyDescent="0.25">
      <c r="C446" s="27"/>
      <c r="D446" s="15"/>
    </row>
    <row r="447" spans="3:11" ht="23.25" x14ac:dyDescent="0.35">
      <c r="C447" s="32"/>
    </row>
    <row r="448" spans="3:11" ht="21" x14ac:dyDescent="0.35">
      <c r="C448" s="25" t="s">
        <v>71</v>
      </c>
    </row>
    <row r="449" spans="3:5" ht="18.75" x14ac:dyDescent="0.3">
      <c r="C449" s="28" t="s">
        <v>112</v>
      </c>
      <c r="D449" s="15">
        <f>D3-2*D186</f>
        <v>8.0701697246427084</v>
      </c>
      <c r="E449" s="4" t="s">
        <v>6</v>
      </c>
    </row>
    <row r="450" spans="3:5" ht="18.75" x14ac:dyDescent="0.3">
      <c r="C450" s="28" t="s">
        <v>98</v>
      </c>
      <c r="D450" s="15">
        <f>D200</f>
        <v>13.252881122612964</v>
      </c>
      <c r="E450" s="4" t="s">
        <v>67</v>
      </c>
    </row>
    <row r="451" spans="3:5" ht="18.75" x14ac:dyDescent="0.3">
      <c r="C451" s="28" t="s">
        <v>117</v>
      </c>
      <c r="D451" s="15">
        <f>-D183*J385+D450*(I441^2)/2</f>
        <v>5.9379405613064815</v>
      </c>
      <c r="E451" s="4" t="s">
        <v>92</v>
      </c>
    </row>
    <row r="452" spans="3:5" ht="18.75" x14ac:dyDescent="0.3">
      <c r="C452" s="28"/>
      <c r="D452" s="15"/>
      <c r="E452" s="45"/>
    </row>
    <row r="453" spans="3:5" ht="21" x14ac:dyDescent="0.35">
      <c r="C453" s="25" t="s">
        <v>186</v>
      </c>
      <c r="D453" s="15"/>
      <c r="E453" s="45"/>
    </row>
    <row r="454" spans="3:5" ht="18.75" x14ac:dyDescent="0.3">
      <c r="C454" s="28"/>
      <c r="D454" s="15"/>
      <c r="E454" s="45"/>
    </row>
    <row r="455" spans="3:5" ht="18.75" x14ac:dyDescent="0.3">
      <c r="C455" s="28" t="s">
        <v>112</v>
      </c>
      <c r="D455" s="15">
        <f>D3-2*D310</f>
        <v>5.656482573928729</v>
      </c>
      <c r="E455" s="45" t="s">
        <v>6</v>
      </c>
    </row>
    <row r="456" spans="3:5" ht="18.75" x14ac:dyDescent="0.3">
      <c r="C456" s="28" t="s">
        <v>98</v>
      </c>
      <c r="D456" s="15">
        <f>D336</f>
        <v>17.42051811439006</v>
      </c>
      <c r="E456" s="45" t="s">
        <v>67</v>
      </c>
    </row>
    <row r="457" spans="3:5" ht="18.75" x14ac:dyDescent="0.3">
      <c r="C457" s="28" t="s">
        <v>117</v>
      </c>
      <c r="D457" s="15">
        <f>D456*0.5*I441^2</f>
        <v>8.7102590571950298</v>
      </c>
      <c r="E457" s="45" t="s">
        <v>92</v>
      </c>
    </row>
    <row r="458" spans="3:5" ht="18.75" x14ac:dyDescent="0.3">
      <c r="C458" s="28"/>
      <c r="D458" s="15"/>
      <c r="E458" s="45"/>
    </row>
    <row r="459" spans="3:5" ht="21" x14ac:dyDescent="0.35">
      <c r="C459" s="25" t="s">
        <v>187</v>
      </c>
      <c r="D459" s="15"/>
      <c r="E459" s="45"/>
    </row>
    <row r="460" spans="3:5" ht="21" x14ac:dyDescent="0.35">
      <c r="C460" s="25"/>
      <c r="D460" s="15"/>
      <c r="E460" s="45"/>
    </row>
    <row r="461" spans="3:5" ht="18.75" x14ac:dyDescent="0.3">
      <c r="C461" s="28" t="s">
        <v>112</v>
      </c>
      <c r="D461" s="15">
        <f>D3-2*D323</f>
        <v>6.4769163784091299</v>
      </c>
      <c r="E461" s="45" t="s">
        <v>6</v>
      </c>
    </row>
    <row r="462" spans="3:5" ht="18.75" x14ac:dyDescent="0.3">
      <c r="C462" s="28" t="s">
        <v>98</v>
      </c>
      <c r="D462" s="15">
        <f>D341</f>
        <v>15.213853535509193</v>
      </c>
      <c r="E462" s="45" t="s">
        <v>67</v>
      </c>
    </row>
    <row r="463" spans="3:5" ht="18.75" x14ac:dyDescent="0.3">
      <c r="C463" s="28" t="s">
        <v>117</v>
      </c>
      <c r="D463" s="15">
        <f>D462*0.5*I441^2</f>
        <v>7.6069267677545964</v>
      </c>
      <c r="E463" s="45" t="s">
        <v>92</v>
      </c>
    </row>
    <row r="464" spans="3:5" ht="15.75" x14ac:dyDescent="0.25">
      <c r="C464" s="27"/>
      <c r="D464" s="15"/>
    </row>
    <row r="465" spans="2:9" ht="18.75" x14ac:dyDescent="0.3">
      <c r="C465" s="28" t="s">
        <v>118</v>
      </c>
      <c r="D465" s="15">
        <f>MAX(D451,D445,D457,D463)</f>
        <v>10.172829897137817</v>
      </c>
      <c r="E465" s="4" t="s">
        <v>92</v>
      </c>
    </row>
    <row r="466" spans="2:9" ht="18.75" x14ac:dyDescent="0.3">
      <c r="C466" s="28" t="s">
        <v>123</v>
      </c>
      <c r="D466" s="15">
        <v>8</v>
      </c>
      <c r="E466" s="4" t="s">
        <v>124</v>
      </c>
    </row>
    <row r="467" spans="2:9" ht="18.75" x14ac:dyDescent="0.3">
      <c r="B467" s="84" t="s">
        <v>140</v>
      </c>
      <c r="C467" s="84"/>
      <c r="D467" s="15">
        <f>D5</f>
        <v>0.7</v>
      </c>
      <c r="E467" s="4" t="s">
        <v>6</v>
      </c>
    </row>
    <row r="468" spans="2:9" ht="18.75" x14ac:dyDescent="0.3">
      <c r="C468" s="41" t="s">
        <v>128</v>
      </c>
      <c r="D468" s="15">
        <f>D467*100-D466-D431/20</f>
        <v>60.9</v>
      </c>
      <c r="E468" s="4" t="s">
        <v>124</v>
      </c>
      <c r="G468" s="28" t="s">
        <v>126</v>
      </c>
      <c r="H468" s="15">
        <v>18</v>
      </c>
      <c r="I468" s="4" t="s">
        <v>127</v>
      </c>
    </row>
    <row r="469" spans="2:9" ht="18.75" x14ac:dyDescent="0.3">
      <c r="C469" s="28"/>
      <c r="D469" s="15"/>
      <c r="G469" t="s">
        <v>137</v>
      </c>
      <c r="H469" s="14">
        <f>(PI()*(H468/10)^2)/4</f>
        <v>2.5446900494077327</v>
      </c>
    </row>
    <row r="470" spans="2:9" ht="18.75" x14ac:dyDescent="0.3">
      <c r="C470" s="28" t="s">
        <v>129</v>
      </c>
      <c r="D470" s="15">
        <f>D465*1000/(D425*D468^2)</f>
        <v>3.0476471779770682</v>
      </c>
      <c r="E470" s="4" t="s">
        <v>134</v>
      </c>
    </row>
    <row r="471" spans="2:9" ht="15.75" x14ac:dyDescent="0.25">
      <c r="C471" s="5" t="s">
        <v>131</v>
      </c>
      <c r="D471" s="6">
        <f>0.85*(D422/D423)*(1-SQRT(1-(2*D470)/(0.85*D422)))</f>
        <v>7.3113305817856767E-4</v>
      </c>
    </row>
    <row r="472" spans="2:9" ht="18.75" x14ac:dyDescent="0.3">
      <c r="C472" s="28"/>
      <c r="D472" s="15"/>
    </row>
    <row r="473" spans="2:9" ht="18.75" x14ac:dyDescent="0.3">
      <c r="C473" s="28" t="s">
        <v>135</v>
      </c>
      <c r="D473" s="15">
        <f>D471*D468</f>
        <v>4.452600324307477E-2</v>
      </c>
      <c r="E473" s="4" t="s">
        <v>136</v>
      </c>
    </row>
    <row r="474" spans="2:9" ht="18.75" x14ac:dyDescent="0.3">
      <c r="C474" s="28" t="s">
        <v>138</v>
      </c>
      <c r="D474" s="15">
        <f>H469/D473</f>
        <v>57.150650497774336</v>
      </c>
      <c r="E474" s="4" t="s">
        <v>124</v>
      </c>
    </row>
    <row r="475" spans="2:9" ht="18.75" x14ac:dyDescent="0.3">
      <c r="C475" s="28" t="s">
        <v>139</v>
      </c>
      <c r="D475" s="1">
        <v>55</v>
      </c>
      <c r="E475" s="4" t="s">
        <v>124</v>
      </c>
    </row>
    <row r="476" spans="2:9" ht="18.75" x14ac:dyDescent="0.3">
      <c r="C476" s="28"/>
    </row>
    <row r="477" spans="2:9" ht="23.25" x14ac:dyDescent="0.35">
      <c r="C477" s="39" t="s">
        <v>109</v>
      </c>
    </row>
    <row r="478" spans="2:9" ht="21" x14ac:dyDescent="0.35">
      <c r="C478" s="25" t="s">
        <v>69</v>
      </c>
    </row>
    <row r="479" spans="2:9" ht="18.75" x14ac:dyDescent="0.3">
      <c r="C479" s="28" t="s">
        <v>121</v>
      </c>
      <c r="D479" s="15">
        <f>D169*J382+D168*J383+D164*J384-D444*(D480^2)/2</f>
        <v>21.255205189503073</v>
      </c>
      <c r="E479" s="4" t="s">
        <v>92</v>
      </c>
    </row>
    <row r="480" spans="2:9" ht="18.75" x14ac:dyDescent="0.3">
      <c r="B480" s="84" t="s">
        <v>122</v>
      </c>
      <c r="C480" s="84"/>
      <c r="D480" s="15">
        <f>D443-I441-D4</f>
        <v>4.5985692355117864</v>
      </c>
      <c r="E480" s="4" t="s">
        <v>6</v>
      </c>
    </row>
    <row r="482" spans="2:8" ht="21" x14ac:dyDescent="0.35">
      <c r="C482" s="25" t="s">
        <v>71</v>
      </c>
    </row>
    <row r="483" spans="2:8" ht="26.25" x14ac:dyDescent="0.4">
      <c r="C483" s="28" t="s">
        <v>121</v>
      </c>
      <c r="D483" s="15">
        <f>J382*D184+J383*D183-0.5*D450*D484^2</f>
        <v>-35.176119116800407</v>
      </c>
      <c r="E483" s="4" t="s">
        <v>92</v>
      </c>
      <c r="F483" s="51"/>
    </row>
    <row r="484" spans="2:8" ht="18.75" x14ac:dyDescent="0.3">
      <c r="B484" s="84" t="s">
        <v>122</v>
      </c>
      <c r="C484" s="84"/>
      <c r="D484" s="15">
        <f>D449-I441-D4</f>
        <v>6.4701697246427088</v>
      </c>
      <c r="E484" s="4" t="s">
        <v>6</v>
      </c>
    </row>
    <row r="486" spans="2:8" x14ac:dyDescent="0.25">
      <c r="E486" s="45"/>
      <c r="H486" s="14"/>
    </row>
    <row r="487" spans="2:8" ht="21" x14ac:dyDescent="0.35">
      <c r="C487" s="25" t="s">
        <v>186</v>
      </c>
      <c r="E487" s="45"/>
      <c r="H487" s="14"/>
    </row>
    <row r="488" spans="2:8" ht="18.75" x14ac:dyDescent="0.3">
      <c r="B488" s="84" t="s">
        <v>122</v>
      </c>
      <c r="C488" s="84"/>
      <c r="D488" s="15">
        <f>D455-I441-D4</f>
        <v>4.0564825739287294</v>
      </c>
      <c r="E488" s="45" t="s">
        <v>6</v>
      </c>
      <c r="H488" s="14"/>
    </row>
    <row r="489" spans="2:8" ht="18.75" x14ac:dyDescent="0.3">
      <c r="C489" s="28" t="s">
        <v>121</v>
      </c>
      <c r="D489" s="15">
        <f>D297*J391-0.5*D456*D488^2</f>
        <v>68.179444100440236</v>
      </c>
      <c r="E489" s="45" t="s">
        <v>92</v>
      </c>
      <c r="H489" s="14"/>
    </row>
    <row r="490" spans="2:8" x14ac:dyDescent="0.25">
      <c r="D490" s="15"/>
      <c r="E490" s="45"/>
      <c r="H490" s="14"/>
    </row>
    <row r="491" spans="2:8" ht="21" x14ac:dyDescent="0.35">
      <c r="C491" s="25" t="s">
        <v>187</v>
      </c>
      <c r="D491" s="15"/>
      <c r="E491" s="45"/>
      <c r="H491" s="14"/>
    </row>
    <row r="492" spans="2:8" ht="21" x14ac:dyDescent="0.35">
      <c r="C492" s="25"/>
      <c r="D492" s="15"/>
      <c r="E492" s="45"/>
      <c r="H492" s="14"/>
    </row>
    <row r="493" spans="2:8" ht="18.75" x14ac:dyDescent="0.3">
      <c r="B493" s="84" t="s">
        <v>122</v>
      </c>
      <c r="C493" s="84"/>
      <c r="D493" s="15">
        <f>D461-I441-D4</f>
        <v>4.8769163784091303</v>
      </c>
      <c r="E493" s="45" t="s">
        <v>6</v>
      </c>
      <c r="H493" s="14"/>
    </row>
    <row r="494" spans="2:8" ht="18.75" x14ac:dyDescent="0.3">
      <c r="C494" s="28" t="s">
        <v>121</v>
      </c>
      <c r="D494" s="15">
        <f>D297*J391-0.5*D462*D493^2</f>
        <v>30.581670033975229</v>
      </c>
      <c r="E494" s="45" t="s">
        <v>92</v>
      </c>
      <c r="H494" s="14"/>
    </row>
    <row r="495" spans="2:8" x14ac:dyDescent="0.25">
      <c r="E495" s="45"/>
      <c r="H495" s="14"/>
    </row>
    <row r="496" spans="2:8" ht="18.75" x14ac:dyDescent="0.3">
      <c r="C496" s="28" t="s">
        <v>118</v>
      </c>
      <c r="D496" s="15">
        <f>MAX(D483,D479,D489,D494)</f>
        <v>68.179444100440236</v>
      </c>
      <c r="E496" s="4" t="s">
        <v>92</v>
      </c>
    </row>
    <row r="497" spans="3:9" ht="18.75" x14ac:dyDescent="0.3">
      <c r="C497" s="41" t="s">
        <v>128</v>
      </c>
      <c r="D497" s="15">
        <f>D468</f>
        <v>60.9</v>
      </c>
      <c r="E497" s="4" t="s">
        <v>124</v>
      </c>
      <c r="G497" s="28" t="s">
        <v>126</v>
      </c>
      <c r="H497" s="15">
        <v>20</v>
      </c>
      <c r="I497" s="4" t="s">
        <v>127</v>
      </c>
    </row>
    <row r="498" spans="3:9" x14ac:dyDescent="0.25">
      <c r="G498" t="s">
        <v>137</v>
      </c>
      <c r="H498" s="15">
        <f>(PI()*(H497/10)^2)/4</f>
        <v>3.1415926535897931</v>
      </c>
    </row>
    <row r="499" spans="3:9" ht="18.75" x14ac:dyDescent="0.3">
      <c r="C499" s="28" t="s">
        <v>129</v>
      </c>
      <c r="D499" s="15">
        <f>D496*1000/(D425*D497^2)</f>
        <v>20.425672355655326</v>
      </c>
      <c r="E499" s="4" t="s">
        <v>134</v>
      </c>
    </row>
    <row r="500" spans="3:9" ht="15.75" x14ac:dyDescent="0.25">
      <c r="C500" s="5" t="s">
        <v>131</v>
      </c>
      <c r="D500" s="6">
        <f>0.85*(D422/D423)*(1-SQRT(1-(2*D499)/(0.85*D422)))</f>
        <v>5.1346566333596829E-3</v>
      </c>
    </row>
    <row r="502" spans="3:9" ht="18.75" x14ac:dyDescent="0.3">
      <c r="C502" s="28" t="s">
        <v>135</v>
      </c>
      <c r="D502" s="15">
        <f>D500*D497</f>
        <v>0.31270058897160469</v>
      </c>
      <c r="E502" s="4" t="s">
        <v>136</v>
      </c>
    </row>
    <row r="503" spans="3:9" ht="18.75" x14ac:dyDescent="0.3">
      <c r="C503" s="28" t="s">
        <v>138</v>
      </c>
      <c r="D503" s="15">
        <f>H498/D502</f>
        <v>10.046647701949391</v>
      </c>
      <c r="E503" s="4" t="s">
        <v>124</v>
      </c>
    </row>
    <row r="504" spans="3:9" ht="18.75" x14ac:dyDescent="0.3">
      <c r="C504" s="28" t="s">
        <v>139</v>
      </c>
      <c r="D504" s="1">
        <v>10</v>
      </c>
      <c r="E504" s="4" t="s">
        <v>124</v>
      </c>
    </row>
    <row r="506" spans="3:9" x14ac:dyDescent="0.25">
      <c r="C506" s="77" t="s">
        <v>188</v>
      </c>
      <c r="D506" s="77"/>
      <c r="E506" s="77"/>
      <c r="F506" s="77"/>
      <c r="G506" s="77"/>
      <c r="H506" s="77"/>
      <c r="I506" s="77"/>
    </row>
    <row r="507" spans="3:9" x14ac:dyDescent="0.25">
      <c r="C507" s="77"/>
      <c r="D507" s="77"/>
      <c r="E507" s="77"/>
      <c r="F507" s="77"/>
      <c r="G507" s="77"/>
      <c r="H507" s="77"/>
      <c r="I507" s="77"/>
    </row>
    <row r="509" spans="3:9" x14ac:dyDescent="0.25">
      <c r="C509" t="s">
        <v>132</v>
      </c>
      <c r="D509" s="1">
        <f>H399</f>
        <v>240</v>
      </c>
      <c r="E509" s="45" t="s">
        <v>134</v>
      </c>
    </row>
    <row r="510" spans="3:9" x14ac:dyDescent="0.25">
      <c r="C510" t="s">
        <v>191</v>
      </c>
      <c r="D510" s="1">
        <v>0</v>
      </c>
      <c r="E510" s="4" t="s">
        <v>134</v>
      </c>
      <c r="F510" t="s">
        <v>192</v>
      </c>
    </row>
    <row r="511" spans="3:9" ht="15.75" x14ac:dyDescent="0.25">
      <c r="C511" s="5" t="s">
        <v>189</v>
      </c>
      <c r="D511" s="1">
        <v>1.6</v>
      </c>
    </row>
    <row r="512" spans="3:9" ht="15.75" x14ac:dyDescent="0.25">
      <c r="C512" s="5" t="s">
        <v>190</v>
      </c>
      <c r="D512" s="1">
        <v>0.75</v>
      </c>
    </row>
    <row r="513" spans="3:5" x14ac:dyDescent="0.25">
      <c r="C513" t="s">
        <v>193</v>
      </c>
      <c r="D513" s="15">
        <f>0.24*(D509*70.307)^0.5</f>
        <v>31.175695148624996</v>
      </c>
      <c r="E513" s="45" t="s">
        <v>134</v>
      </c>
    </row>
    <row r="514" spans="3:5" x14ac:dyDescent="0.25">
      <c r="D514" s="15"/>
      <c r="E514" s="64"/>
    </row>
    <row r="515" spans="3:5" x14ac:dyDescent="0.25">
      <c r="D515" s="15"/>
      <c r="E515" s="64"/>
    </row>
    <row r="516" spans="3:5" x14ac:dyDescent="0.25">
      <c r="D516" s="15"/>
      <c r="E516" s="64"/>
    </row>
    <row r="517" spans="3:5" x14ac:dyDescent="0.25">
      <c r="D517" s="15"/>
      <c r="E517" s="64"/>
    </row>
    <row r="518" spans="3:5" x14ac:dyDescent="0.25">
      <c r="D518" s="15"/>
      <c r="E518" s="64"/>
    </row>
    <row r="519" spans="3:5" x14ac:dyDescent="0.25">
      <c r="D519" s="15"/>
      <c r="E519" s="64"/>
    </row>
    <row r="520" spans="3:5" x14ac:dyDescent="0.25">
      <c r="D520" s="15"/>
      <c r="E520" s="64"/>
    </row>
    <row r="521" spans="3:5" x14ac:dyDescent="0.25">
      <c r="D521" s="15"/>
      <c r="E521" s="64"/>
    </row>
    <row r="522" spans="3:5" x14ac:dyDescent="0.25">
      <c r="D522" s="15"/>
      <c r="E522" s="64"/>
    </row>
    <row r="523" spans="3:5" x14ac:dyDescent="0.25">
      <c r="D523" s="15"/>
      <c r="E523" s="64"/>
    </row>
    <row r="524" spans="3:5" x14ac:dyDescent="0.25">
      <c r="D524" s="15"/>
      <c r="E524" s="64"/>
    </row>
    <row r="525" spans="3:5" x14ac:dyDescent="0.25">
      <c r="D525" s="15"/>
      <c r="E525" s="64"/>
    </row>
    <row r="526" spans="3:5" x14ac:dyDescent="0.25">
      <c r="D526" s="15"/>
      <c r="E526" s="64"/>
    </row>
    <row r="527" spans="3:5" x14ac:dyDescent="0.25">
      <c r="D527" s="15"/>
      <c r="E527" s="64"/>
    </row>
    <row r="528" spans="3:5" x14ac:dyDescent="0.25">
      <c r="D528" s="15"/>
      <c r="E528" s="64"/>
    </row>
    <row r="529" spans="2:9" x14ac:dyDescent="0.25">
      <c r="D529" s="15"/>
      <c r="E529" s="64"/>
    </row>
    <row r="530" spans="2:9" x14ac:dyDescent="0.25">
      <c r="D530" s="15"/>
      <c r="E530" s="64"/>
    </row>
    <row r="531" spans="2:9" x14ac:dyDescent="0.25">
      <c r="D531" s="15"/>
      <c r="E531" s="64"/>
    </row>
    <row r="532" spans="2:9" x14ac:dyDescent="0.25">
      <c r="D532" s="15"/>
      <c r="E532" s="64"/>
    </row>
    <row r="533" spans="2:9" x14ac:dyDescent="0.25">
      <c r="D533" s="15"/>
      <c r="E533" s="64"/>
    </row>
    <row r="534" spans="2:9" ht="23.25" x14ac:dyDescent="0.35">
      <c r="C534" s="39" t="s">
        <v>107</v>
      </c>
    </row>
    <row r="535" spans="2:9" x14ac:dyDescent="0.25">
      <c r="B535" s="68" t="s">
        <v>57</v>
      </c>
      <c r="C535" s="68"/>
      <c r="D535" s="1">
        <f>D4</f>
        <v>0.6</v>
      </c>
      <c r="E535" s="45" t="s">
        <v>6</v>
      </c>
    </row>
    <row r="536" spans="2:9" x14ac:dyDescent="0.25">
      <c r="C536" t="s">
        <v>195</v>
      </c>
      <c r="D536" s="1">
        <f>((D535*100)^3)*100/12</f>
        <v>1800000</v>
      </c>
      <c r="E536" s="4" t="s">
        <v>196</v>
      </c>
    </row>
    <row r="537" spans="2:9" x14ac:dyDescent="0.25">
      <c r="C537" t="s">
        <v>198</v>
      </c>
      <c r="D537" s="1">
        <f>D535/2</f>
        <v>0.3</v>
      </c>
      <c r="E537" s="45" t="s">
        <v>6</v>
      </c>
    </row>
    <row r="538" spans="2:9" x14ac:dyDescent="0.25">
      <c r="C538" t="s">
        <v>194</v>
      </c>
      <c r="D538" s="1">
        <f>D536/(D537*100)</f>
        <v>60000</v>
      </c>
      <c r="E538" s="4" t="s">
        <v>197</v>
      </c>
    </row>
    <row r="539" spans="2:9" x14ac:dyDescent="0.25">
      <c r="C539" t="s">
        <v>199</v>
      </c>
      <c r="D539" s="15">
        <f>D511*D512*D513*D538/(10^5)</f>
        <v>22.446500507010004</v>
      </c>
      <c r="E539" s="45" t="s">
        <v>92</v>
      </c>
    </row>
    <row r="540" spans="2:9" x14ac:dyDescent="0.25">
      <c r="C540" t="s">
        <v>200</v>
      </c>
      <c r="D540" s="15">
        <f>1.33*D428</f>
        <v>29.033734288524634</v>
      </c>
      <c r="E540" s="45" t="s">
        <v>92</v>
      </c>
    </row>
    <row r="541" spans="2:9" x14ac:dyDescent="0.25">
      <c r="B541" s="68" t="s">
        <v>201</v>
      </c>
      <c r="C541" s="68"/>
      <c r="D541" s="15">
        <f>MIN(D539:D540)</f>
        <v>22.446500507010004</v>
      </c>
      <c r="E541" s="45" t="s">
        <v>92</v>
      </c>
    </row>
    <row r="542" spans="2:9" x14ac:dyDescent="0.25">
      <c r="C542" s="20" t="s">
        <v>129</v>
      </c>
      <c r="D542" s="15">
        <f>D541*1000/(D425*H545^2)</f>
        <v>9.6265477278920528</v>
      </c>
      <c r="E542" s="45"/>
      <c r="G542" s="20"/>
      <c r="H542" s="20"/>
      <c r="I542" s="20"/>
    </row>
    <row r="543" spans="2:9" x14ac:dyDescent="0.25">
      <c r="C543" s="20" t="s">
        <v>131</v>
      </c>
      <c r="D543" s="47">
        <f>0.85*(D422/D423)*(1-SQRT(1-(2*D542)/(0.85*D422)))</f>
        <v>2.3488277352319942E-3</v>
      </c>
      <c r="E543" s="45"/>
      <c r="G543" s="20" t="s">
        <v>126</v>
      </c>
      <c r="H543" s="52">
        <f>D431</f>
        <v>22</v>
      </c>
      <c r="I543" s="20" t="s">
        <v>127</v>
      </c>
    </row>
    <row r="544" spans="2:9" x14ac:dyDescent="0.25">
      <c r="C544" s="20" t="s">
        <v>135</v>
      </c>
      <c r="D544" s="15">
        <f>D543*H545</f>
        <v>0.1195553317233085</v>
      </c>
      <c r="E544" s="45" t="s">
        <v>136</v>
      </c>
      <c r="G544" s="20" t="s">
        <v>137</v>
      </c>
      <c r="H544" s="52">
        <f>(PI()*(H543/10)^2)/4</f>
        <v>3.8013271108436504</v>
      </c>
      <c r="I544" s="20" t="s">
        <v>209</v>
      </c>
    </row>
    <row r="545" spans="2:9" x14ac:dyDescent="0.25">
      <c r="C545" s="20" t="s">
        <v>138</v>
      </c>
      <c r="D545" s="15">
        <f>H544/D544</f>
        <v>31.795546514321988</v>
      </c>
      <c r="E545" s="45" t="s">
        <v>124</v>
      </c>
      <c r="G545" s="52" t="s">
        <v>128</v>
      </c>
      <c r="H545" s="52">
        <f>D432</f>
        <v>50.9</v>
      </c>
      <c r="I545" s="52" t="s">
        <v>124</v>
      </c>
    </row>
    <row r="546" spans="2:9" x14ac:dyDescent="0.25">
      <c r="C546" s="20" t="s">
        <v>139</v>
      </c>
      <c r="D546" s="1">
        <v>30</v>
      </c>
      <c r="E546" s="45" t="s">
        <v>124</v>
      </c>
      <c r="G546" s="20"/>
      <c r="H546" s="20"/>
      <c r="I546" s="20"/>
    </row>
    <row r="547" spans="2:9" x14ac:dyDescent="0.25">
      <c r="E547" s="45"/>
    </row>
    <row r="548" spans="2:9" x14ac:dyDescent="0.25">
      <c r="E548" s="45"/>
    </row>
    <row r="549" spans="2:9" ht="23.25" x14ac:dyDescent="0.35">
      <c r="C549" s="39" t="s">
        <v>108</v>
      </c>
    </row>
    <row r="550" spans="2:9" x14ac:dyDescent="0.25">
      <c r="B550" s="68" t="s">
        <v>9</v>
      </c>
      <c r="C550" s="68"/>
      <c r="D550" s="1">
        <f>D5</f>
        <v>0.7</v>
      </c>
      <c r="E550" s="45" t="s">
        <v>6</v>
      </c>
    </row>
    <row r="551" spans="2:9" x14ac:dyDescent="0.25">
      <c r="C551" t="s">
        <v>195</v>
      </c>
      <c r="D551" s="1">
        <f>((D550*100)^3)*100/12</f>
        <v>2858333.3333333335</v>
      </c>
      <c r="E551" s="45" t="s">
        <v>196</v>
      </c>
    </row>
    <row r="552" spans="2:9" x14ac:dyDescent="0.25">
      <c r="C552" t="s">
        <v>198</v>
      </c>
      <c r="D552" s="1">
        <f>D550/2</f>
        <v>0.35</v>
      </c>
      <c r="E552" s="45" t="s">
        <v>6</v>
      </c>
    </row>
    <row r="553" spans="2:9" x14ac:dyDescent="0.25">
      <c r="C553" t="s">
        <v>194</v>
      </c>
      <c r="D553" s="1">
        <f>D551/(D552*100)</f>
        <v>81666.666666666672</v>
      </c>
      <c r="E553" s="45" t="s">
        <v>197</v>
      </c>
    </row>
    <row r="554" spans="2:9" x14ac:dyDescent="0.25">
      <c r="C554" t="s">
        <v>199</v>
      </c>
      <c r="D554" s="15">
        <f>D511*D512*D513*D553/(10^5)</f>
        <v>30.552181245652502</v>
      </c>
      <c r="E554" s="45" t="s">
        <v>92</v>
      </c>
    </row>
    <row r="555" spans="2:9" x14ac:dyDescent="0.25">
      <c r="C555" t="s">
        <v>200</v>
      </c>
      <c r="D555" s="15">
        <f>1.33*D465</f>
        <v>13.529863763193298</v>
      </c>
      <c r="E555" s="45" t="s">
        <v>92</v>
      </c>
    </row>
    <row r="556" spans="2:9" x14ac:dyDescent="0.25">
      <c r="B556" s="68" t="s">
        <v>201</v>
      </c>
      <c r="C556" s="68"/>
      <c r="D556" s="15">
        <f>MIN(D554:D555)</f>
        <v>13.529863763193298</v>
      </c>
      <c r="E556" s="45" t="s">
        <v>92</v>
      </c>
    </row>
    <row r="557" spans="2:9" x14ac:dyDescent="0.25">
      <c r="C557" s="20" t="s">
        <v>129</v>
      </c>
      <c r="D557" s="15">
        <f>D556*1000/(D425*H560^2)</f>
        <v>4.0533707467095006</v>
      </c>
      <c r="E557" s="45"/>
    </row>
    <row r="558" spans="2:9" x14ac:dyDescent="0.25">
      <c r="C558" s="20" t="s">
        <v>131</v>
      </c>
      <c r="D558" s="47">
        <f>0.85*(D422/D423)*(1-SQRT(1-(2*D557)/(0.85*D422)))</f>
        <v>9.7487154014143124E-4</v>
      </c>
      <c r="E558" s="45"/>
      <c r="G558" s="20" t="s">
        <v>126</v>
      </c>
      <c r="H558" s="52">
        <f>H468</f>
        <v>18</v>
      </c>
      <c r="I558" s="20" t="s">
        <v>127</v>
      </c>
    </row>
    <row r="559" spans="2:9" x14ac:dyDescent="0.25">
      <c r="C559" s="20" t="s">
        <v>135</v>
      </c>
      <c r="D559" s="15">
        <f>D558*H560</f>
        <v>5.9369676794613163E-2</v>
      </c>
      <c r="E559" s="45" t="s">
        <v>136</v>
      </c>
      <c r="G559" s="20" t="s">
        <v>137</v>
      </c>
      <c r="H559" s="52">
        <f>(PI()*(H558/10)^2)/4</f>
        <v>2.5446900494077327</v>
      </c>
      <c r="I559" s="20" t="s">
        <v>209</v>
      </c>
    </row>
    <row r="560" spans="2:9" x14ac:dyDescent="0.25">
      <c r="C560" s="20" t="s">
        <v>138</v>
      </c>
      <c r="D560" s="15">
        <f>H559/D559</f>
        <v>42.861780403672704</v>
      </c>
      <c r="E560" s="45" t="s">
        <v>124</v>
      </c>
      <c r="G560" s="52" t="s">
        <v>128</v>
      </c>
      <c r="H560" s="52">
        <f>D468</f>
        <v>60.9</v>
      </c>
      <c r="I560" s="52" t="s">
        <v>124</v>
      </c>
    </row>
    <row r="561" spans="2:9" x14ac:dyDescent="0.25">
      <c r="C561" s="20" t="s">
        <v>139</v>
      </c>
      <c r="D561" s="1">
        <v>40</v>
      </c>
      <c r="E561" s="45" t="s">
        <v>124</v>
      </c>
    </row>
    <row r="562" spans="2:9" x14ac:dyDescent="0.25">
      <c r="B562" s="44"/>
      <c r="C562" s="44"/>
      <c r="E562" s="45"/>
    </row>
    <row r="563" spans="2:9" ht="23.25" x14ac:dyDescent="0.35">
      <c r="C563" s="39" t="s">
        <v>109</v>
      </c>
    </row>
    <row r="564" spans="2:9" x14ac:dyDescent="0.25">
      <c r="B564" s="68" t="s">
        <v>9</v>
      </c>
      <c r="C564" s="68"/>
      <c r="D564" s="1">
        <f>D550</f>
        <v>0.7</v>
      </c>
      <c r="E564" s="45" t="s">
        <v>6</v>
      </c>
    </row>
    <row r="565" spans="2:9" x14ac:dyDescent="0.25">
      <c r="C565" t="s">
        <v>195</v>
      </c>
      <c r="D565" s="1">
        <f>((D564*100)^3)*100/12</f>
        <v>2858333.3333333335</v>
      </c>
      <c r="E565" s="45" t="s">
        <v>196</v>
      </c>
    </row>
    <row r="566" spans="2:9" x14ac:dyDescent="0.25">
      <c r="C566" t="s">
        <v>198</v>
      </c>
      <c r="D566" s="1">
        <f>D564/2</f>
        <v>0.35</v>
      </c>
      <c r="E566" s="45" t="s">
        <v>6</v>
      </c>
    </row>
    <row r="567" spans="2:9" x14ac:dyDescent="0.25">
      <c r="C567" t="s">
        <v>194</v>
      </c>
      <c r="D567" s="1">
        <f>D565/(D566*100)</f>
        <v>81666.666666666672</v>
      </c>
      <c r="E567" s="45" t="s">
        <v>197</v>
      </c>
    </row>
    <row r="568" spans="2:9" x14ac:dyDescent="0.25">
      <c r="C568" t="s">
        <v>199</v>
      </c>
      <c r="D568" s="15">
        <f>D511*D512*D513*D567/(10^5)</f>
        <v>30.552181245652502</v>
      </c>
      <c r="E568" s="45" t="s">
        <v>92</v>
      </c>
    </row>
    <row r="569" spans="2:9" x14ac:dyDescent="0.25">
      <c r="C569" t="s">
        <v>200</v>
      </c>
      <c r="D569" s="15">
        <f>1.33*D496</f>
        <v>90.678660653585524</v>
      </c>
      <c r="E569" s="45" t="s">
        <v>92</v>
      </c>
    </row>
    <row r="570" spans="2:9" x14ac:dyDescent="0.25">
      <c r="B570" s="68" t="s">
        <v>201</v>
      </c>
      <c r="C570" s="68"/>
      <c r="D570" s="15">
        <f>MIN(D568:D569)</f>
        <v>30.552181245652502</v>
      </c>
      <c r="E570" s="45" t="s">
        <v>92</v>
      </c>
    </row>
    <row r="571" spans="2:9" x14ac:dyDescent="0.25">
      <c r="C571" s="20" t="s">
        <v>129</v>
      </c>
      <c r="D571" s="15">
        <f>D570*1000/(D425*H574^2)</f>
        <v>9.1530350842251291</v>
      </c>
      <c r="E571" s="45"/>
    </row>
    <row r="572" spans="2:9" x14ac:dyDescent="0.25">
      <c r="C572" s="20" t="s">
        <v>131</v>
      </c>
      <c r="D572" s="47">
        <f>0.85*(D422/D423)*(1-SQRT(1-(2*D571)/(0.85*D422)))</f>
        <v>2.2305090598221185E-3</v>
      </c>
      <c r="E572" s="45"/>
      <c r="G572" s="20" t="s">
        <v>126</v>
      </c>
      <c r="H572" s="52">
        <f>H497</f>
        <v>20</v>
      </c>
      <c r="I572" s="20" t="s">
        <v>127</v>
      </c>
    </row>
    <row r="573" spans="2:9" x14ac:dyDescent="0.25">
      <c r="C573" s="20" t="s">
        <v>135</v>
      </c>
      <c r="D573" s="15">
        <f>D572*H574</f>
        <v>0.13583800174316701</v>
      </c>
      <c r="E573" s="45" t="s">
        <v>136</v>
      </c>
      <c r="G573" s="20" t="s">
        <v>137</v>
      </c>
      <c r="H573" s="52">
        <f>(PI()*(H572/10)^2)/4</f>
        <v>3.1415926535897931</v>
      </c>
      <c r="I573" s="20" t="s">
        <v>209</v>
      </c>
    </row>
    <row r="574" spans="2:9" x14ac:dyDescent="0.25">
      <c r="C574" s="20" t="s">
        <v>138</v>
      </c>
      <c r="D574" s="15">
        <f>H573/D573</f>
        <v>23.127494613250398</v>
      </c>
      <c r="E574" s="45" t="s">
        <v>124</v>
      </c>
      <c r="G574" s="52" t="s">
        <v>128</v>
      </c>
      <c r="H574" s="52">
        <f>H560</f>
        <v>60.9</v>
      </c>
      <c r="I574" s="52" t="s">
        <v>124</v>
      </c>
    </row>
    <row r="575" spans="2:9" x14ac:dyDescent="0.25">
      <c r="C575" s="20" t="s">
        <v>139</v>
      </c>
      <c r="D575" s="1">
        <v>20</v>
      </c>
      <c r="E575" s="45" t="s">
        <v>124</v>
      </c>
    </row>
    <row r="578" spans="3:9" x14ac:dyDescent="0.25">
      <c r="C578" s="77" t="s">
        <v>202</v>
      </c>
      <c r="D578" s="77"/>
      <c r="E578" s="77"/>
      <c r="F578" s="77"/>
      <c r="G578" s="77"/>
      <c r="H578" s="77"/>
      <c r="I578" s="77"/>
    </row>
    <row r="579" spans="3:9" x14ac:dyDescent="0.25">
      <c r="C579" s="77"/>
      <c r="D579" s="77"/>
      <c r="E579" s="77"/>
      <c r="F579" s="77"/>
      <c r="G579" s="77"/>
      <c r="H579" s="77"/>
      <c r="I579" s="77"/>
    </row>
    <row r="583" spans="3:9" x14ac:dyDescent="0.25">
      <c r="E583" s="64"/>
      <c r="F583" s="14"/>
    </row>
    <row r="584" spans="3:9" x14ac:dyDescent="0.25">
      <c r="E584" s="64"/>
      <c r="F584" s="14"/>
    </row>
    <row r="585" spans="3:9" x14ac:dyDescent="0.25">
      <c r="E585" s="64"/>
      <c r="F585" s="14"/>
    </row>
    <row r="586" spans="3:9" x14ac:dyDescent="0.25">
      <c r="E586" s="64"/>
      <c r="F586" s="14"/>
    </row>
    <row r="587" spans="3:9" x14ac:dyDescent="0.25">
      <c r="E587" s="64"/>
      <c r="F587" s="14"/>
    </row>
    <row r="588" spans="3:9" x14ac:dyDescent="0.25">
      <c r="E588" s="64"/>
      <c r="F588" s="14"/>
    </row>
    <row r="589" spans="3:9" x14ac:dyDescent="0.25">
      <c r="E589" s="64"/>
      <c r="F589" s="14"/>
    </row>
    <row r="590" spans="3:9" x14ac:dyDescent="0.25">
      <c r="E590" s="64"/>
      <c r="F590" s="14"/>
    </row>
    <row r="591" spans="3:9" x14ac:dyDescent="0.25">
      <c r="E591" s="64"/>
      <c r="F591" s="14"/>
    </row>
    <row r="592" spans="3:9" x14ac:dyDescent="0.25">
      <c r="E592" s="64"/>
      <c r="F592" s="14"/>
    </row>
    <row r="593" spans="3:7" x14ac:dyDescent="0.25">
      <c r="E593" s="64"/>
      <c r="F593" s="14"/>
    </row>
    <row r="594" spans="3:7" x14ac:dyDescent="0.25">
      <c r="C594" t="s">
        <v>203</v>
      </c>
      <c r="D594" s="1">
        <f>0.11</f>
        <v>0.11</v>
      </c>
      <c r="E594" s="4" t="s">
        <v>205</v>
      </c>
      <c r="F594" s="14">
        <f>D594*(2.54^2)/0.305</f>
        <v>2.3268065573770493</v>
      </c>
      <c r="G594" t="s">
        <v>178</v>
      </c>
    </row>
    <row r="595" spans="3:7" x14ac:dyDescent="0.25">
      <c r="C595" t="s">
        <v>204</v>
      </c>
      <c r="D595" s="1">
        <v>0.6</v>
      </c>
      <c r="E595" s="45" t="s">
        <v>205</v>
      </c>
      <c r="F595" s="14">
        <f>D595*(2.54^2)/0.305</f>
        <v>12.69167213114754</v>
      </c>
      <c r="G595" t="s">
        <v>178</v>
      </c>
    </row>
    <row r="596" spans="3:7" x14ac:dyDescent="0.25">
      <c r="E596" s="64"/>
      <c r="F596" s="14"/>
    </row>
    <row r="597" spans="3:7" x14ac:dyDescent="0.25">
      <c r="E597" s="64"/>
      <c r="F597" s="14"/>
    </row>
    <row r="599" spans="3:7" ht="23.25" x14ac:dyDescent="0.35">
      <c r="C599" s="39" t="s">
        <v>107</v>
      </c>
    </row>
    <row r="600" spans="3:7" x14ac:dyDescent="0.25">
      <c r="C600" t="s">
        <v>208</v>
      </c>
      <c r="D600" s="1">
        <v>100</v>
      </c>
      <c r="E600" s="4" t="s">
        <v>124</v>
      </c>
    </row>
    <row r="601" spans="3:7" x14ac:dyDescent="0.25">
      <c r="C601" t="s">
        <v>207</v>
      </c>
      <c r="D601" s="1">
        <f>D535*100</f>
        <v>60</v>
      </c>
      <c r="E601" s="45" t="s">
        <v>124</v>
      </c>
      <c r="F601" s="14">
        <f>D601/2.54</f>
        <v>23.622047244094489</v>
      </c>
      <c r="G601" s="19" t="s">
        <v>213</v>
      </c>
    </row>
    <row r="602" spans="3:7" x14ac:dyDescent="0.25">
      <c r="C602" t="s">
        <v>206</v>
      </c>
      <c r="D602" s="7">
        <f>(2.54*70.307/0.305)*1.3*D600*D601/(200*(D601+D600)*D423)</f>
        <v>3.3980344555035132E-2</v>
      </c>
      <c r="E602" s="4" t="s">
        <v>136</v>
      </c>
      <c r="F602" s="14">
        <f>D602*100</f>
        <v>3.3980344555035131</v>
      </c>
      <c r="G602" s="19" t="s">
        <v>178</v>
      </c>
    </row>
    <row r="603" spans="3:7" x14ac:dyDescent="0.25">
      <c r="C603" t="s">
        <v>126</v>
      </c>
      <c r="D603" s="1">
        <v>14</v>
      </c>
      <c r="E603" s="4" t="s">
        <v>127</v>
      </c>
    </row>
    <row r="604" spans="3:7" x14ac:dyDescent="0.25">
      <c r="C604" t="s">
        <v>137</v>
      </c>
      <c r="D604" s="15">
        <f>(PI()*(D603/10)^2)/4</f>
        <v>1.5393804002589984</v>
      </c>
      <c r="E604" s="45" t="s">
        <v>209</v>
      </c>
    </row>
    <row r="605" spans="3:7" x14ac:dyDescent="0.25">
      <c r="C605" t="s">
        <v>210</v>
      </c>
      <c r="D605" s="15">
        <f>D604/D602</f>
        <v>45.302083319543513</v>
      </c>
      <c r="E605" s="4" t="s">
        <v>124</v>
      </c>
    </row>
    <row r="606" spans="3:7" x14ac:dyDescent="0.25">
      <c r="C606" t="s">
        <v>211</v>
      </c>
      <c r="D606" s="1">
        <f>MIN(12*2.54,D601*3)</f>
        <v>30.48</v>
      </c>
      <c r="E606" s="4" t="s">
        <v>124</v>
      </c>
    </row>
    <row r="607" spans="3:7" x14ac:dyDescent="0.25">
      <c r="C607" t="s">
        <v>212</v>
      </c>
      <c r="D607" s="1">
        <v>30</v>
      </c>
      <c r="E607" s="4" t="s">
        <v>124</v>
      </c>
    </row>
    <row r="609" spans="3:7" ht="23.25" x14ac:dyDescent="0.35">
      <c r="C609" s="39" t="s">
        <v>214</v>
      </c>
    </row>
    <row r="610" spans="3:7" x14ac:dyDescent="0.25">
      <c r="C610" t="s">
        <v>208</v>
      </c>
      <c r="D610" s="1">
        <v>100</v>
      </c>
      <c r="E610" s="45" t="s">
        <v>124</v>
      </c>
    </row>
    <row r="611" spans="3:7" x14ac:dyDescent="0.25">
      <c r="C611" t="s">
        <v>207</v>
      </c>
      <c r="D611" s="1">
        <f>D550*100</f>
        <v>70</v>
      </c>
      <c r="E611" s="45" t="s">
        <v>124</v>
      </c>
      <c r="F611" s="14">
        <f>D611/2.54</f>
        <v>27.559055118110237</v>
      </c>
      <c r="G611" s="19" t="s">
        <v>213</v>
      </c>
    </row>
    <row r="612" spans="3:7" x14ac:dyDescent="0.25">
      <c r="C612" t="s">
        <v>206</v>
      </c>
      <c r="D612" s="7">
        <f>(2.54*70.307/0.305)*1.3*D610*D611/(200*(D611+D610)*D423)</f>
        <v>3.7311750883960139E-2</v>
      </c>
      <c r="E612" s="45" t="s">
        <v>136</v>
      </c>
    </row>
    <row r="613" spans="3:7" x14ac:dyDescent="0.25">
      <c r="C613" t="s">
        <v>126</v>
      </c>
      <c r="D613" s="1">
        <v>14</v>
      </c>
      <c r="E613" s="45" t="s">
        <v>127</v>
      </c>
    </row>
    <row r="614" spans="3:7" x14ac:dyDescent="0.25">
      <c r="C614" t="s">
        <v>137</v>
      </c>
      <c r="D614" s="15">
        <f>(PI()*(D613/10)^2)/4</f>
        <v>1.5393804002589984</v>
      </c>
      <c r="E614" s="45" t="s">
        <v>209</v>
      </c>
    </row>
    <row r="615" spans="3:7" x14ac:dyDescent="0.25">
      <c r="C615" t="s">
        <v>210</v>
      </c>
      <c r="D615" s="15">
        <f>D614/D612</f>
        <v>41.257254451727135</v>
      </c>
      <c r="E615" s="45" t="s">
        <v>124</v>
      </c>
    </row>
    <row r="616" spans="3:7" x14ac:dyDescent="0.25">
      <c r="C616" t="s">
        <v>211</v>
      </c>
      <c r="D616" s="1">
        <f>MIN(12*2.54,D611*3)</f>
        <v>30.48</v>
      </c>
      <c r="E616" s="45" t="s">
        <v>124</v>
      </c>
    </row>
    <row r="617" spans="3:7" x14ac:dyDescent="0.25">
      <c r="C617" t="s">
        <v>212</v>
      </c>
      <c r="D617" s="1">
        <v>30</v>
      </c>
      <c r="E617" s="45" t="s">
        <v>124</v>
      </c>
    </row>
    <row r="618" spans="3:7" x14ac:dyDescent="0.25">
      <c r="E618" s="64"/>
    </row>
    <row r="619" spans="3:7" x14ac:dyDescent="0.25">
      <c r="E619" s="64"/>
    </row>
    <row r="620" spans="3:7" x14ac:dyDescent="0.25">
      <c r="E620" s="64"/>
    </row>
    <row r="621" spans="3:7" x14ac:dyDescent="0.25">
      <c r="E621" s="64"/>
    </row>
    <row r="622" spans="3:7" x14ac:dyDescent="0.25">
      <c r="E622" s="64"/>
    </row>
    <row r="623" spans="3:7" x14ac:dyDescent="0.25">
      <c r="E623" s="64"/>
    </row>
    <row r="624" spans="3:7" x14ac:dyDescent="0.25">
      <c r="E624" s="64"/>
    </row>
    <row r="625" spans="3:9" x14ac:dyDescent="0.25">
      <c r="E625" s="64"/>
    </row>
    <row r="626" spans="3:9" x14ac:dyDescent="0.25">
      <c r="E626" s="64"/>
    </row>
    <row r="627" spans="3:9" x14ac:dyDescent="0.25">
      <c r="E627" s="64"/>
    </row>
    <row r="628" spans="3:9" x14ac:dyDescent="0.25">
      <c r="E628" s="64"/>
    </row>
    <row r="629" spans="3:9" x14ac:dyDescent="0.25">
      <c r="E629" s="64"/>
    </row>
    <row r="630" spans="3:9" x14ac:dyDescent="0.25">
      <c r="E630" s="64"/>
    </row>
    <row r="631" spans="3:9" x14ac:dyDescent="0.25">
      <c r="E631" s="64"/>
    </row>
    <row r="632" spans="3:9" x14ac:dyDescent="0.25">
      <c r="E632" s="64"/>
    </row>
    <row r="633" spans="3:9" x14ac:dyDescent="0.25">
      <c r="E633" s="64"/>
    </row>
    <row r="634" spans="3:9" x14ac:dyDescent="0.25">
      <c r="E634" s="64"/>
    </row>
    <row r="635" spans="3:9" x14ac:dyDescent="0.25">
      <c r="E635" s="64"/>
    </row>
    <row r="636" spans="3:9" x14ac:dyDescent="0.25">
      <c r="E636" s="64"/>
    </row>
    <row r="638" spans="3:9" ht="23.25" x14ac:dyDescent="0.35">
      <c r="C638" s="39"/>
    </row>
    <row r="639" spans="3:9" x14ac:dyDescent="0.25">
      <c r="C639" s="77" t="s">
        <v>216</v>
      </c>
      <c r="D639" s="77"/>
      <c r="E639" s="77"/>
      <c r="F639" s="77"/>
      <c r="G639" s="77"/>
      <c r="H639" s="77"/>
      <c r="I639" s="77"/>
    </row>
    <row r="640" spans="3:9" x14ac:dyDescent="0.25">
      <c r="C640" s="77"/>
      <c r="D640" s="77"/>
      <c r="E640" s="77"/>
      <c r="F640" s="77"/>
      <c r="G640" s="77"/>
      <c r="H640" s="77"/>
      <c r="I640" s="77"/>
    </row>
    <row r="641" spans="3:8" ht="15.75" x14ac:dyDescent="0.25">
      <c r="C641" s="5" t="s">
        <v>217</v>
      </c>
    </row>
    <row r="643" spans="3:8" x14ac:dyDescent="0.25">
      <c r="C643" t="s">
        <v>219</v>
      </c>
      <c r="D643" s="15">
        <f>0.9*H574</f>
        <v>54.81</v>
      </c>
      <c r="E643" s="45" t="s">
        <v>124</v>
      </c>
    </row>
    <row r="644" spans="3:8" x14ac:dyDescent="0.25">
      <c r="C644" t="s">
        <v>220</v>
      </c>
      <c r="D644" s="15">
        <f>D5*0.72*100</f>
        <v>50.4</v>
      </c>
      <c r="E644" s="45" t="s">
        <v>124</v>
      </c>
    </row>
    <row r="645" spans="3:8" ht="15.75" thickBot="1" x14ac:dyDescent="0.3">
      <c r="C645" t="s">
        <v>218</v>
      </c>
      <c r="D645" s="15">
        <f>MIN(D643:D644)</f>
        <v>50.4</v>
      </c>
      <c r="E645" s="45" t="s">
        <v>124</v>
      </c>
    </row>
    <row r="646" spans="3:8" ht="15.75" customHeight="1" x14ac:dyDescent="0.25">
      <c r="C646" s="55" t="s">
        <v>227</v>
      </c>
      <c r="D646" s="56">
        <f>D496</f>
        <v>68.179444100440236</v>
      </c>
      <c r="E646" s="57" t="s">
        <v>92</v>
      </c>
      <c r="F646" s="87" t="s">
        <v>225</v>
      </c>
      <c r="G646" s="87"/>
      <c r="H646" s="88"/>
    </row>
    <row r="647" spans="3:8" ht="15" customHeight="1" thickBot="1" x14ac:dyDescent="0.3">
      <c r="C647" s="58" t="s">
        <v>228</v>
      </c>
      <c r="D647" s="59">
        <f>ABS(D297*D267-D488*D336)</f>
        <v>4.5700281598330434</v>
      </c>
      <c r="E647" s="46" t="s">
        <v>35</v>
      </c>
      <c r="F647" s="89"/>
      <c r="G647" s="89"/>
      <c r="H647" s="90"/>
    </row>
    <row r="648" spans="3:8" x14ac:dyDescent="0.25">
      <c r="C648" t="s">
        <v>135</v>
      </c>
      <c r="D648" s="15">
        <f>H498*100/D504</f>
        <v>31.415926535897931</v>
      </c>
      <c r="E648" s="4" t="s">
        <v>178</v>
      </c>
    </row>
    <row r="649" spans="3:8" ht="15.75" x14ac:dyDescent="0.25">
      <c r="C649" s="5" t="s">
        <v>221</v>
      </c>
      <c r="D649" s="53">
        <f>2.04*10^6</f>
        <v>2040000</v>
      </c>
    </row>
    <row r="650" spans="3:8" ht="15.75" x14ac:dyDescent="0.25">
      <c r="C650" s="5" t="s">
        <v>215</v>
      </c>
      <c r="D650" s="6">
        <f>(D646/(D645/100)+D647)/(D648*D649/1000)</f>
        <v>2.1820876521130455E-3</v>
      </c>
    </row>
    <row r="651" spans="3:8" ht="15.75" x14ac:dyDescent="0.25">
      <c r="C651" s="5" t="s">
        <v>15</v>
      </c>
      <c r="D651" s="15">
        <f>4.8/(1+750*D650)</f>
        <v>1.8205500924343332</v>
      </c>
    </row>
    <row r="652" spans="3:8" ht="15.75" x14ac:dyDescent="0.25">
      <c r="C652" s="5" t="s">
        <v>223</v>
      </c>
      <c r="D652" s="15">
        <f>(0.0316/((2.54^2)*(70.307^0.5)*2.205))*D651*D645*(H399^0.5)*100</f>
        <v>37.65742002478855</v>
      </c>
      <c r="E652" s="45" t="s">
        <v>35</v>
      </c>
      <c r="F652" t="s">
        <v>222</v>
      </c>
    </row>
    <row r="653" spans="3:8" ht="15.75" x14ac:dyDescent="0.25">
      <c r="C653" s="5" t="s">
        <v>13</v>
      </c>
      <c r="D653" s="54">
        <v>1</v>
      </c>
      <c r="E653" s="5"/>
    </row>
    <row r="654" spans="3:8" ht="15.75" x14ac:dyDescent="0.25">
      <c r="C654" s="5" t="s">
        <v>224</v>
      </c>
      <c r="D654" s="15">
        <f>D653*D652</f>
        <v>37.65742002478855</v>
      </c>
      <c r="E654" s="4" t="s">
        <v>35</v>
      </c>
    </row>
    <row r="655" spans="3:8" ht="26.25" x14ac:dyDescent="0.4">
      <c r="D655" s="50" t="str">
        <f>IF(D647&lt;=(D654),"Cumple con el corte","NO Cumple con el corte")</f>
        <v>Cumple con el corte</v>
      </c>
    </row>
    <row r="656" spans="3:8" ht="26.25" x14ac:dyDescent="0.4">
      <c r="D656" s="50"/>
      <c r="E656" s="67"/>
    </row>
    <row r="657" spans="3:8" ht="26.25" x14ac:dyDescent="0.4">
      <c r="D657" s="50"/>
      <c r="E657" s="67"/>
    </row>
    <row r="658" spans="3:8" ht="26.25" x14ac:dyDescent="0.4">
      <c r="D658" s="50"/>
      <c r="E658" s="67"/>
    </row>
    <row r="659" spans="3:8" ht="26.25" x14ac:dyDescent="0.4">
      <c r="D659" s="50"/>
      <c r="E659" s="67"/>
    </row>
    <row r="660" spans="3:8" ht="26.25" x14ac:dyDescent="0.4">
      <c r="D660" s="50"/>
      <c r="E660" s="67"/>
    </row>
    <row r="661" spans="3:8" ht="26.25" x14ac:dyDescent="0.4">
      <c r="D661" s="50"/>
      <c r="E661" s="67"/>
    </row>
    <row r="662" spans="3:8" ht="15.75" thickBot="1" x14ac:dyDescent="0.3"/>
    <row r="663" spans="3:8" x14ac:dyDescent="0.25">
      <c r="C663" s="55" t="s">
        <v>227</v>
      </c>
      <c r="D663" s="56">
        <f>D494</f>
        <v>30.581670033975229</v>
      </c>
      <c r="E663" s="57" t="s">
        <v>92</v>
      </c>
      <c r="F663" s="87" t="s">
        <v>226</v>
      </c>
      <c r="G663" s="87"/>
      <c r="H663" s="88"/>
    </row>
    <row r="664" spans="3:8" ht="15.75" thickBot="1" x14ac:dyDescent="0.3">
      <c r="C664" s="58" t="s">
        <v>228</v>
      </c>
      <c r="D664" s="59">
        <f>ABS(D297*D267-D493*D341)</f>
        <v>8.1006914860424359</v>
      </c>
      <c r="E664" s="46" t="s">
        <v>35</v>
      </c>
      <c r="F664" s="89"/>
      <c r="G664" s="89"/>
      <c r="H664" s="90"/>
    </row>
    <row r="665" spans="3:8" ht="15.75" x14ac:dyDescent="0.25">
      <c r="C665" s="5" t="s">
        <v>215</v>
      </c>
      <c r="D665" s="6">
        <f>(D663/(D645/100)+D664)/(D648*D649/1000)</f>
        <v>1.073181909530687E-3</v>
      </c>
      <c r="E665" s="45"/>
    </row>
    <row r="666" spans="3:8" ht="15.75" x14ac:dyDescent="0.25">
      <c r="C666" s="5" t="s">
        <v>15</v>
      </c>
      <c r="D666" s="15">
        <f>4.8/(1+750*D665)</f>
        <v>2.6594471067564438</v>
      </c>
      <c r="E666" s="45"/>
    </row>
    <row r="667" spans="3:8" ht="15.75" x14ac:dyDescent="0.25">
      <c r="C667" s="5" t="s">
        <v>223</v>
      </c>
      <c r="D667" s="15">
        <f>(0.0316/((2.54^2)*(70.307^0.5)*2.205))*D666*D645*(H399^0.5)*100</f>
        <v>55.009701270523216</v>
      </c>
      <c r="E667" s="45" t="s">
        <v>35</v>
      </c>
    </row>
    <row r="668" spans="3:8" ht="15.75" x14ac:dyDescent="0.25">
      <c r="C668" s="5" t="s">
        <v>13</v>
      </c>
      <c r="D668" s="54">
        <v>1</v>
      </c>
      <c r="E668" s="5"/>
    </row>
    <row r="669" spans="3:8" ht="15.75" x14ac:dyDescent="0.25">
      <c r="C669" s="5" t="s">
        <v>224</v>
      </c>
      <c r="D669" s="15">
        <f>D668*D667</f>
        <v>55.009701270523216</v>
      </c>
      <c r="E669" s="45" t="s">
        <v>35</v>
      </c>
    </row>
    <row r="670" spans="3:8" ht="27" thickBot="1" x14ac:dyDescent="0.45">
      <c r="D670" s="50" t="str">
        <f>IF(D664&lt;=(D669),"Cumple con el corte","NO Cumple con el corte")</f>
        <v>Cumple con el corte</v>
      </c>
    </row>
    <row r="671" spans="3:8" x14ac:dyDescent="0.25">
      <c r="C671" s="55" t="s">
        <v>227</v>
      </c>
      <c r="D671" s="56">
        <f>D479</f>
        <v>21.255205189503073</v>
      </c>
      <c r="E671" s="57" t="s">
        <v>92</v>
      </c>
      <c r="F671" s="87" t="s">
        <v>69</v>
      </c>
      <c r="G671" s="87"/>
      <c r="H671" s="88"/>
    </row>
    <row r="672" spans="3:8" ht="15.75" thickBot="1" x14ac:dyDescent="0.3">
      <c r="C672" s="58" t="s">
        <v>228</v>
      </c>
      <c r="D672" s="59">
        <f>ABS(D169*D73+D168*D66+D164*D80-D194*D480)</f>
        <v>21.475030043444704</v>
      </c>
      <c r="E672" s="46" t="s">
        <v>35</v>
      </c>
      <c r="F672" s="89"/>
      <c r="G672" s="89"/>
      <c r="H672" s="90"/>
    </row>
    <row r="673" spans="3:8" ht="15.75" x14ac:dyDescent="0.25">
      <c r="C673" s="5" t="s">
        <v>215</v>
      </c>
      <c r="D673" s="6">
        <f>(D671/(D645/100)+D672)/(D648*D649/1000)</f>
        <v>9.9312772201026246E-4</v>
      </c>
      <c r="E673" s="45"/>
    </row>
    <row r="674" spans="3:8" ht="15.75" x14ac:dyDescent="0.25">
      <c r="C674" s="5" t="s">
        <v>15</v>
      </c>
      <c r="D674" s="15">
        <f>4.8/(1+750*D673)</f>
        <v>2.7509594391446974</v>
      </c>
      <c r="E674" s="45"/>
    </row>
    <row r="675" spans="3:8" ht="15.75" x14ac:dyDescent="0.25">
      <c r="C675" s="5" t="s">
        <v>223</v>
      </c>
      <c r="D675" s="15">
        <f>(0.0316/((2.54^2)*(70.307^0.5)*2.205))*D674*D645*(H399^0.5)*100</f>
        <v>56.902600758712843</v>
      </c>
      <c r="E675" s="45" t="s">
        <v>35</v>
      </c>
    </row>
    <row r="676" spans="3:8" ht="15.75" x14ac:dyDescent="0.25">
      <c r="C676" s="5" t="s">
        <v>13</v>
      </c>
      <c r="D676" s="54">
        <v>1</v>
      </c>
      <c r="E676" s="5"/>
    </row>
    <row r="677" spans="3:8" ht="15.75" x14ac:dyDescent="0.25">
      <c r="C677" s="5" t="s">
        <v>224</v>
      </c>
      <c r="D677" s="15">
        <f>D676*D675</f>
        <v>56.902600758712843</v>
      </c>
      <c r="E677" s="45" t="s">
        <v>35</v>
      </c>
    </row>
    <row r="678" spans="3:8" ht="27" thickBot="1" x14ac:dyDescent="0.45">
      <c r="C678" s="5"/>
      <c r="D678" s="50" t="str">
        <f>IF(D672&lt;=(D677),"Cumple con el corte","NO Cumple con el corte")</f>
        <v>Cumple con el corte</v>
      </c>
      <c r="E678" s="45"/>
    </row>
    <row r="679" spans="3:8" x14ac:dyDescent="0.25">
      <c r="C679" s="55" t="s">
        <v>227</v>
      </c>
      <c r="D679" s="56">
        <f>ABS(D483)</f>
        <v>35.176119116800407</v>
      </c>
      <c r="E679" s="57" t="s">
        <v>92</v>
      </c>
      <c r="F679" s="87" t="s">
        <v>71</v>
      </c>
      <c r="G679" s="87"/>
      <c r="H679" s="88"/>
    </row>
    <row r="680" spans="3:8" ht="15.75" thickBot="1" x14ac:dyDescent="0.3">
      <c r="C680" s="58" t="s">
        <v>228</v>
      </c>
      <c r="D680" s="59">
        <f>ABS(D184*D73+D183*D66-D200*D484)</f>
        <v>10.052390203819272</v>
      </c>
      <c r="E680" s="46" t="s">
        <v>35</v>
      </c>
      <c r="F680" s="89"/>
      <c r="G680" s="89"/>
      <c r="H680" s="90"/>
    </row>
    <row r="681" spans="3:8" ht="15.75" x14ac:dyDescent="0.25">
      <c r="C681" s="5" t="s">
        <v>215</v>
      </c>
      <c r="D681" s="6">
        <f>(D679/(D645/100)+D680)/(D648*D649/1000)</f>
        <v>1.2458754633529016E-3</v>
      </c>
    </row>
    <row r="682" spans="3:8" ht="15.75" x14ac:dyDescent="0.25">
      <c r="C682" s="5" t="s">
        <v>15</v>
      </c>
      <c r="D682" s="15">
        <f>4.8/(1+750*D681)</f>
        <v>2.4813811151011556</v>
      </c>
    </row>
    <row r="683" spans="3:8" ht="15.75" x14ac:dyDescent="0.25">
      <c r="C683" s="5" t="s">
        <v>223</v>
      </c>
      <c r="D683" s="15">
        <f>(0.0316/((2.54^2)*(70.307^0.5)*2.205))*D682*D645*(H399^0.5)*100</f>
        <v>51.326470653711418</v>
      </c>
      <c r="E683" s="45" t="s">
        <v>35</v>
      </c>
    </row>
    <row r="684" spans="3:8" ht="15.75" x14ac:dyDescent="0.25">
      <c r="C684" s="5" t="s">
        <v>13</v>
      </c>
      <c r="D684" s="54">
        <v>1</v>
      </c>
      <c r="E684" s="5"/>
    </row>
    <row r="685" spans="3:8" ht="15.75" x14ac:dyDescent="0.25">
      <c r="C685" s="5" t="s">
        <v>224</v>
      </c>
      <c r="D685" s="15">
        <f>D684*D683</f>
        <v>51.326470653711418</v>
      </c>
      <c r="E685" s="45" t="s">
        <v>35</v>
      </c>
    </row>
    <row r="686" spans="3:8" ht="26.25" x14ac:dyDescent="0.4">
      <c r="D686" s="50" t="str">
        <f>IF(D680&lt;=(D685),"Cumple con el corte","NO Cumple con el corte")</f>
        <v>Cumple con el corte</v>
      </c>
    </row>
    <row r="694" spans="4:5" x14ac:dyDescent="0.25">
      <c r="D694"/>
      <c r="E694"/>
    </row>
    <row r="695" spans="4:5" x14ac:dyDescent="0.25">
      <c r="D695"/>
      <c r="E695"/>
    </row>
    <row r="696" spans="4:5" x14ac:dyDescent="0.25">
      <c r="D696"/>
      <c r="E696"/>
    </row>
    <row r="697" spans="4:5" x14ac:dyDescent="0.25">
      <c r="D697"/>
      <c r="E697"/>
    </row>
    <row r="698" spans="4:5" x14ac:dyDescent="0.25">
      <c r="D698"/>
      <c r="E698"/>
    </row>
    <row r="699" spans="4:5" x14ac:dyDescent="0.25">
      <c r="D699"/>
      <c r="E699"/>
    </row>
    <row r="700" spans="4:5" x14ac:dyDescent="0.25">
      <c r="D700"/>
      <c r="E700"/>
    </row>
    <row r="701" spans="4:5" x14ac:dyDescent="0.25">
      <c r="D701"/>
      <c r="E701"/>
    </row>
  </sheetData>
  <mergeCells count="59">
    <mergeCell ref="F663:H664"/>
    <mergeCell ref="F671:H672"/>
    <mergeCell ref="F679:H680"/>
    <mergeCell ref="B570:C570"/>
    <mergeCell ref="C578:I579"/>
    <mergeCell ref="C639:I640"/>
    <mergeCell ref="F646:H647"/>
    <mergeCell ref="B493:C493"/>
    <mergeCell ref="C506:I507"/>
    <mergeCell ref="B535:C535"/>
    <mergeCell ref="B550:C550"/>
    <mergeCell ref="B564:C564"/>
    <mergeCell ref="B541:C541"/>
    <mergeCell ref="B556:C556"/>
    <mergeCell ref="C388:K388"/>
    <mergeCell ref="G389:H389"/>
    <mergeCell ref="J389:K389"/>
    <mergeCell ref="B488:C488"/>
    <mergeCell ref="C252:I253"/>
    <mergeCell ref="B484:C484"/>
    <mergeCell ref="B430:C430"/>
    <mergeCell ref="B467:C467"/>
    <mergeCell ref="C375:I376"/>
    <mergeCell ref="G378:H378"/>
    <mergeCell ref="C377:K377"/>
    <mergeCell ref="J378:K378"/>
    <mergeCell ref="G441:H441"/>
    <mergeCell ref="B480:C480"/>
    <mergeCell ref="C301:I302"/>
    <mergeCell ref="C329:I330"/>
    <mergeCell ref="C344:I345"/>
    <mergeCell ref="C190:I191"/>
    <mergeCell ref="C222:I224"/>
    <mergeCell ref="E76:E77"/>
    <mergeCell ref="B79:C79"/>
    <mergeCell ref="B80:C80"/>
    <mergeCell ref="A72:C72"/>
    <mergeCell ref="C93:E93"/>
    <mergeCell ref="B73:C73"/>
    <mergeCell ref="B74:C74"/>
    <mergeCell ref="A76:C77"/>
    <mergeCell ref="D76:D77"/>
    <mergeCell ref="B50:B52"/>
    <mergeCell ref="B55:B57"/>
    <mergeCell ref="B11:C11"/>
    <mergeCell ref="B12:C12"/>
    <mergeCell ref="B13:C13"/>
    <mergeCell ref="B15:C15"/>
    <mergeCell ref="B16:C16"/>
    <mergeCell ref="A49:D49"/>
    <mergeCell ref="B8:C8"/>
    <mergeCell ref="B9:C9"/>
    <mergeCell ref="B10:C10"/>
    <mergeCell ref="B2:C2"/>
    <mergeCell ref="B6:C6"/>
    <mergeCell ref="B3:C3"/>
    <mergeCell ref="B4:C4"/>
    <mergeCell ref="B7:C7"/>
    <mergeCell ref="B5:C5"/>
  </mergeCells>
  <pageMargins left="0.7" right="0.7" top="0.75" bottom="0.75" header="0.3" footer="0.3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cp:lastPrinted>2019-06-12T17:48:46Z</cp:lastPrinted>
  <dcterms:created xsi:type="dcterms:W3CDTF">2019-06-02T15:17:52Z</dcterms:created>
  <dcterms:modified xsi:type="dcterms:W3CDTF">2019-06-12T17:49:18Z</dcterms:modified>
</cp:coreProperties>
</file>