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USER\Desktop\repositorio GC\EXCEL puentes\"/>
    </mc:Choice>
  </mc:AlternateContent>
  <xr:revisionPtr revIDLastSave="0" documentId="13_ncr:1_{67A28AED-FEA9-4AF6-8D0F-D26100B95AF2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Cálculo hasta momentos" sheetId="1" r:id="rId1"/>
    <sheet name="Acero a flexión interior" sheetId="2" r:id="rId2"/>
    <sheet name="Acero a flexión exterior" sheetId="3" r:id="rId3"/>
    <sheet name="Acero al corte interior" sheetId="4" r:id="rId4"/>
    <sheet name="Acero al corte exterior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0" i="4" l="1"/>
  <c r="L106" i="4" s="1"/>
  <c r="C81" i="5"/>
  <c r="K108" i="5" s="1"/>
  <c r="C80" i="5"/>
  <c r="C79" i="5"/>
  <c r="C88" i="4"/>
  <c r="C100" i="4" s="1"/>
  <c r="C93" i="5"/>
  <c r="C85" i="5"/>
  <c r="C102" i="4"/>
  <c r="C28" i="4"/>
  <c r="C94" i="4"/>
  <c r="C89" i="4"/>
  <c r="C48" i="5"/>
  <c r="C56" i="5" s="1"/>
  <c r="C45" i="5"/>
  <c r="C44" i="5"/>
  <c r="C42" i="5"/>
  <c r="C32" i="5"/>
  <c r="C31" i="5"/>
  <c r="G6" i="5"/>
  <c r="E5" i="5"/>
  <c r="G5" i="5" s="1"/>
  <c r="E4" i="5"/>
  <c r="G4" i="5" s="1"/>
  <c r="E3" i="5"/>
  <c r="C83" i="5" l="1"/>
  <c r="C84" i="5"/>
  <c r="C87" i="5"/>
  <c r="C92" i="5"/>
  <c r="C91" i="5"/>
  <c r="C95" i="5"/>
  <c r="C92" i="4"/>
  <c r="C101" i="4"/>
  <c r="C103" i="4" s="1"/>
  <c r="C96" i="4"/>
  <c r="C93" i="4"/>
  <c r="C104" i="4"/>
  <c r="G3" i="5"/>
  <c r="C53" i="5"/>
  <c r="C51" i="4"/>
  <c r="C57" i="4"/>
  <c r="C62" i="4" s="1"/>
  <c r="C53" i="4"/>
  <c r="C54" i="4"/>
  <c r="C41" i="4"/>
  <c r="C40" i="4"/>
  <c r="G6" i="4"/>
  <c r="C26" i="4"/>
  <c r="C25" i="4"/>
  <c r="C24" i="4"/>
  <c r="C20" i="4"/>
  <c r="C18" i="4"/>
  <c r="C17" i="4"/>
  <c r="C16" i="4"/>
  <c r="E5" i="4"/>
  <c r="G5" i="4" s="1"/>
  <c r="E4" i="4"/>
  <c r="G4" i="4" s="1"/>
  <c r="E3" i="4"/>
  <c r="C8" i="4" s="1"/>
  <c r="C86" i="5" l="1"/>
  <c r="C88" i="5" s="1"/>
  <c r="C94" i="5"/>
  <c r="C96" i="5" s="1"/>
  <c r="C105" i="4"/>
  <c r="C95" i="4"/>
  <c r="C19" i="4"/>
  <c r="C9" i="4"/>
  <c r="C11" i="4" s="1"/>
  <c r="C21" i="4"/>
  <c r="G3" i="4"/>
  <c r="C65" i="4"/>
  <c r="C27" i="4"/>
  <c r="C29" i="4"/>
  <c r="E24" i="3"/>
  <c r="E18" i="3"/>
  <c r="C121" i="5" s="1"/>
  <c r="C122" i="5" s="1"/>
  <c r="H17" i="3"/>
  <c r="J9" i="3"/>
  <c r="L9" i="3" s="1"/>
  <c r="J8" i="3"/>
  <c r="I8" i="3"/>
  <c r="E5" i="3"/>
  <c r="C43" i="5" s="1"/>
  <c r="C51" i="5" s="1"/>
  <c r="E24" i="2"/>
  <c r="E18" i="2"/>
  <c r="C130" i="4" s="1"/>
  <c r="C131" i="4" s="1"/>
  <c r="H17" i="2"/>
  <c r="J8" i="2"/>
  <c r="L9" i="2"/>
  <c r="J9" i="2"/>
  <c r="I8" i="2"/>
  <c r="E5" i="2"/>
  <c r="C52" i="4" s="1"/>
  <c r="C60" i="4" s="1"/>
  <c r="E26" i="3" l="1"/>
  <c r="C31" i="4"/>
  <c r="E26" i="2"/>
  <c r="C98" i="5"/>
  <c r="C46" i="4"/>
  <c r="C22" i="5"/>
  <c r="D73" i="1"/>
  <c r="D72" i="1"/>
  <c r="D69" i="1"/>
  <c r="D63" i="1"/>
  <c r="D64" i="1" s="1"/>
  <c r="D65" i="1"/>
  <c r="D66" i="1" s="1"/>
  <c r="C27" i="5" s="1"/>
  <c r="C26" i="5" l="1"/>
  <c r="C35" i="4"/>
  <c r="C36" i="4"/>
  <c r="C46" i="1"/>
  <c r="C48" i="1" s="1"/>
  <c r="F42" i="1"/>
  <c r="C8" i="5" s="1"/>
  <c r="D42" i="1"/>
  <c r="D33" i="1"/>
  <c r="D30" i="1"/>
  <c r="D43" i="1" l="1"/>
  <c r="C9" i="5"/>
  <c r="C11" i="5" s="1"/>
  <c r="E8" i="5"/>
  <c r="D27" i="1"/>
  <c r="D7" i="1"/>
  <c r="D56" i="1" s="1"/>
  <c r="D20" i="1"/>
  <c r="F20" i="1" s="1"/>
  <c r="D28" i="1" s="1"/>
  <c r="D22" i="1"/>
  <c r="D14" i="1"/>
  <c r="F6" i="1"/>
  <c r="D26" i="1" s="1"/>
  <c r="F11" i="1"/>
  <c r="D25" i="1" s="1"/>
  <c r="E6" i="2" l="1"/>
  <c r="D59" i="1"/>
  <c r="D57" i="1"/>
  <c r="D61" i="1"/>
  <c r="F7" i="1"/>
  <c r="D51" i="1"/>
  <c r="C46" i="5"/>
  <c r="C54" i="5" s="1"/>
  <c r="C107" i="5" s="1"/>
  <c r="C55" i="4"/>
  <c r="C63" i="4" s="1"/>
  <c r="C116" i="4" s="1"/>
  <c r="H24" i="2"/>
  <c r="H24" i="3"/>
  <c r="D67" i="1"/>
  <c r="D38" i="1" l="1"/>
  <c r="D52" i="1" s="1"/>
  <c r="D24" i="1"/>
  <c r="D37" i="1"/>
  <c r="D40" i="1" s="1"/>
  <c r="C28" i="5"/>
  <c r="C37" i="4"/>
  <c r="C34" i="4"/>
  <c r="D81" i="1"/>
  <c r="C10" i="5"/>
  <c r="C13" i="5" s="1"/>
  <c r="D53" i="1"/>
  <c r="E6" i="3"/>
  <c r="D60" i="1"/>
  <c r="D62" i="1"/>
  <c r="C33" i="4"/>
  <c r="D80" i="1"/>
  <c r="L107" i="4" l="1"/>
  <c r="C109" i="4"/>
  <c r="C102" i="5"/>
  <c r="C37" i="5"/>
  <c r="C110" i="4"/>
  <c r="L108" i="4"/>
  <c r="L109" i="4" s="1"/>
  <c r="C45" i="4"/>
  <c r="C44" i="4"/>
  <c r="C47" i="4" s="1"/>
  <c r="C61" i="4" s="1"/>
  <c r="C25" i="5"/>
  <c r="D88" i="1"/>
  <c r="L103" i="4"/>
  <c r="L105" i="4" s="1"/>
  <c r="D79" i="1"/>
  <c r="D83" i="1" s="1"/>
  <c r="E13" i="2" s="1"/>
  <c r="C24" i="5"/>
  <c r="D87" i="1"/>
  <c r="D86" i="1"/>
  <c r="K105" i="5"/>
  <c r="K107" i="5" s="1"/>
  <c r="C97" i="4"/>
  <c r="C107" i="4" s="1"/>
  <c r="C111" i="4" s="1"/>
  <c r="C112" i="4" l="1"/>
  <c r="E14" i="2"/>
  <c r="E15" i="2" s="1"/>
  <c r="E16" i="2" s="1"/>
  <c r="C70" i="4"/>
  <c r="E62" i="4"/>
  <c r="C66" i="4"/>
  <c r="E68" i="4" s="1"/>
  <c r="C100" i="5"/>
  <c r="C103" i="5" s="1"/>
  <c r="C106" i="5" s="1"/>
  <c r="C108" i="5" s="1"/>
  <c r="E110" i="5" s="1"/>
  <c r="K109" i="5"/>
  <c r="D90" i="1"/>
  <c r="E13" i="3" s="1"/>
  <c r="E14" i="3" s="1"/>
  <c r="E15" i="3" s="1"/>
  <c r="E16" i="3" s="1"/>
  <c r="C35" i="5"/>
  <c r="C36" i="5"/>
  <c r="K110" i="5"/>
  <c r="C101" i="5"/>
  <c r="C115" i="4"/>
  <c r="C117" i="4" s="1"/>
  <c r="E119" i="4" s="1"/>
  <c r="C38" i="5" l="1"/>
  <c r="C52" i="5" s="1"/>
  <c r="K111" i="5"/>
  <c r="C62" i="5"/>
  <c r="E17" i="3"/>
  <c r="E19" i="3"/>
  <c r="C71" i="4"/>
  <c r="C120" i="4" s="1"/>
  <c r="C121" i="4" s="1"/>
  <c r="C122" i="4" s="1"/>
  <c r="E19" i="2"/>
  <c r="E17" i="2"/>
  <c r="C64" i="5" l="1"/>
  <c r="C68" i="5" s="1"/>
  <c r="C71" i="5" s="1"/>
  <c r="C123" i="4"/>
  <c r="C111" i="5"/>
  <c r="C73" i="4"/>
  <c r="C57" i="5"/>
  <c r="E59" i="5" s="1"/>
  <c r="E53" i="5"/>
  <c r="C125" i="4"/>
  <c r="C72" i="5" l="1"/>
  <c r="C74" i="5" s="1"/>
  <c r="C65" i="5"/>
  <c r="C67" i="5" s="1"/>
  <c r="C112" i="5"/>
  <c r="C113" i="5" s="1"/>
  <c r="C114" i="5"/>
  <c r="C116" i="5" s="1"/>
  <c r="C126" i="4"/>
  <c r="C132" i="4"/>
  <c r="C133" i="4" s="1"/>
  <c r="C77" i="4"/>
  <c r="C80" i="4" s="1"/>
  <c r="C74" i="4"/>
  <c r="C76" i="4" s="1"/>
  <c r="C128" i="4"/>
  <c r="C117" i="5" l="1"/>
  <c r="C119" i="5" s="1"/>
  <c r="C123" i="5"/>
  <c r="C124" i="5" s="1"/>
  <c r="C81" i="4"/>
  <c r="C83" i="4" s="1"/>
</calcChain>
</file>

<file path=xl/sharedStrings.xml><?xml version="1.0" encoding="utf-8"?>
<sst xmlns="http://schemas.openxmlformats.org/spreadsheetml/2006/main" count="550" uniqueCount="175">
  <si>
    <t>L</t>
  </si>
  <si>
    <t>m</t>
  </si>
  <si>
    <t>e. losa(ts)</t>
  </si>
  <si>
    <t>cm</t>
  </si>
  <si>
    <t>in</t>
  </si>
  <si>
    <t>ft</t>
  </si>
  <si>
    <t>h vigas</t>
  </si>
  <si>
    <t>b vigas</t>
  </si>
  <si>
    <t>kg</t>
  </si>
  <si>
    <t>cm4</t>
  </si>
  <si>
    <t>Verificación aplicabilidad</t>
  </si>
  <si>
    <t>in4</t>
  </si>
  <si>
    <t>L vigas(S)</t>
  </si>
  <si>
    <t>L puente(L)</t>
  </si>
  <si>
    <t># de vigas(Nb)</t>
  </si>
  <si>
    <t>s</t>
  </si>
  <si>
    <t>S</t>
  </si>
  <si>
    <t>ts</t>
  </si>
  <si>
    <t>Nb</t>
  </si>
  <si>
    <t>Kg</t>
  </si>
  <si>
    <t>Vigas interiores, Losa de Concreto 4.6.2.2</t>
  </si>
  <si>
    <t>Ancho calzada</t>
  </si>
  <si>
    <t># de carriles posibles</t>
  </si>
  <si>
    <t>factores de multiple presencia a usarse</t>
  </si>
  <si>
    <t>m (1 carril)</t>
  </si>
  <si>
    <t>m (2 carriles)</t>
  </si>
  <si>
    <t>Factores distribucion de carga para momento por carga viva</t>
  </si>
  <si>
    <t>gint1</t>
  </si>
  <si>
    <t>gint2</t>
  </si>
  <si>
    <t>gint</t>
  </si>
  <si>
    <t>Ancho volado</t>
  </si>
  <si>
    <t>Ancho barrera</t>
  </si>
  <si>
    <t>de</t>
  </si>
  <si>
    <t>distancia primera llanta del primer vehiculo al eje de la viga interior</t>
  </si>
  <si>
    <t>distancia segunda llanta del primer vehiculo al eje de la viga interior</t>
  </si>
  <si>
    <t>e(2 carriles)</t>
  </si>
  <si>
    <t>gext1</t>
  </si>
  <si>
    <t>gext2</t>
  </si>
  <si>
    <t>Cargas lineales muertas</t>
  </si>
  <si>
    <t>bint</t>
  </si>
  <si>
    <t>bext</t>
  </si>
  <si>
    <t>D losa ext</t>
  </si>
  <si>
    <t>t/m</t>
  </si>
  <si>
    <t>D losa int</t>
  </si>
  <si>
    <t>D asfalto int</t>
  </si>
  <si>
    <t>D asfalto ext</t>
  </si>
  <si>
    <t>e asfalto</t>
  </si>
  <si>
    <t>P barrera</t>
  </si>
  <si>
    <t>ancho aceras</t>
  </si>
  <si>
    <t>alto aceras</t>
  </si>
  <si>
    <t>P acera</t>
  </si>
  <si>
    <t>Alto barrera</t>
  </si>
  <si>
    <t>P barrera distribuido en vigas</t>
  </si>
  <si>
    <t>P acera distribuido en vigas</t>
  </si>
  <si>
    <t xml:space="preserve">Mk máx </t>
  </si>
  <si>
    <t>tm</t>
  </si>
  <si>
    <t>(obtenido con lineas de influencia al calcular la max. Flexion entre el camion de diseño y el tandem</t>
  </si>
  <si>
    <t>,ambos incluyen fatiga  y la sobrecarga vehicular)</t>
  </si>
  <si>
    <t>gext</t>
  </si>
  <si>
    <t>Factores de incremento de cargas</t>
  </si>
  <si>
    <t>γDC</t>
  </si>
  <si>
    <t>γDW</t>
  </si>
  <si>
    <t>γLL</t>
  </si>
  <si>
    <t>Refuerzo long. Vigas interiores</t>
  </si>
  <si>
    <t>MLL int</t>
  </si>
  <si>
    <t>P vigas</t>
  </si>
  <si>
    <t>MDC int</t>
  </si>
  <si>
    <t>MDW int</t>
  </si>
  <si>
    <t>Mt int</t>
  </si>
  <si>
    <t>fy</t>
  </si>
  <si>
    <t>f'c</t>
  </si>
  <si>
    <t>h viga</t>
  </si>
  <si>
    <t>varilla</t>
  </si>
  <si>
    <t>mm</t>
  </si>
  <si>
    <t>rec</t>
  </si>
  <si>
    <t>d supuesta</t>
  </si>
  <si>
    <t>est</t>
  </si>
  <si>
    <t>phi</t>
  </si>
  <si>
    <t>Mt ext</t>
  </si>
  <si>
    <t>Rn</t>
  </si>
  <si>
    <t>kg/cm2</t>
  </si>
  <si>
    <t>ρ</t>
  </si>
  <si>
    <t>%</t>
  </si>
  <si>
    <t>As</t>
  </si>
  <si>
    <t>cm2</t>
  </si>
  <si>
    <t>a</t>
  </si>
  <si>
    <t>A. var</t>
  </si>
  <si>
    <t>#var calc.</t>
  </si>
  <si>
    <t>#var adop.</t>
  </si>
  <si>
    <t>ancho necesario (2 capas)</t>
  </si>
  <si>
    <t>d calc.</t>
  </si>
  <si>
    <t>(suponemos que todos se dan en el centro de la viga)</t>
  </si>
  <si>
    <t>(supuesta)</t>
  </si>
  <si>
    <t>S mín</t>
  </si>
  <si>
    <t>rec min</t>
  </si>
  <si>
    <t>a&lt;ts para que la suposicion del bloque de</t>
  </si>
  <si>
    <t>compresión sea valida</t>
  </si>
  <si>
    <t>b viga</t>
  </si>
  <si>
    <t>( comprobar si alcanzan las varillas en el arreglo)</t>
  </si>
  <si>
    <t>("d" empieza en el centro de gravedad de las varillas")</t>
  </si>
  <si>
    <t>Refuerzo long. Vigas exteriores</t>
  </si>
  <si>
    <t>MLL ext</t>
  </si>
  <si>
    <t>MDC ext</t>
  </si>
  <si>
    <t>MDW ext</t>
  </si>
  <si>
    <t>ancho necesario (1 capa)</t>
  </si>
  <si>
    <t>L puentes (L)</t>
  </si>
  <si>
    <t>ancho losa(ts)</t>
  </si>
  <si>
    <t># vigas (Nb)</t>
  </si>
  <si>
    <t>VLL( solo alcanzan 2ejes!), con lineas de influencia</t>
  </si>
  <si>
    <t>Camión de diseño+carril</t>
  </si>
  <si>
    <t>y1</t>
  </si>
  <si>
    <t>y2</t>
  </si>
  <si>
    <t>carga camión</t>
  </si>
  <si>
    <t>t</t>
  </si>
  <si>
    <t>Vcamión</t>
  </si>
  <si>
    <t>Vvehiculos</t>
  </si>
  <si>
    <t>VLLt</t>
  </si>
  <si>
    <t>Tandem de diseño+carril</t>
  </si>
  <si>
    <t>carga tandem</t>
  </si>
  <si>
    <t>VLL</t>
  </si>
  <si>
    <t>D vigas</t>
  </si>
  <si>
    <t>D acera distribuido en vigas</t>
  </si>
  <si>
    <t>D barrera distribuido en vigas</t>
  </si>
  <si>
    <t>VDCint</t>
  </si>
  <si>
    <t>VDWint</t>
  </si>
  <si>
    <t>VLLint</t>
  </si>
  <si>
    <t>Vtint</t>
  </si>
  <si>
    <t>Acero</t>
  </si>
  <si>
    <t>hviga</t>
  </si>
  <si>
    <t xml:space="preserve">ølong </t>
  </si>
  <si>
    <t>d</t>
  </si>
  <si>
    <t>bw</t>
  </si>
  <si>
    <t>dv</t>
  </si>
  <si>
    <t xml:space="preserve">øv </t>
  </si>
  <si>
    <t>0,18f'c</t>
  </si>
  <si>
    <t>vu</t>
  </si>
  <si>
    <t>0,125f'c</t>
  </si>
  <si>
    <t>Smáx2</t>
  </si>
  <si>
    <t>S supuesto</t>
  </si>
  <si>
    <t>Mtint</t>
  </si>
  <si>
    <t>εs</t>
  </si>
  <si>
    <t>Vc</t>
  </si>
  <si>
    <t>β</t>
  </si>
  <si>
    <t>θ</t>
  </si>
  <si>
    <t> α</t>
  </si>
  <si>
    <t>º</t>
  </si>
  <si>
    <t>Vs</t>
  </si>
  <si>
    <t>area est.(Av)</t>
  </si>
  <si>
    <t>Vn</t>
  </si>
  <si>
    <t>eficiencia</t>
  </si>
  <si>
    <t>e</t>
  </si>
  <si>
    <t>Mtext</t>
  </si>
  <si>
    <t>VDCext</t>
  </si>
  <si>
    <t>VDWext</t>
  </si>
  <si>
    <t>VLLext</t>
  </si>
  <si>
    <t>Vtext</t>
  </si>
  <si>
    <t>Diseño cerca del apoyo</t>
  </si>
  <si>
    <t>(L-a)/L</t>
  </si>
  <si>
    <t>a/L</t>
  </si>
  <si>
    <t>x1</t>
  </si>
  <si>
    <t>Smax1</t>
  </si>
  <si>
    <t>Diseño lejos y en el apoyo</t>
  </si>
  <si>
    <t>gext flexión</t>
  </si>
  <si>
    <t>MLL</t>
  </si>
  <si>
    <t>MLLγ</t>
  </si>
  <si>
    <t>del programa</t>
  </si>
  <si>
    <t>Area triangulo LI</t>
  </si>
  <si>
    <t>MDCγ</t>
  </si>
  <si>
    <t>MDWγ</t>
  </si>
  <si>
    <t>gint flexión</t>
  </si>
  <si>
    <t>b</t>
  </si>
  <si>
    <t>Vtandem</t>
  </si>
  <si>
    <t>As ext</t>
  </si>
  <si>
    <t>As*fy</t>
  </si>
  <si>
    <t>As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</si>
</sst>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0" fillId="0" borderId="0" xfId="0" applyNumberFormat="1" applyAlignment="1">
      <alignment horizontal="center"/>
    </xf>
    <xf numFmtId="0" fontId="4" fillId="0" borderId="0" xfId="0" applyFont="1" applyAlignment="1"/>
    <xf numFmtId="2" fontId="5" fillId="2" borderId="0" xfId="1" applyNumberFormat="1" applyAlignment="1">
      <alignment horizontal="center"/>
    </xf>
    <xf numFmtId="0" fontId="5" fillId="2" borderId="0" xfId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3" Type="http://schemas.openxmlformats.org/officeDocument/2006/relationships/image" Target="../media/image7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5.png"/><Relationship Id="rId1" Type="http://schemas.openxmlformats.org/officeDocument/2006/relationships/image" Target="../media/image11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8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0.png"/><Relationship Id="rId3" Type="http://schemas.openxmlformats.org/officeDocument/2006/relationships/image" Target="../media/image8.png"/><Relationship Id="rId7" Type="http://schemas.openxmlformats.org/officeDocument/2006/relationships/image" Target="../media/image15.png"/><Relationship Id="rId12" Type="http://schemas.openxmlformats.org/officeDocument/2006/relationships/image" Target="../media/image19.png"/><Relationship Id="rId2" Type="http://schemas.openxmlformats.org/officeDocument/2006/relationships/image" Target="../media/image7.png"/><Relationship Id="rId1" Type="http://schemas.openxmlformats.org/officeDocument/2006/relationships/image" Target="../media/image5.png"/><Relationship Id="rId6" Type="http://schemas.openxmlformats.org/officeDocument/2006/relationships/image" Target="../media/image14.png"/><Relationship Id="rId11" Type="http://schemas.openxmlformats.org/officeDocument/2006/relationships/image" Target="../media/image22.png"/><Relationship Id="rId5" Type="http://schemas.openxmlformats.org/officeDocument/2006/relationships/image" Target="../media/image13.png"/><Relationship Id="rId15" Type="http://schemas.openxmlformats.org/officeDocument/2006/relationships/image" Target="../media/image23.png"/><Relationship Id="rId10" Type="http://schemas.openxmlformats.org/officeDocument/2006/relationships/image" Target="../media/image18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Relationship Id="rId1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523875</xdr:colOff>
      <xdr:row>1</xdr:row>
      <xdr:rowOff>76199</xdr:rowOff>
    </xdr:from>
    <xdr:to>
      <xdr:col>11</xdr:col>
      <xdr:colOff>133350</xdr:colOff>
      <xdr:row>16</xdr:row>
      <xdr:rowOff>81472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57875" y="266699"/>
          <a:ext cx="2657475" cy="2862773"/>
        </a:xfrm>
        <a:prstGeom prst="rect">
          <a:avLst/>
        </a:prstGeom>
      </xdr:spPr>
    </xdr:pic>
    <xdr:clientData/>
  </xdr:twoCellAnchor>
  <xdr:twoCellAnchor editAs="oneCell">
    <xdr:from>
      <xdr:col>6</xdr:col>
      <xdr:colOff>481854</xdr:colOff>
      <xdr:row>18</xdr:row>
      <xdr:rowOff>179295</xdr:rowOff>
    </xdr:from>
    <xdr:to>
      <xdr:col>13</xdr:col>
      <xdr:colOff>526678</xdr:colOff>
      <xdr:row>23</xdr:row>
      <xdr:rowOff>76695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62383" y="3608295"/>
          <a:ext cx="5378824" cy="849900"/>
        </a:xfrm>
        <a:prstGeom prst="rect">
          <a:avLst/>
        </a:prstGeom>
      </xdr:spPr>
    </xdr:pic>
    <xdr:clientData/>
  </xdr:twoCellAnchor>
  <xdr:twoCellAnchor editAs="oneCell">
    <xdr:from>
      <xdr:col>6</xdr:col>
      <xdr:colOff>631913</xdr:colOff>
      <xdr:row>46</xdr:row>
      <xdr:rowOff>27771</xdr:rowOff>
    </xdr:from>
    <xdr:to>
      <xdr:col>15</xdr:col>
      <xdr:colOff>206090</xdr:colOff>
      <xdr:row>53</xdr:row>
      <xdr:rowOff>186091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4391" y="8790771"/>
          <a:ext cx="6432177" cy="1491820"/>
        </a:xfrm>
        <a:prstGeom prst="rect">
          <a:avLst/>
        </a:prstGeom>
      </xdr:spPr>
    </xdr:pic>
    <xdr:clientData/>
  </xdr:twoCellAnchor>
  <xdr:twoCellAnchor editAs="oneCell">
    <xdr:from>
      <xdr:col>7</xdr:col>
      <xdr:colOff>392205</xdr:colOff>
      <xdr:row>36</xdr:row>
      <xdr:rowOff>11766</xdr:rowOff>
    </xdr:from>
    <xdr:to>
      <xdr:col>15</xdr:col>
      <xdr:colOff>224117</xdr:colOff>
      <xdr:row>43</xdr:row>
      <xdr:rowOff>171508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34734" y="6869766"/>
          <a:ext cx="5927912" cy="1493242"/>
        </a:xfrm>
        <a:prstGeom prst="rect">
          <a:avLst/>
        </a:prstGeom>
      </xdr:spPr>
    </xdr:pic>
    <xdr:clientData/>
  </xdr:twoCellAnchor>
  <xdr:twoCellAnchor editAs="oneCell">
    <xdr:from>
      <xdr:col>8</xdr:col>
      <xdr:colOff>34178</xdr:colOff>
      <xdr:row>26</xdr:row>
      <xdr:rowOff>80683</xdr:rowOff>
    </xdr:from>
    <xdr:to>
      <xdr:col>12</xdr:col>
      <xdr:colOff>72278</xdr:colOff>
      <xdr:row>34</xdr:row>
      <xdr:rowOff>11752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38707" y="5033683"/>
          <a:ext cx="3086100" cy="1455069"/>
        </a:xfrm>
        <a:prstGeom prst="rect">
          <a:avLst/>
        </a:prstGeom>
      </xdr:spPr>
    </xdr:pic>
    <xdr:clientData/>
  </xdr:twoCellAnchor>
  <xdr:twoCellAnchor editAs="oneCell">
    <xdr:from>
      <xdr:col>7</xdr:col>
      <xdr:colOff>267648</xdr:colOff>
      <xdr:row>59</xdr:row>
      <xdr:rowOff>88354</xdr:rowOff>
    </xdr:from>
    <xdr:to>
      <xdr:col>12</xdr:col>
      <xdr:colOff>724315</xdr:colOff>
      <xdr:row>64</xdr:row>
      <xdr:rowOff>31092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10177" y="11137354"/>
          <a:ext cx="4266667" cy="8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19706</xdr:colOff>
      <xdr:row>70</xdr:row>
      <xdr:rowOff>45982</xdr:rowOff>
    </xdr:from>
    <xdr:to>
      <xdr:col>13</xdr:col>
      <xdr:colOff>588065</xdr:colOff>
      <xdr:row>75</xdr:row>
      <xdr:rowOff>170955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840184" y="13190482"/>
          <a:ext cx="6664359" cy="1102321"/>
        </a:xfrm>
        <a:prstGeom prst="rect">
          <a:avLst/>
        </a:prstGeom>
      </xdr:spPr>
    </xdr:pic>
    <xdr:clientData/>
  </xdr:twoCellAnchor>
  <xdr:twoCellAnchor editAs="oneCell">
    <xdr:from>
      <xdr:col>13</xdr:col>
      <xdr:colOff>598715</xdr:colOff>
      <xdr:row>63</xdr:row>
      <xdr:rowOff>27214</xdr:rowOff>
    </xdr:from>
    <xdr:to>
      <xdr:col>16</xdr:col>
      <xdr:colOff>703191</xdr:colOff>
      <xdr:row>76</xdr:row>
      <xdr:rowOff>11580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511644" y="12028714"/>
          <a:ext cx="2390476" cy="24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727604</xdr:colOff>
      <xdr:row>0</xdr:row>
      <xdr:rowOff>0</xdr:rowOff>
    </xdr:from>
    <xdr:to>
      <xdr:col>18</xdr:col>
      <xdr:colOff>126871</xdr:colOff>
      <xdr:row>12</xdr:row>
      <xdr:rowOff>50144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9604" y="0"/>
          <a:ext cx="3971267" cy="2336144"/>
        </a:xfrm>
        <a:prstGeom prst="rect">
          <a:avLst/>
        </a:prstGeom>
      </xdr:spPr>
    </xdr:pic>
    <xdr:clientData/>
  </xdr:twoCellAnchor>
  <xdr:twoCellAnchor editAs="oneCell">
    <xdr:from>
      <xdr:col>13</xdr:col>
      <xdr:colOff>695153</xdr:colOff>
      <xdr:row>12</xdr:row>
      <xdr:rowOff>166286</xdr:rowOff>
    </xdr:from>
    <xdr:to>
      <xdr:col>17</xdr:col>
      <xdr:colOff>338522</xdr:colOff>
      <xdr:row>36</xdr:row>
      <xdr:rowOff>54226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9153" y="2452286"/>
          <a:ext cx="2691369" cy="4468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727604</xdr:colOff>
      <xdr:row>0</xdr:row>
      <xdr:rowOff>0</xdr:rowOff>
    </xdr:from>
    <xdr:to>
      <xdr:col>18</xdr:col>
      <xdr:colOff>126871</xdr:colOff>
      <xdr:row>12</xdr:row>
      <xdr:rowOff>50144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9604" y="0"/>
          <a:ext cx="3971267" cy="2336144"/>
        </a:xfrm>
        <a:prstGeom prst="rect">
          <a:avLst/>
        </a:prstGeom>
      </xdr:spPr>
    </xdr:pic>
    <xdr:clientData/>
  </xdr:twoCellAnchor>
  <xdr:twoCellAnchor editAs="oneCell">
    <xdr:from>
      <xdr:col>13</xdr:col>
      <xdr:colOff>695153</xdr:colOff>
      <xdr:row>12</xdr:row>
      <xdr:rowOff>166286</xdr:rowOff>
    </xdr:from>
    <xdr:to>
      <xdr:col>17</xdr:col>
      <xdr:colOff>338522</xdr:colOff>
      <xdr:row>36</xdr:row>
      <xdr:rowOff>54226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9153" y="2452286"/>
          <a:ext cx="2691369" cy="4469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641998</xdr:colOff>
      <xdr:row>0</xdr:row>
      <xdr:rowOff>75818</xdr:rowOff>
    </xdr:from>
    <xdr:to>
      <xdr:col>14</xdr:col>
      <xdr:colOff>419511</xdr:colOff>
      <xdr:row>14</xdr:row>
      <xdr:rowOff>2736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7498" y="75818"/>
          <a:ext cx="5111513" cy="2767853"/>
        </a:xfrm>
        <a:prstGeom prst="rect">
          <a:avLst/>
        </a:prstGeom>
      </xdr:spPr>
    </xdr:pic>
    <xdr:clientData/>
  </xdr:twoCellAnchor>
  <xdr:twoCellAnchor editAs="oneCell">
    <xdr:from>
      <xdr:col>9</xdr:col>
      <xdr:colOff>310719</xdr:colOff>
      <xdr:row>15</xdr:row>
      <xdr:rowOff>112059</xdr:rowOff>
    </xdr:from>
    <xdr:to>
      <xdr:col>13</xdr:col>
      <xdr:colOff>348819</xdr:colOff>
      <xdr:row>23</xdr:row>
      <xdr:rowOff>43128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0219" y="2969559"/>
          <a:ext cx="3086100" cy="1455069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25</xdr:row>
      <xdr:rowOff>66675</xdr:rowOff>
    </xdr:from>
    <xdr:to>
      <xdr:col>14</xdr:col>
      <xdr:colOff>371476</xdr:colOff>
      <xdr:row>30</xdr:row>
      <xdr:rowOff>116216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27839" y="4829175"/>
          <a:ext cx="6017080" cy="1002041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24</xdr:row>
      <xdr:rowOff>85725</xdr:rowOff>
    </xdr:from>
    <xdr:to>
      <xdr:col>17</xdr:col>
      <xdr:colOff>523576</xdr:colOff>
      <xdr:row>37</xdr:row>
      <xdr:rowOff>103709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64243" y="4657725"/>
          <a:ext cx="2390476" cy="2494484"/>
        </a:xfrm>
        <a:prstGeom prst="rect">
          <a:avLst/>
        </a:prstGeom>
      </xdr:spPr>
    </xdr:pic>
    <xdr:clientData/>
  </xdr:twoCellAnchor>
  <xdr:twoCellAnchor editAs="oneCell">
    <xdr:from>
      <xdr:col>13</xdr:col>
      <xdr:colOff>300878</xdr:colOff>
      <xdr:row>48</xdr:row>
      <xdr:rowOff>63314</xdr:rowOff>
    </xdr:from>
    <xdr:to>
      <xdr:col>18</xdr:col>
      <xdr:colOff>625849</xdr:colOff>
      <xdr:row>68</xdr:row>
      <xdr:rowOff>3467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06878" y="9235889"/>
          <a:ext cx="4134971" cy="3826353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42</xdr:row>
      <xdr:rowOff>28575</xdr:rowOff>
    </xdr:from>
    <xdr:to>
      <xdr:col>12</xdr:col>
      <xdr:colOff>428725</xdr:colOff>
      <xdr:row>49</xdr:row>
      <xdr:rowOff>28575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34075" y="8058150"/>
          <a:ext cx="3638650" cy="1409700"/>
        </a:xfrm>
        <a:prstGeom prst="rect">
          <a:avLst/>
        </a:prstGeom>
      </xdr:spPr>
    </xdr:pic>
    <xdr:clientData/>
  </xdr:twoCellAnchor>
  <xdr:twoCellAnchor editAs="oneCell">
    <xdr:from>
      <xdr:col>7</xdr:col>
      <xdr:colOff>298174</xdr:colOff>
      <xdr:row>51</xdr:row>
      <xdr:rowOff>99391</xdr:rowOff>
    </xdr:from>
    <xdr:to>
      <xdr:col>12</xdr:col>
      <xdr:colOff>412025</xdr:colOff>
      <xdr:row>63</xdr:row>
      <xdr:rowOff>157370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32174" y="9723782"/>
          <a:ext cx="3923851" cy="2343979"/>
        </a:xfrm>
        <a:prstGeom prst="rect">
          <a:avLst/>
        </a:prstGeom>
      </xdr:spPr>
    </xdr:pic>
    <xdr:clientData/>
  </xdr:twoCellAnchor>
  <xdr:oneCellAnchor>
    <xdr:from>
      <xdr:col>7</xdr:col>
      <xdr:colOff>619539</xdr:colOff>
      <xdr:row>65</xdr:row>
      <xdr:rowOff>176420</xdr:rowOff>
    </xdr:from>
    <xdr:ext cx="3099310" cy="571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 txBox="1"/>
          </xdr:nvSpPr>
          <xdr:spPr>
            <a:xfrm>
              <a:off x="5953539" y="12663695"/>
              <a:ext cx="3099310" cy="571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600" b="0" i="0">
                            <a:latin typeface="Cambria Math" panose="02040503050406030204" pitchFamily="18" charset="0"/>
                          </a:rPr>
                          <m:t>Av</m:t>
                        </m:r>
                        <m:r>
                          <a:rPr lang="es-ES" sz="16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𝑓𝑦</m:t>
                        </m:r>
                      </m:num>
                      <m:den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0,0316∗</m:t>
                        </m:r>
                        <m:sSup>
                          <m:sSup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70,037</m:t>
                            </m:r>
                          </m:e>
                          <m:sup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0,5</m:t>
                            </m:r>
                          </m:sup>
                        </m:s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𝑏𝑣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rad>
                      </m:den>
                    </m:f>
                    <m:r>
                      <a:rPr lang="es-ES" sz="1600" b="0" i="1">
                        <a:latin typeface="Cambria Math" panose="02040503050406030204" pitchFamily="18" charset="0"/>
                      </a:rPr>
                      <m:t>≥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es-ES" sz="16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5953539" y="12663695"/>
              <a:ext cx="3099310" cy="571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</a:rPr>
                <a:t>(Av∗𝑓𝑦)/(0,0316∗〖70,037〗^0,5∗𝑏𝑣∗√(𝑓^′ 𝑐))≥𝑆</a:t>
              </a:r>
              <a:endParaRPr lang="es-ES" sz="1600"/>
            </a:p>
          </xdr:txBody>
        </xdr:sp>
      </mc:Fallback>
    </mc:AlternateContent>
    <xdr:clientData/>
  </xdr:oneCellAnchor>
  <xdr:twoCellAnchor editAs="oneCell">
    <xdr:from>
      <xdr:col>7</xdr:col>
      <xdr:colOff>76200</xdr:colOff>
      <xdr:row>70</xdr:row>
      <xdr:rowOff>85726</xdr:rowOff>
    </xdr:from>
    <xdr:to>
      <xdr:col>13</xdr:col>
      <xdr:colOff>9525</xdr:colOff>
      <xdr:row>74</xdr:row>
      <xdr:rowOff>135640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410200" y="13525501"/>
          <a:ext cx="4505325" cy="811914"/>
        </a:xfrm>
        <a:prstGeom prst="rect">
          <a:avLst/>
        </a:prstGeom>
      </xdr:spPr>
    </xdr:pic>
    <xdr:clientData/>
  </xdr:twoCellAnchor>
  <xdr:twoCellAnchor editAs="oneCell">
    <xdr:from>
      <xdr:col>13</xdr:col>
      <xdr:colOff>358588</xdr:colOff>
      <xdr:row>69</xdr:row>
      <xdr:rowOff>22411</xdr:rowOff>
    </xdr:from>
    <xdr:to>
      <xdr:col>18</xdr:col>
      <xdr:colOff>705971</xdr:colOff>
      <xdr:row>74</xdr:row>
      <xdr:rowOff>101670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264588" y="13278970"/>
          <a:ext cx="4157383" cy="1031759"/>
        </a:xfrm>
        <a:prstGeom prst="rect">
          <a:avLst/>
        </a:prstGeom>
      </xdr:spPr>
    </xdr:pic>
    <xdr:clientData/>
  </xdr:twoCellAnchor>
  <xdr:twoCellAnchor editAs="oneCell">
    <xdr:from>
      <xdr:col>7</xdr:col>
      <xdr:colOff>339587</xdr:colOff>
      <xdr:row>76</xdr:row>
      <xdr:rowOff>24848</xdr:rowOff>
    </xdr:from>
    <xdr:to>
      <xdr:col>14</xdr:col>
      <xdr:colOff>377016</xdr:colOff>
      <xdr:row>80</xdr:row>
      <xdr:rowOff>110467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73587" y="14602239"/>
          <a:ext cx="5371429" cy="847619"/>
        </a:xfrm>
        <a:prstGeom prst="rect">
          <a:avLst/>
        </a:prstGeom>
      </xdr:spPr>
    </xdr:pic>
    <xdr:clientData/>
  </xdr:twoCellAnchor>
  <xdr:oneCellAnchor>
    <xdr:from>
      <xdr:col>7</xdr:col>
      <xdr:colOff>704022</xdr:colOff>
      <xdr:row>80</xdr:row>
      <xdr:rowOff>74544</xdr:rowOff>
    </xdr:from>
    <xdr:ext cx="4084836" cy="488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6038022" y="15587870"/>
              <a:ext cx="4084836" cy="488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latin typeface="Cambria Math" panose="02040503050406030204" pitchFamily="18" charset="0"/>
                      </a:rPr>
                      <m:t>𝑉𝑐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0,0316</m:t>
                        </m:r>
                      </m:num>
                      <m:den>
                        <m:sSup>
                          <m:sSup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2,54</m:t>
                            </m:r>
                          </m:e>
                          <m:sup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70,307</m:t>
                            </m:r>
                          </m:e>
                          <m:sup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0,5</m:t>
                            </m:r>
                          </m:sup>
                        </m:s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∗2,205</m:t>
                        </m:r>
                      </m:den>
                    </m:f>
                    <m:r>
                      <a:rPr lang="es-ES" sz="16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E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rad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𝑏𝑣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𝑑𝑣</m:t>
                    </m:r>
                  </m:oMath>
                </m:oMathPara>
              </a14:m>
              <a:endParaRPr lang="es-ES" sz="1600"/>
            </a:p>
          </xdr:txBody>
        </xdr:sp>
      </mc:Choice>
      <mc:Fallback xmlns="">
        <xdr:sp macro="" textlink="">
          <xdr:nvSpPr>
            <xdr:cNvPr id="14" name="CuadroTexto 13"/>
            <xdr:cNvSpPr txBox="1"/>
          </xdr:nvSpPr>
          <xdr:spPr>
            <a:xfrm>
              <a:off x="6038022" y="15587870"/>
              <a:ext cx="4084836" cy="488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𝑉𝑐=0,0316/(〖2,54〗^2∗〖70,307〗^0,5∗2,205)∗</a:t>
              </a:r>
              <a:r>
                <a:rPr lang="es-E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𝛽∗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√(𝑓^′ 𝑐)∗𝑏𝑣∗𝑑𝑣</a:t>
              </a:r>
              <a:endParaRPr lang="es-ES" sz="1600"/>
            </a:p>
          </xdr:txBody>
        </xdr:sp>
      </mc:Fallback>
    </mc:AlternateContent>
    <xdr:clientData/>
  </xdr:oneCellAnchor>
  <xdr:twoCellAnchor editAs="oneCell">
    <xdr:from>
      <xdr:col>14</xdr:col>
      <xdr:colOff>142875</xdr:colOff>
      <xdr:row>75</xdr:row>
      <xdr:rowOff>133350</xdr:rowOff>
    </xdr:from>
    <xdr:to>
      <xdr:col>21</xdr:col>
      <xdr:colOff>151732</xdr:colOff>
      <xdr:row>81</xdr:row>
      <xdr:rowOff>152255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810875" y="14525625"/>
          <a:ext cx="5342857" cy="11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653143</xdr:colOff>
      <xdr:row>84</xdr:row>
      <xdr:rowOff>149678</xdr:rowOff>
    </xdr:from>
    <xdr:to>
      <xdr:col>15</xdr:col>
      <xdr:colOff>755289</xdr:colOff>
      <xdr:row>88</xdr:row>
      <xdr:rowOff>125071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49143" y="16451035"/>
          <a:ext cx="5436146" cy="9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126</xdr:row>
      <xdr:rowOff>0</xdr:rowOff>
    </xdr:from>
    <xdr:to>
      <xdr:col>12</xdr:col>
      <xdr:colOff>637619</xdr:colOff>
      <xdr:row>139</xdr:row>
      <xdr:rowOff>142548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34000" y="24526875"/>
          <a:ext cx="4447619" cy="26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725021</xdr:colOff>
      <xdr:row>131</xdr:row>
      <xdr:rowOff>139513</xdr:rowOff>
    </xdr:from>
    <xdr:to>
      <xdr:col>19</xdr:col>
      <xdr:colOff>743402</xdr:colOff>
      <xdr:row>162</xdr:row>
      <xdr:rowOff>53061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69021" y="25618888"/>
          <a:ext cx="5352381" cy="58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93005</xdr:colOff>
      <xdr:row>22</xdr:row>
      <xdr:rowOff>57630</xdr:rowOff>
    </xdr:from>
    <xdr:to>
      <xdr:col>12</xdr:col>
      <xdr:colOff>435904</xdr:colOff>
      <xdr:row>29</xdr:row>
      <xdr:rowOff>179199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1005" y="6344130"/>
          <a:ext cx="3086100" cy="1455069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238125</xdr:colOff>
      <xdr:row>16</xdr:row>
      <xdr:rowOff>66675</xdr:rowOff>
    </xdr:from>
    <xdr:to>
      <xdr:col>13</xdr:col>
      <xdr:colOff>676275</xdr:colOff>
      <xdr:row>21</xdr:row>
      <xdr:rowOff>116216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29200" y="4829175"/>
          <a:ext cx="6010276" cy="1002041"/>
        </a:xfrm>
        <a:prstGeom prst="rect">
          <a:avLst/>
        </a:prstGeom>
      </xdr:spPr>
    </xdr:pic>
    <xdr:clientData/>
  </xdr:twoCellAnchor>
  <xdr:twoCellAnchor editAs="oneCell">
    <xdr:from>
      <xdr:col>14</xdr:col>
      <xdr:colOff>419100</xdr:colOff>
      <xdr:row>15</xdr:row>
      <xdr:rowOff>85725</xdr:rowOff>
    </xdr:from>
    <xdr:to>
      <xdr:col>17</xdr:col>
      <xdr:colOff>523576</xdr:colOff>
      <xdr:row>28</xdr:row>
      <xdr:rowOff>103709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87100" y="4657725"/>
          <a:ext cx="2390476" cy="2494484"/>
        </a:xfrm>
        <a:prstGeom prst="rect">
          <a:avLst/>
        </a:prstGeom>
      </xdr:spPr>
    </xdr:pic>
    <xdr:clientData/>
  </xdr:twoCellAnchor>
  <xdr:twoCellAnchor editAs="oneCell">
    <xdr:from>
      <xdr:col>13</xdr:col>
      <xdr:colOff>300878</xdr:colOff>
      <xdr:row>39</xdr:row>
      <xdr:rowOff>63314</xdr:rowOff>
    </xdr:from>
    <xdr:to>
      <xdr:col>18</xdr:col>
      <xdr:colOff>625849</xdr:colOff>
      <xdr:row>59</xdr:row>
      <xdr:rowOff>3467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06878" y="9235889"/>
          <a:ext cx="4134971" cy="3826353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33</xdr:row>
      <xdr:rowOff>28575</xdr:rowOff>
    </xdr:from>
    <xdr:to>
      <xdr:col>11</xdr:col>
      <xdr:colOff>733524</xdr:colOff>
      <xdr:row>40</xdr:row>
      <xdr:rowOff>28575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34075" y="8058150"/>
          <a:ext cx="3638650" cy="1409700"/>
        </a:xfrm>
        <a:prstGeom prst="rect">
          <a:avLst/>
        </a:prstGeom>
      </xdr:spPr>
    </xdr:pic>
    <xdr:clientData/>
  </xdr:twoCellAnchor>
  <xdr:twoCellAnchor editAs="oneCell">
    <xdr:from>
      <xdr:col>7</xdr:col>
      <xdr:colOff>298174</xdr:colOff>
      <xdr:row>42</xdr:row>
      <xdr:rowOff>99391</xdr:rowOff>
    </xdr:from>
    <xdr:to>
      <xdr:col>11</xdr:col>
      <xdr:colOff>716824</xdr:colOff>
      <xdr:row>54</xdr:row>
      <xdr:rowOff>157370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32174" y="9919666"/>
          <a:ext cx="3923851" cy="2343979"/>
        </a:xfrm>
        <a:prstGeom prst="rect">
          <a:avLst/>
        </a:prstGeom>
      </xdr:spPr>
    </xdr:pic>
    <xdr:clientData/>
  </xdr:twoCellAnchor>
  <xdr:oneCellAnchor>
    <xdr:from>
      <xdr:col>7</xdr:col>
      <xdr:colOff>619539</xdr:colOff>
      <xdr:row>56</xdr:row>
      <xdr:rowOff>176420</xdr:rowOff>
    </xdr:from>
    <xdr:ext cx="3099310" cy="5714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400-000009000000}"/>
                </a:ext>
              </a:extLst>
            </xdr:cNvPr>
            <xdr:cNvSpPr txBox="1"/>
          </xdr:nvSpPr>
          <xdr:spPr>
            <a:xfrm>
              <a:off x="5953539" y="12663695"/>
              <a:ext cx="3099310" cy="571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ES" sz="1600" b="0" i="0">
                            <a:latin typeface="Cambria Math" panose="02040503050406030204" pitchFamily="18" charset="0"/>
                          </a:rPr>
                          <m:t>Av</m:t>
                        </m:r>
                        <m:r>
                          <a:rPr lang="es-ES" sz="1600" b="0" i="0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𝑓𝑦</m:t>
                        </m:r>
                      </m:num>
                      <m:den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0,0316∗</m:t>
                        </m:r>
                        <m:sSup>
                          <m:sSup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70,037</m:t>
                            </m:r>
                          </m:e>
                          <m:sup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0,5</m:t>
                            </m:r>
                          </m:sup>
                        </m:s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𝑏𝑣</m:t>
                        </m:r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rad>
                          <m:radPr>
                            <m:degHide m:val="on"/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p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rad>
                      </m:den>
                    </m:f>
                    <m:r>
                      <a:rPr lang="es-ES" sz="1600" b="0" i="1">
                        <a:latin typeface="Cambria Math" panose="02040503050406030204" pitchFamily="18" charset="0"/>
                      </a:rPr>
                      <m:t>≥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𝑆</m:t>
                    </m:r>
                  </m:oMath>
                </m:oMathPara>
              </a14:m>
              <a:endParaRPr lang="es-ES" sz="16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5953539" y="12663695"/>
              <a:ext cx="3099310" cy="5714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(Av∗𝑓𝑦)/(0,0316∗〖70,037〗^0,5∗𝑏𝑣∗√(𝑓^′ 𝑐))≥𝑆</a:t>
              </a:r>
              <a:endParaRPr lang="es-ES" sz="1600"/>
            </a:p>
          </xdr:txBody>
        </xdr:sp>
      </mc:Fallback>
    </mc:AlternateContent>
    <xdr:clientData/>
  </xdr:oneCellAnchor>
  <xdr:twoCellAnchor editAs="oneCell">
    <xdr:from>
      <xdr:col>7</xdr:col>
      <xdr:colOff>76200</xdr:colOff>
      <xdr:row>61</xdr:row>
      <xdr:rowOff>85726</xdr:rowOff>
    </xdr:from>
    <xdr:to>
      <xdr:col>12</xdr:col>
      <xdr:colOff>314324</xdr:colOff>
      <xdr:row>65</xdr:row>
      <xdr:rowOff>135640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10200" y="13525501"/>
          <a:ext cx="4505325" cy="811914"/>
        </a:xfrm>
        <a:prstGeom prst="rect">
          <a:avLst/>
        </a:prstGeom>
      </xdr:spPr>
    </xdr:pic>
    <xdr:clientData/>
  </xdr:twoCellAnchor>
  <xdr:twoCellAnchor editAs="oneCell">
    <xdr:from>
      <xdr:col>13</xdr:col>
      <xdr:colOff>358588</xdr:colOff>
      <xdr:row>60</xdr:row>
      <xdr:rowOff>22411</xdr:rowOff>
    </xdr:from>
    <xdr:to>
      <xdr:col>18</xdr:col>
      <xdr:colOff>705971</xdr:colOff>
      <xdr:row>65</xdr:row>
      <xdr:rowOff>101670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4588" y="13271686"/>
          <a:ext cx="4157383" cy="1031759"/>
        </a:xfrm>
        <a:prstGeom prst="rect">
          <a:avLst/>
        </a:prstGeom>
      </xdr:spPr>
    </xdr:pic>
    <xdr:clientData/>
  </xdr:twoCellAnchor>
  <xdr:twoCellAnchor editAs="oneCell">
    <xdr:from>
      <xdr:col>7</xdr:col>
      <xdr:colOff>339587</xdr:colOff>
      <xdr:row>67</xdr:row>
      <xdr:rowOff>24848</xdr:rowOff>
    </xdr:from>
    <xdr:to>
      <xdr:col>13</xdr:col>
      <xdr:colOff>681815</xdr:colOff>
      <xdr:row>71</xdr:row>
      <xdr:rowOff>110467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73587" y="14607623"/>
          <a:ext cx="5371429" cy="847619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73</xdr:row>
      <xdr:rowOff>0</xdr:rowOff>
    </xdr:from>
    <xdr:ext cx="4084836" cy="4886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00000000-0008-0000-0400-00000D000000}"/>
                </a:ext>
              </a:extLst>
            </xdr:cNvPr>
            <xdr:cNvSpPr txBox="1"/>
          </xdr:nvSpPr>
          <xdr:spPr>
            <a:xfrm>
              <a:off x="6096000" y="15725775"/>
              <a:ext cx="4084836" cy="488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latin typeface="Cambria Math" panose="02040503050406030204" pitchFamily="18" charset="0"/>
                      </a:rPr>
                      <m:t>𝑉𝑐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0,0316</m:t>
                        </m:r>
                      </m:num>
                      <m:den>
                        <m:sSup>
                          <m:sSup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2,54</m:t>
                            </m:r>
                          </m:e>
                          <m:sup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70,307</m:t>
                            </m:r>
                          </m:e>
                          <m:sup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0,5</m:t>
                            </m:r>
                          </m:sup>
                        </m:s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∗2,205</m:t>
                        </m:r>
                      </m:den>
                    </m:f>
                    <m:r>
                      <a:rPr lang="es-ES" sz="16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E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E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rad>
                      <m:radPr>
                        <m:degHide m:val="on"/>
                        <m:ctrlP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𝑓</m:t>
                            </m:r>
                          </m:e>
                          <m:sup>
                            <m:r>
                              <a:rPr lang="es-E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′</m:t>
                            </m:r>
                          </m:sup>
                        </m:sSup>
                        <m:r>
                          <a:rPr lang="es-E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</m:rad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𝑏𝑣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s-E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𝑑𝑣</m:t>
                    </m:r>
                  </m:oMath>
                </m:oMathPara>
              </a14:m>
              <a:endParaRPr lang="es-ES" sz="1600"/>
            </a:p>
          </xdr:txBody>
        </xdr:sp>
      </mc:Choice>
      <mc:Fallback xmlns="">
        <xdr:sp macro="" textlink="">
          <xdr:nvSpPr>
            <xdr:cNvPr id="13" name="CuadroTexto 12"/>
            <xdr:cNvSpPr txBox="1"/>
          </xdr:nvSpPr>
          <xdr:spPr>
            <a:xfrm>
              <a:off x="6096000" y="15725775"/>
              <a:ext cx="4084836" cy="4886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𝑉𝑐=0,0316/(〖2,54〗^2∗〖70,307〗^0,5∗2,205)∗</a:t>
              </a:r>
              <a:r>
                <a:rPr lang="es-E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𝛽∗</a:t>
              </a:r>
              <a:r>
                <a:rPr lang="es-E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√(𝑓^′ 𝑐)∗𝑏𝑣∗𝑑𝑣</a:t>
              </a:r>
              <a:endParaRPr lang="es-ES" sz="1600"/>
            </a:p>
          </xdr:txBody>
        </xdr:sp>
      </mc:Fallback>
    </mc:AlternateContent>
    <xdr:clientData/>
  </xdr:oneCellAnchor>
  <xdr:twoCellAnchor editAs="oneCell">
    <xdr:from>
      <xdr:col>14</xdr:col>
      <xdr:colOff>142875</xdr:colOff>
      <xdr:row>66</xdr:row>
      <xdr:rowOff>133350</xdr:rowOff>
    </xdr:from>
    <xdr:to>
      <xdr:col>21</xdr:col>
      <xdr:colOff>151732</xdr:colOff>
      <xdr:row>72</xdr:row>
      <xdr:rowOff>152255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810875" y="14525625"/>
          <a:ext cx="5342857" cy="11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8283</xdr:colOff>
      <xdr:row>0</xdr:row>
      <xdr:rowOff>0</xdr:rowOff>
    </xdr:from>
    <xdr:to>
      <xdr:col>15</xdr:col>
      <xdr:colOff>26070</xdr:colOff>
      <xdr:row>13</xdr:row>
      <xdr:rowOff>165652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104283" y="0"/>
          <a:ext cx="5808988" cy="2642152"/>
        </a:xfrm>
        <a:prstGeom prst="rect">
          <a:avLst/>
        </a:prstGeom>
      </xdr:spPr>
    </xdr:pic>
    <xdr:clientData/>
  </xdr:twoCellAnchor>
  <xdr:twoCellAnchor editAs="oneCell">
    <xdr:from>
      <xdr:col>14</xdr:col>
      <xdr:colOff>392206</xdr:colOff>
      <xdr:row>73</xdr:row>
      <xdr:rowOff>156883</xdr:rowOff>
    </xdr:from>
    <xdr:to>
      <xdr:col>21</xdr:col>
      <xdr:colOff>494352</xdr:colOff>
      <xdr:row>77</xdr:row>
      <xdr:rowOff>137719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060206" y="14175442"/>
          <a:ext cx="5436146" cy="9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120</xdr:row>
      <xdr:rowOff>0</xdr:rowOff>
    </xdr:from>
    <xdr:to>
      <xdr:col>12</xdr:col>
      <xdr:colOff>180418</xdr:colOff>
      <xdr:row>133</xdr:row>
      <xdr:rowOff>142548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34000" y="23212425"/>
          <a:ext cx="4447619" cy="26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267821</xdr:colOff>
      <xdr:row>125</xdr:row>
      <xdr:rowOff>139513</xdr:rowOff>
    </xdr:from>
    <xdr:to>
      <xdr:col>19</xdr:col>
      <xdr:colOff>286202</xdr:colOff>
      <xdr:row>156</xdr:row>
      <xdr:rowOff>53061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869021" y="24304438"/>
          <a:ext cx="5352381" cy="5819048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45</xdr:row>
      <xdr:rowOff>149678</xdr:rowOff>
    </xdr:from>
    <xdr:to>
      <xdr:col>25</xdr:col>
      <xdr:colOff>418524</xdr:colOff>
      <xdr:row>63</xdr:row>
      <xdr:rowOff>44487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457714" y="8844642"/>
          <a:ext cx="4609524" cy="33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H90"/>
  <sheetViews>
    <sheetView zoomScale="115" zoomScaleNormal="115" workbookViewId="0">
      <selection activeCell="D69" sqref="D69"/>
    </sheetView>
  </sheetViews>
  <sheetFormatPr defaultColWidth="11.42578125" defaultRowHeight="15" x14ac:dyDescent="0.25"/>
  <cols>
    <col min="3" max="3" width="26.5703125" customWidth="1"/>
  </cols>
  <sheetData>
    <row r="4" spans="3:7" x14ac:dyDescent="0.25">
      <c r="C4" t="s">
        <v>20</v>
      </c>
    </row>
    <row r="6" spans="3:7" x14ac:dyDescent="0.25">
      <c r="C6" s="1" t="s">
        <v>13</v>
      </c>
      <c r="D6">
        <v>8.5</v>
      </c>
      <c r="E6" t="s">
        <v>1</v>
      </c>
      <c r="F6" s="3">
        <f>D6/0.3048</f>
        <v>27.887139107611546</v>
      </c>
      <c r="G6" t="s">
        <v>5</v>
      </c>
    </row>
    <row r="7" spans="3:7" x14ac:dyDescent="0.25">
      <c r="C7" s="1" t="s">
        <v>12</v>
      </c>
      <c r="D7">
        <f>3.1</f>
        <v>3.1</v>
      </c>
      <c r="E7" t="s">
        <v>1</v>
      </c>
      <c r="F7" s="3">
        <f>D7/0.3048</f>
        <v>10.170603674540683</v>
      </c>
      <c r="G7" t="s">
        <v>5</v>
      </c>
    </row>
    <row r="8" spans="3:7" x14ac:dyDescent="0.25">
      <c r="C8" s="1" t="s">
        <v>48</v>
      </c>
      <c r="D8">
        <v>65</v>
      </c>
      <c r="E8" t="s">
        <v>3</v>
      </c>
      <c r="F8" s="3"/>
    </row>
    <row r="9" spans="3:7" x14ac:dyDescent="0.25">
      <c r="C9" s="1" t="s">
        <v>49</v>
      </c>
      <c r="D9">
        <v>5</v>
      </c>
      <c r="E9" t="s">
        <v>3</v>
      </c>
      <c r="F9" s="3"/>
    </row>
    <row r="10" spans="3:7" x14ac:dyDescent="0.25">
      <c r="C10" s="1" t="s">
        <v>46</v>
      </c>
      <c r="D10">
        <v>5</v>
      </c>
      <c r="E10" t="s">
        <v>3</v>
      </c>
      <c r="F10" s="3"/>
    </row>
    <row r="11" spans="3:7" x14ac:dyDescent="0.25">
      <c r="C11" s="1" t="s">
        <v>2</v>
      </c>
      <c r="D11">
        <v>23</v>
      </c>
      <c r="E11" t="s">
        <v>3</v>
      </c>
      <c r="F11" s="3">
        <f>D11/2.54</f>
        <v>9.0551181102362204</v>
      </c>
      <c r="G11" t="s">
        <v>4</v>
      </c>
    </row>
    <row r="12" spans="3:7" x14ac:dyDescent="0.25">
      <c r="C12" s="1" t="s">
        <v>14</v>
      </c>
      <c r="D12">
        <v>4</v>
      </c>
      <c r="F12" s="3"/>
    </row>
    <row r="13" spans="3:7" x14ac:dyDescent="0.25">
      <c r="C13" s="1" t="s">
        <v>6</v>
      </c>
      <c r="D13">
        <v>100</v>
      </c>
      <c r="E13" t="s">
        <v>3</v>
      </c>
    </row>
    <row r="14" spans="3:7" x14ac:dyDescent="0.25">
      <c r="C14" s="1" t="s">
        <v>7</v>
      </c>
      <c r="D14">
        <f>50</f>
        <v>50</v>
      </c>
      <c r="E14" t="s">
        <v>3</v>
      </c>
    </row>
    <row r="15" spans="3:7" x14ac:dyDescent="0.25">
      <c r="C15" s="1" t="s">
        <v>21</v>
      </c>
      <c r="D15">
        <v>8.6</v>
      </c>
      <c r="E15" t="s">
        <v>1</v>
      </c>
    </row>
    <row r="16" spans="3:7" x14ac:dyDescent="0.25">
      <c r="C16" s="1" t="s">
        <v>30</v>
      </c>
      <c r="D16">
        <v>60</v>
      </c>
      <c r="E16" t="s">
        <v>3</v>
      </c>
    </row>
    <row r="17" spans="3:7" x14ac:dyDescent="0.25">
      <c r="C17" s="1" t="s">
        <v>31</v>
      </c>
      <c r="D17">
        <v>30</v>
      </c>
      <c r="E17" t="s">
        <v>3</v>
      </c>
    </row>
    <row r="18" spans="3:7" x14ac:dyDescent="0.25">
      <c r="C18" s="1" t="s">
        <v>51</v>
      </c>
      <c r="D18">
        <v>100</v>
      </c>
      <c r="E18" t="s">
        <v>3</v>
      </c>
    </row>
    <row r="20" spans="3:7" x14ac:dyDescent="0.25">
      <c r="C20" s="4" t="s">
        <v>8</v>
      </c>
      <c r="D20">
        <f>D14*(D13^3)/12+((D13/2+D11/2)^2)*D14*D13</f>
        <v>23077916.666666668</v>
      </c>
      <c r="E20" t="s">
        <v>9</v>
      </c>
      <c r="F20">
        <f>D20/(2.54^4)</f>
        <v>554449.16571111174</v>
      </c>
      <c r="G20" t="s">
        <v>11</v>
      </c>
    </row>
    <row r="22" spans="3:7" x14ac:dyDescent="0.25">
      <c r="D22">
        <f>(D13/2+D11/2)</f>
        <v>61.5</v>
      </c>
    </row>
    <row r="23" spans="3:7" x14ac:dyDescent="0.25">
      <c r="C23" s="1" t="s">
        <v>10</v>
      </c>
    </row>
    <row r="24" spans="3:7" x14ac:dyDescent="0.25">
      <c r="C24" t="s">
        <v>16</v>
      </c>
      <c r="D24" t="str">
        <f>IF(AND(F7&gt;=3.5,F7&lt;=16),"cumple","no cumple")</f>
        <v>cumple</v>
      </c>
    </row>
    <row r="25" spans="3:7" x14ac:dyDescent="0.25">
      <c r="C25" t="s">
        <v>17</v>
      </c>
      <c r="D25" t="str">
        <f>IF(AND(F11&gt;=4.5,F11&lt;=12),"cumple","no cumple")</f>
        <v>cumple</v>
      </c>
    </row>
    <row r="26" spans="3:7" x14ac:dyDescent="0.25">
      <c r="C26" t="s">
        <v>0</v>
      </c>
      <c r="D26" t="str">
        <f>IF(AND(F6&gt;=20,F6&lt;=240),"cumple","no cumple")</f>
        <v>cumple</v>
      </c>
    </row>
    <row r="27" spans="3:7" x14ac:dyDescent="0.25">
      <c r="C27" t="s">
        <v>18</v>
      </c>
      <c r="D27" t="str">
        <f>IF(D12&gt;=4,"cumple","no cumple")</f>
        <v>cumple</v>
      </c>
    </row>
    <row r="28" spans="3:7" x14ac:dyDescent="0.25">
      <c r="C28" t="s">
        <v>19</v>
      </c>
      <c r="D28" t="str">
        <f>IF(AND(F20&gt;=10000,F20&lt;=7000000),"cumple","no cumple")</f>
        <v>cumple</v>
      </c>
    </row>
    <row r="30" spans="3:7" x14ac:dyDescent="0.25">
      <c r="C30" t="s">
        <v>22</v>
      </c>
      <c r="D30">
        <f>ROUNDDOWN(D15/3.6,0)</f>
        <v>2</v>
      </c>
    </row>
    <row r="32" spans="3:7" x14ac:dyDescent="0.25">
      <c r="C32" s="1" t="s">
        <v>23</v>
      </c>
    </row>
    <row r="33" spans="3:7" x14ac:dyDescent="0.25">
      <c r="C33" t="s">
        <v>24</v>
      </c>
      <c r="D33">
        <f>1.2</f>
        <v>1.2</v>
      </c>
    </row>
    <row r="34" spans="3:7" x14ac:dyDescent="0.25">
      <c r="C34" t="s">
        <v>25</v>
      </c>
      <c r="D34">
        <v>1</v>
      </c>
    </row>
    <row r="36" spans="3:7" x14ac:dyDescent="0.25">
      <c r="C36" s="1" t="s">
        <v>26</v>
      </c>
    </row>
    <row r="37" spans="3:7" x14ac:dyDescent="0.25">
      <c r="C37" t="s">
        <v>27</v>
      </c>
      <c r="D37" s="2">
        <f>D33*(0.06+((F7/14)^0.4)*((F7/F6)^0.3)*((D20/(12*(D11^3)*D6*100))^0.1))</f>
        <v>0.73146666384838355</v>
      </c>
    </row>
    <row r="38" spans="3:7" x14ac:dyDescent="0.25">
      <c r="C38" t="s">
        <v>28</v>
      </c>
      <c r="D38" s="2">
        <f>D34*(0.075+((F7/9.5)^0.6)*((F7/F6)^0.2)*((D20/(12*(D11^3)*D6*100))^0.1))</f>
        <v>0.79462082236624987</v>
      </c>
    </row>
    <row r="40" spans="3:7" x14ac:dyDescent="0.25">
      <c r="C40" t="s">
        <v>29</v>
      </c>
      <c r="D40" s="2">
        <f>MAX(D37:D38)</f>
        <v>0.79462082236624987</v>
      </c>
    </row>
    <row r="42" spans="3:7" x14ac:dyDescent="0.25">
      <c r="C42" t="s">
        <v>32</v>
      </c>
      <c r="D42">
        <f>D16-D17</f>
        <v>30</v>
      </c>
      <c r="E42" t="s">
        <v>3</v>
      </c>
      <c r="F42" s="3">
        <f>D42/30.48</f>
        <v>0.98425196850393704</v>
      </c>
      <c r="G42" t="s">
        <v>5</v>
      </c>
    </row>
    <row r="43" spans="3:7" x14ac:dyDescent="0.25">
      <c r="C43" t="s">
        <v>35</v>
      </c>
      <c r="D43" s="2">
        <f>0.77+F42/9.1</f>
        <v>0.8781595569784546</v>
      </c>
    </row>
    <row r="45" spans="3:7" x14ac:dyDescent="0.25">
      <c r="C45" t="s">
        <v>33</v>
      </c>
    </row>
    <row r="46" spans="3:7" x14ac:dyDescent="0.25">
      <c r="C46">
        <f>3.1-(0.6-D42/100)</f>
        <v>2.8000000000000003</v>
      </c>
    </row>
    <row r="47" spans="3:7" x14ac:dyDescent="0.25">
      <c r="C47" t="s">
        <v>34</v>
      </c>
    </row>
    <row r="48" spans="3:7" x14ac:dyDescent="0.25">
      <c r="C48">
        <f>C46-1.8</f>
        <v>1.0000000000000002</v>
      </c>
    </row>
    <row r="51" spans="3:5" x14ac:dyDescent="0.25">
      <c r="C51" t="s">
        <v>36</v>
      </c>
      <c r="D51" s="2">
        <f>D33*0.5*(C48+C46)/D7</f>
        <v>0.73548387096774204</v>
      </c>
    </row>
    <row r="52" spans="3:5" x14ac:dyDescent="0.25">
      <c r="C52" t="s">
        <v>37</v>
      </c>
      <c r="D52" s="2">
        <f>D43*D38</f>
        <v>0.69780386933500127</v>
      </c>
    </row>
    <row r="53" spans="3:5" x14ac:dyDescent="0.25">
      <c r="C53" t="s">
        <v>58</v>
      </c>
      <c r="D53" s="2">
        <f>MAX(D51:D52)</f>
        <v>0.73548387096774204</v>
      </c>
    </row>
    <row r="55" spans="3:5" x14ac:dyDescent="0.25">
      <c r="C55" s="1" t="s">
        <v>38</v>
      </c>
    </row>
    <row r="56" spans="3:5" x14ac:dyDescent="0.25">
      <c r="C56" t="s">
        <v>39</v>
      </c>
      <c r="D56">
        <f>D7</f>
        <v>3.1</v>
      </c>
      <c r="E56" t="s">
        <v>1</v>
      </c>
    </row>
    <row r="57" spans="3:5" x14ac:dyDescent="0.25">
      <c r="C57" t="s">
        <v>40</v>
      </c>
      <c r="D57">
        <f>D56/2+D16/100</f>
        <v>2.15</v>
      </c>
      <c r="E57" t="s">
        <v>1</v>
      </c>
    </row>
    <row r="59" spans="3:5" x14ac:dyDescent="0.25">
      <c r="C59" t="s">
        <v>43</v>
      </c>
      <c r="D59" s="3">
        <f>2.4*D56*D11/100</f>
        <v>1.7111999999999998</v>
      </c>
      <c r="E59" t="s">
        <v>42</v>
      </c>
    </row>
    <row r="60" spans="3:5" x14ac:dyDescent="0.25">
      <c r="C60" t="s">
        <v>41</v>
      </c>
      <c r="D60" s="3">
        <f>2.4*D57*D11/100</f>
        <v>1.1867999999999999</v>
      </c>
      <c r="E60" t="s">
        <v>42</v>
      </c>
    </row>
    <row r="61" spans="3:5" x14ac:dyDescent="0.25">
      <c r="C61" t="s">
        <v>44</v>
      </c>
      <c r="D61">
        <f>2.24*D10*D56/100</f>
        <v>0.34720000000000006</v>
      </c>
      <c r="E61" t="s">
        <v>42</v>
      </c>
    </row>
    <row r="62" spans="3:5" x14ac:dyDescent="0.25">
      <c r="C62" t="s">
        <v>45</v>
      </c>
      <c r="D62">
        <f>2.24*D10*D57/100</f>
        <v>0.24080000000000001</v>
      </c>
      <c r="E62" t="s">
        <v>42</v>
      </c>
    </row>
    <row r="63" spans="3:5" x14ac:dyDescent="0.25">
      <c r="C63" t="s">
        <v>47</v>
      </c>
      <c r="D63">
        <f>2.4*D17*D18/10000</f>
        <v>0.72</v>
      </c>
      <c r="E63" t="s">
        <v>42</v>
      </c>
    </row>
    <row r="64" spans="3:5" x14ac:dyDescent="0.25">
      <c r="C64" s="1" t="s">
        <v>52</v>
      </c>
      <c r="D64">
        <f>D63*2/D12</f>
        <v>0.36</v>
      </c>
      <c r="E64" t="s">
        <v>42</v>
      </c>
    </row>
    <row r="65" spans="3:8" x14ac:dyDescent="0.25">
      <c r="C65" t="s">
        <v>50</v>
      </c>
      <c r="D65">
        <f>D8*D9*2.4/10000</f>
        <v>7.8E-2</v>
      </c>
      <c r="E65" t="s">
        <v>42</v>
      </c>
    </row>
    <row r="66" spans="3:8" x14ac:dyDescent="0.25">
      <c r="C66" s="1" t="s">
        <v>53</v>
      </c>
      <c r="D66" s="2">
        <f>D65*2/D12</f>
        <v>3.9E-2</v>
      </c>
      <c r="E66" t="s">
        <v>42</v>
      </c>
    </row>
    <row r="67" spans="3:8" x14ac:dyDescent="0.25">
      <c r="C67" s="4" t="s">
        <v>65</v>
      </c>
      <c r="D67" s="2">
        <f>D13*D14*2.4/10000</f>
        <v>1.2</v>
      </c>
      <c r="E67" t="s">
        <v>42</v>
      </c>
    </row>
    <row r="69" spans="3:8" x14ac:dyDescent="0.25">
      <c r="C69" s="1" t="s">
        <v>54</v>
      </c>
      <c r="D69">
        <f>63.93</f>
        <v>63.93</v>
      </c>
      <c r="E69" t="s">
        <v>55</v>
      </c>
      <c r="F69" t="s">
        <v>56</v>
      </c>
    </row>
    <row r="70" spans="3:8" x14ac:dyDescent="0.25">
      <c r="F70" t="s">
        <v>57</v>
      </c>
    </row>
    <row r="71" spans="3:8" x14ac:dyDescent="0.25">
      <c r="C71" s="1" t="s">
        <v>59</v>
      </c>
    </row>
    <row r="72" spans="3:8" ht="15.75" x14ac:dyDescent="0.25">
      <c r="C72" s="5" t="s">
        <v>60</v>
      </c>
      <c r="D72">
        <f>1.25</f>
        <v>1.25</v>
      </c>
    </row>
    <row r="73" spans="3:8" ht="15.75" x14ac:dyDescent="0.25">
      <c r="C73" s="5" t="s">
        <v>61</v>
      </c>
      <c r="D73">
        <f>1.5</f>
        <v>1.5</v>
      </c>
    </row>
    <row r="74" spans="3:8" ht="15.75" x14ac:dyDescent="0.25">
      <c r="C74" s="5" t="s">
        <v>62</v>
      </c>
      <c r="D74">
        <v>1.75</v>
      </c>
    </row>
    <row r="78" spans="3:8" x14ac:dyDescent="0.25">
      <c r="C78" s="1" t="s">
        <v>63</v>
      </c>
      <c r="F78" t="s">
        <v>91</v>
      </c>
    </row>
    <row r="79" spans="3:8" x14ac:dyDescent="0.25">
      <c r="C79" t="s">
        <v>64</v>
      </c>
      <c r="D79" s="3">
        <f>D69*D74*D40</f>
        <v>88.900191054280114</v>
      </c>
      <c r="E79" t="s">
        <v>55</v>
      </c>
    </row>
    <row r="80" spans="3:8" x14ac:dyDescent="0.25">
      <c r="C80" t="s">
        <v>66</v>
      </c>
      <c r="D80" s="3">
        <f>D72*((D6^2)/8)*(D64+D66+D59+D67)</f>
        <v>37.369054687500004</v>
      </c>
      <c r="E80" t="s">
        <v>55</v>
      </c>
      <c r="H80" s="2"/>
    </row>
    <row r="81" spans="3:5" x14ac:dyDescent="0.25">
      <c r="C81" t="s">
        <v>67</v>
      </c>
      <c r="D81" s="3">
        <f>D73*((D6^2)/8)*(D61)</f>
        <v>4.703475000000001</v>
      </c>
      <c r="E81" t="s">
        <v>55</v>
      </c>
    </row>
    <row r="83" spans="3:5" x14ac:dyDescent="0.25">
      <c r="C83" t="s">
        <v>68</v>
      </c>
      <c r="D83" s="3">
        <f>SUM(D79:D81)</f>
        <v>130.97272074178011</v>
      </c>
      <c r="E83" t="s">
        <v>55</v>
      </c>
    </row>
    <row r="85" spans="3:5" x14ac:dyDescent="0.25">
      <c r="C85" s="1" t="s">
        <v>100</v>
      </c>
    </row>
    <row r="86" spans="3:5" x14ac:dyDescent="0.25">
      <c r="C86" t="s">
        <v>101</v>
      </c>
      <c r="D86" s="3">
        <f>D69*D74*D53</f>
        <v>82.284096774193557</v>
      </c>
      <c r="E86" t="s">
        <v>55</v>
      </c>
    </row>
    <row r="87" spans="3:5" x14ac:dyDescent="0.25">
      <c r="C87" t="s">
        <v>102</v>
      </c>
      <c r="D87" s="3">
        <f>D72*((D6^2)/8)*(D64+D66+D60+D67)</f>
        <v>31.449070312500002</v>
      </c>
      <c r="E87" t="s">
        <v>55</v>
      </c>
    </row>
    <row r="88" spans="3:5" x14ac:dyDescent="0.25">
      <c r="C88" t="s">
        <v>103</v>
      </c>
      <c r="D88" s="3">
        <f>D73*((D6^2)/8)*(D62)</f>
        <v>3.2620875000000003</v>
      </c>
      <c r="E88" t="s">
        <v>55</v>
      </c>
    </row>
    <row r="90" spans="3:5" x14ac:dyDescent="0.25">
      <c r="C90" t="s">
        <v>78</v>
      </c>
      <c r="D90" s="3">
        <f>SUM(D86:D88)</f>
        <v>116.99525458669356</v>
      </c>
      <c r="E90" t="s">
        <v>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M26"/>
  <sheetViews>
    <sheetView zoomScale="115" zoomScaleNormal="115" workbookViewId="0">
      <selection activeCell="E19" sqref="E19"/>
    </sheetView>
  </sheetViews>
  <sheetFormatPr defaultColWidth="11.42578125" defaultRowHeight="15" x14ac:dyDescent="0.25"/>
  <cols>
    <col min="9" max="9" width="0" hidden="1" customWidth="1"/>
  </cols>
  <sheetData>
    <row r="2" spans="4:13" x14ac:dyDescent="0.25">
      <c r="D2" t="s">
        <v>69</v>
      </c>
      <c r="E2">
        <v>4200</v>
      </c>
    </row>
    <row r="3" spans="4:13" x14ac:dyDescent="0.25">
      <c r="D3" t="s">
        <v>70</v>
      </c>
      <c r="E3">
        <v>280</v>
      </c>
    </row>
    <row r="5" spans="4:13" x14ac:dyDescent="0.25">
      <c r="D5" t="s">
        <v>71</v>
      </c>
      <c r="E5">
        <f>'Cálculo hasta momentos'!D11+'Cálculo hasta momentos'!D13</f>
        <v>123</v>
      </c>
      <c r="F5" t="s">
        <v>3</v>
      </c>
    </row>
    <row r="6" spans="4:13" x14ac:dyDescent="0.25">
      <c r="D6" t="s">
        <v>39</v>
      </c>
      <c r="E6">
        <f>'Cálculo hasta momentos'!D56*100</f>
        <v>310</v>
      </c>
      <c r="F6" t="s">
        <v>3</v>
      </c>
    </row>
    <row r="7" spans="4:13" x14ac:dyDescent="0.25">
      <c r="D7" t="s">
        <v>72</v>
      </c>
      <c r="E7">
        <v>28</v>
      </c>
      <c r="F7" t="s">
        <v>73</v>
      </c>
      <c r="G7" t="s">
        <v>92</v>
      </c>
    </row>
    <row r="8" spans="4:13" x14ac:dyDescent="0.25">
      <c r="D8" t="s">
        <v>15</v>
      </c>
      <c r="E8">
        <v>5</v>
      </c>
      <c r="F8" t="s">
        <v>3</v>
      </c>
      <c r="H8" t="s">
        <v>93</v>
      </c>
      <c r="I8">
        <f>MAX(1.5*E7/10,1.5*2.54)</f>
        <v>4.2</v>
      </c>
      <c r="J8">
        <f>MAX(E7*1.5/10,2.54*1.5)</f>
        <v>4.2</v>
      </c>
      <c r="K8" t="s">
        <v>3</v>
      </c>
    </row>
    <row r="9" spans="4:13" x14ac:dyDescent="0.25">
      <c r="D9" t="s">
        <v>74</v>
      </c>
      <c r="E9">
        <v>6</v>
      </c>
      <c r="F9" t="s">
        <v>3</v>
      </c>
      <c r="H9" t="s">
        <v>94</v>
      </c>
      <c r="J9">
        <f>1.5</f>
        <v>1.5</v>
      </c>
      <c r="K9" t="s">
        <v>4</v>
      </c>
      <c r="L9">
        <f>J9*2.54</f>
        <v>3.81</v>
      </c>
      <c r="M9" t="s">
        <v>3</v>
      </c>
    </row>
    <row r="10" spans="4:13" x14ac:dyDescent="0.25">
      <c r="D10" t="s">
        <v>75</v>
      </c>
      <c r="E10">
        <v>110.3</v>
      </c>
      <c r="F10" t="s">
        <v>3</v>
      </c>
    </row>
    <row r="11" spans="4:13" x14ac:dyDescent="0.25">
      <c r="D11" t="s">
        <v>76</v>
      </c>
      <c r="E11">
        <v>14</v>
      </c>
      <c r="F11" t="s">
        <v>73</v>
      </c>
    </row>
    <row r="12" spans="4:13" x14ac:dyDescent="0.25">
      <c r="D12" t="s">
        <v>77</v>
      </c>
      <c r="E12">
        <v>0.9</v>
      </c>
    </row>
    <row r="13" spans="4:13" x14ac:dyDescent="0.25">
      <c r="D13" t="s">
        <v>68</v>
      </c>
      <c r="E13" s="3">
        <f>'Cálculo hasta momentos'!D83</f>
        <v>130.97272074178011</v>
      </c>
      <c r="F13" t="s">
        <v>55</v>
      </c>
    </row>
    <row r="14" spans="4:13" x14ac:dyDescent="0.25">
      <c r="D14" t="s">
        <v>79</v>
      </c>
      <c r="E14" s="3">
        <f>(E13*10^5)/(E12*(E10^2)*E6)</f>
        <v>3.8585632282857003</v>
      </c>
      <c r="F14" t="s">
        <v>80</v>
      </c>
    </row>
    <row r="15" spans="4:13" ht="15.75" x14ac:dyDescent="0.25">
      <c r="D15" s="5" t="s">
        <v>81</v>
      </c>
      <c r="E15" s="2">
        <f>0.85*(E3/E2)*(1-SQRT(1-2*E14/(0.85*E3)))*100</f>
        <v>9.2627600618809661E-2</v>
      </c>
      <c r="F15" t="s">
        <v>82</v>
      </c>
    </row>
    <row r="16" spans="4:13" x14ac:dyDescent="0.25">
      <c r="D16" t="s">
        <v>83</v>
      </c>
      <c r="E16" s="3">
        <f>E15*E6*E10/100</f>
        <v>31.672155479589588</v>
      </c>
      <c r="F16" t="s">
        <v>84</v>
      </c>
    </row>
    <row r="17" spans="3:11" x14ac:dyDescent="0.25">
      <c r="D17" t="s">
        <v>85</v>
      </c>
      <c r="E17" s="3">
        <f>E16*E2/(0.85*E3*E6)</f>
        <v>1.8029690026331833</v>
      </c>
      <c r="F17" t="s">
        <v>3</v>
      </c>
      <c r="G17" t="s">
        <v>17</v>
      </c>
      <c r="H17">
        <f>'Cálculo hasta momentos'!D11</f>
        <v>23</v>
      </c>
      <c r="J17" t="s">
        <v>3</v>
      </c>
      <c r="K17" t="s">
        <v>95</v>
      </c>
    </row>
    <row r="18" spans="3:11" x14ac:dyDescent="0.25">
      <c r="D18" t="s">
        <v>86</v>
      </c>
      <c r="E18" s="3">
        <f>PI()*((E7/10)^2)/4</f>
        <v>6.1575216010359934</v>
      </c>
      <c r="F18" t="s">
        <v>84</v>
      </c>
      <c r="K18" t="s">
        <v>96</v>
      </c>
    </row>
    <row r="19" spans="3:11" x14ac:dyDescent="0.25">
      <c r="D19" t="s">
        <v>87</v>
      </c>
      <c r="E19" s="3">
        <f>E16/E18</f>
        <v>5.1436531662772884</v>
      </c>
    </row>
    <row r="20" spans="3:11" x14ac:dyDescent="0.25">
      <c r="D20" t="s">
        <v>88</v>
      </c>
      <c r="E20">
        <v>6</v>
      </c>
    </row>
    <row r="23" spans="3:11" x14ac:dyDescent="0.25">
      <c r="C23" s="17"/>
      <c r="D23" s="17"/>
    </row>
    <row r="24" spans="3:11" x14ac:dyDescent="0.25">
      <c r="C24" s="17" t="s">
        <v>89</v>
      </c>
      <c r="D24" s="17"/>
      <c r="E24">
        <f>E20*E7/20+(E20/2-1)*E8+2*E9+2*E11/10</f>
        <v>33.199999999999996</v>
      </c>
      <c r="F24" t="s">
        <v>3</v>
      </c>
      <c r="G24" t="s">
        <v>97</v>
      </c>
      <c r="H24">
        <f>'Cálculo hasta momentos'!D14</f>
        <v>50</v>
      </c>
      <c r="J24" t="s">
        <v>3</v>
      </c>
      <c r="K24" t="s">
        <v>98</v>
      </c>
    </row>
    <row r="26" spans="3:11" x14ac:dyDescent="0.25">
      <c r="D26" t="s">
        <v>90</v>
      </c>
      <c r="E26">
        <f>E5-E9-E11/10-E7/10-E8/2</f>
        <v>110.3</v>
      </c>
      <c r="F26" t="s">
        <v>3</v>
      </c>
      <c r="G26" t="s">
        <v>99</v>
      </c>
    </row>
  </sheetData>
  <mergeCells count="2">
    <mergeCell ref="C23:D23"/>
    <mergeCell ref="C24:D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26"/>
  <sheetViews>
    <sheetView zoomScale="115" zoomScaleNormal="115" workbookViewId="0">
      <selection activeCell="K17" sqref="K17"/>
    </sheetView>
  </sheetViews>
  <sheetFormatPr defaultColWidth="11.42578125" defaultRowHeight="15" x14ac:dyDescent="0.25"/>
  <cols>
    <col min="9" max="9" width="0" hidden="1" customWidth="1"/>
  </cols>
  <sheetData>
    <row r="2" spans="4:13" x14ac:dyDescent="0.25">
      <c r="D2" t="s">
        <v>69</v>
      </c>
      <c r="E2">
        <v>4200</v>
      </c>
    </row>
    <row r="3" spans="4:13" x14ac:dyDescent="0.25">
      <c r="D3" t="s">
        <v>70</v>
      </c>
      <c r="E3">
        <v>280</v>
      </c>
    </row>
    <row r="5" spans="4:13" x14ac:dyDescent="0.25">
      <c r="D5" t="s">
        <v>71</v>
      </c>
      <c r="E5">
        <f>'Cálculo hasta momentos'!D11+'Cálculo hasta momentos'!D13</f>
        <v>123</v>
      </c>
      <c r="F5" t="s">
        <v>3</v>
      </c>
    </row>
    <row r="6" spans="4:13" x14ac:dyDescent="0.25">
      <c r="D6" t="s">
        <v>40</v>
      </c>
      <c r="E6">
        <f>'Cálculo hasta momentos'!D57*100</f>
        <v>215</v>
      </c>
      <c r="F6" t="s">
        <v>3</v>
      </c>
    </row>
    <row r="7" spans="4:13" x14ac:dyDescent="0.25">
      <c r="D7" t="s">
        <v>72</v>
      </c>
      <c r="E7">
        <v>28</v>
      </c>
      <c r="F7" t="s">
        <v>73</v>
      </c>
      <c r="G7" t="s">
        <v>92</v>
      </c>
    </row>
    <row r="8" spans="4:13" x14ac:dyDescent="0.25">
      <c r="D8" t="s">
        <v>15</v>
      </c>
      <c r="E8">
        <v>5</v>
      </c>
      <c r="F8" t="s">
        <v>3</v>
      </c>
      <c r="H8" t="s">
        <v>93</v>
      </c>
      <c r="I8">
        <f>MAX(1.5*E7/10,1.5*2.54)</f>
        <v>4.2</v>
      </c>
      <c r="J8">
        <f>MAX(E7*1.5/10,2.54*1.5)</f>
        <v>4.2</v>
      </c>
      <c r="K8" t="s">
        <v>3</v>
      </c>
    </row>
    <row r="9" spans="4:13" x14ac:dyDescent="0.25">
      <c r="D9" t="s">
        <v>74</v>
      </c>
      <c r="E9">
        <v>6</v>
      </c>
      <c r="F9" t="s">
        <v>3</v>
      </c>
      <c r="H9" t="s">
        <v>94</v>
      </c>
      <c r="J9">
        <f>1.5</f>
        <v>1.5</v>
      </c>
      <c r="K9" t="s">
        <v>4</v>
      </c>
      <c r="L9">
        <f>J9*2.54</f>
        <v>3.81</v>
      </c>
      <c r="M9" t="s">
        <v>3</v>
      </c>
    </row>
    <row r="10" spans="4:13" x14ac:dyDescent="0.25">
      <c r="D10" t="s">
        <v>75</v>
      </c>
      <c r="E10">
        <v>114.2</v>
      </c>
      <c r="F10" t="s">
        <v>3</v>
      </c>
    </row>
    <row r="11" spans="4:13" x14ac:dyDescent="0.25">
      <c r="D11" t="s">
        <v>76</v>
      </c>
      <c r="E11">
        <v>14</v>
      </c>
      <c r="F11" t="s">
        <v>73</v>
      </c>
    </row>
    <row r="12" spans="4:13" x14ac:dyDescent="0.25">
      <c r="D12" t="s">
        <v>77</v>
      </c>
      <c r="E12">
        <v>0.9</v>
      </c>
    </row>
    <row r="13" spans="4:13" x14ac:dyDescent="0.25">
      <c r="D13" t="s">
        <v>78</v>
      </c>
      <c r="E13" s="3">
        <f>'Cálculo hasta momentos'!D90</f>
        <v>116.99525458669356</v>
      </c>
      <c r="F13" t="s">
        <v>55</v>
      </c>
    </row>
    <row r="14" spans="4:13" x14ac:dyDescent="0.25">
      <c r="D14" t="s">
        <v>79</v>
      </c>
      <c r="E14" s="3">
        <f>(E13*10^5)/(E12*(E10^2)*E6)</f>
        <v>4.6361242810790877</v>
      </c>
      <c r="F14" t="s">
        <v>80</v>
      </c>
    </row>
    <row r="15" spans="4:13" ht="15.75" x14ac:dyDescent="0.25">
      <c r="D15" s="5" t="s">
        <v>81</v>
      </c>
      <c r="E15" s="2">
        <f>0.85*(E3/E2)*(1-SQRT(1-2*E14/(0.85*E3)))*100</f>
        <v>0.11148049085196346</v>
      </c>
      <c r="F15" t="s">
        <v>82</v>
      </c>
    </row>
    <row r="16" spans="4:13" x14ac:dyDescent="0.25">
      <c r="D16" t="s">
        <v>83</v>
      </c>
      <c r="E16" s="3">
        <f>E15*E6*E10/100</f>
        <v>27.371804918882589</v>
      </c>
      <c r="F16" t="s">
        <v>84</v>
      </c>
    </row>
    <row r="17" spans="3:11" x14ac:dyDescent="0.25">
      <c r="D17" t="s">
        <v>85</v>
      </c>
      <c r="E17" s="3">
        <f>E16*E2/(0.85*E3*E6)</f>
        <v>2.2466597744636871</v>
      </c>
      <c r="F17" t="s">
        <v>3</v>
      </c>
      <c r="G17" t="s">
        <v>17</v>
      </c>
      <c r="H17">
        <f>'Cálculo hasta momentos'!D11</f>
        <v>23</v>
      </c>
      <c r="J17" t="s">
        <v>3</v>
      </c>
      <c r="K17" t="s">
        <v>95</v>
      </c>
    </row>
    <row r="18" spans="3:11" x14ac:dyDescent="0.25">
      <c r="D18" t="s">
        <v>86</v>
      </c>
      <c r="E18" s="3">
        <f>PI()*((E7/10)^2)/4</f>
        <v>6.1575216010359934</v>
      </c>
      <c r="F18" t="s">
        <v>84</v>
      </c>
      <c r="K18" t="s">
        <v>96</v>
      </c>
    </row>
    <row r="19" spans="3:11" x14ac:dyDescent="0.25">
      <c r="D19" t="s">
        <v>87</v>
      </c>
      <c r="E19" s="3">
        <f>E16/E18</f>
        <v>4.4452633205992038</v>
      </c>
    </row>
    <row r="20" spans="3:11" x14ac:dyDescent="0.25">
      <c r="D20" t="s">
        <v>88</v>
      </c>
      <c r="E20">
        <v>5</v>
      </c>
    </row>
    <row r="23" spans="3:11" x14ac:dyDescent="0.25">
      <c r="C23" s="17"/>
      <c r="D23" s="17"/>
    </row>
    <row r="24" spans="3:11" x14ac:dyDescent="0.25">
      <c r="C24" s="17" t="s">
        <v>104</v>
      </c>
      <c r="D24" s="17"/>
      <c r="E24">
        <f>5*E7/10+(5-1)*E8+2*E9+2*E11/10</f>
        <v>48.8</v>
      </c>
      <c r="F24" t="s">
        <v>3</v>
      </c>
      <c r="G24" t="s">
        <v>97</v>
      </c>
      <c r="H24">
        <f>'Cálculo hasta momentos'!D14</f>
        <v>50</v>
      </c>
      <c r="J24" t="s">
        <v>3</v>
      </c>
      <c r="K24" t="s">
        <v>98</v>
      </c>
    </row>
    <row r="26" spans="3:11" x14ac:dyDescent="0.25">
      <c r="D26" t="s">
        <v>90</v>
      </c>
      <c r="E26">
        <f>E5-E9-E11/10-E7/20</f>
        <v>114.19999999999999</v>
      </c>
      <c r="F26" t="s">
        <v>3</v>
      </c>
      <c r="G26" t="s">
        <v>99</v>
      </c>
    </row>
  </sheetData>
  <mergeCells count="2">
    <mergeCell ref="C23:D23"/>
    <mergeCell ref="C24:D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136"/>
  <sheetViews>
    <sheetView topLeftCell="A104" zoomScaleNormal="100" workbookViewId="0">
      <selection activeCell="H124" sqref="H124"/>
    </sheetView>
  </sheetViews>
  <sheetFormatPr defaultColWidth="11.42578125" defaultRowHeight="15" x14ac:dyDescent="0.25"/>
  <cols>
    <col min="2" max="2" width="28.7109375" style="8" customWidth="1"/>
    <col min="3" max="3" width="8" style="6" customWidth="1"/>
    <col min="4" max="4" width="8.140625" style="6" customWidth="1"/>
    <col min="6" max="6" width="4.140625" customWidth="1"/>
    <col min="7" max="7" width="8.140625" customWidth="1"/>
  </cols>
  <sheetData>
    <row r="2" spans="2:7" x14ac:dyDescent="0.25">
      <c r="B2" s="9"/>
    </row>
    <row r="3" spans="2:7" x14ac:dyDescent="0.25">
      <c r="B3" s="9" t="s">
        <v>12</v>
      </c>
      <c r="C3" s="7">
        <v>3.1</v>
      </c>
      <c r="D3" s="6" t="s">
        <v>1</v>
      </c>
      <c r="E3" s="7">
        <f>C3/0.3048</f>
        <v>10.170603674540683</v>
      </c>
      <c r="F3" t="s">
        <v>5</v>
      </c>
      <c r="G3" t="str">
        <f>IF(AND(E3&gt;=3.5,E3&lt;=16),"cumple","no cumple")</f>
        <v>cumple</v>
      </c>
    </row>
    <row r="4" spans="2:7" x14ac:dyDescent="0.25">
      <c r="B4" s="9" t="s">
        <v>105</v>
      </c>
      <c r="C4" s="7">
        <v>8.5</v>
      </c>
      <c r="D4" s="6" t="s">
        <v>1</v>
      </c>
      <c r="E4" s="7">
        <f>C4/0.3048</f>
        <v>27.887139107611546</v>
      </c>
      <c r="F4" t="s">
        <v>5</v>
      </c>
      <c r="G4" t="str">
        <f>IF(AND(E4&gt;=20,E4&lt;=240),"cumple","no cumple")</f>
        <v>cumple</v>
      </c>
    </row>
    <row r="5" spans="2:7" x14ac:dyDescent="0.25">
      <c r="B5" s="9" t="s">
        <v>106</v>
      </c>
      <c r="C5" s="7">
        <v>23</v>
      </c>
      <c r="D5" s="6" t="s">
        <v>3</v>
      </c>
      <c r="E5" s="7">
        <f>C5/2.54</f>
        <v>9.0551181102362204</v>
      </c>
      <c r="F5" t="s">
        <v>4</v>
      </c>
      <c r="G5" t="str">
        <f>IF(AND(E5&gt;=4.5,E5&lt;=12),"cumple","no cumple")</f>
        <v>cumple</v>
      </c>
    </row>
    <row r="6" spans="2:7" x14ac:dyDescent="0.25">
      <c r="B6" s="9" t="s">
        <v>107</v>
      </c>
      <c r="C6" s="7">
        <v>4</v>
      </c>
      <c r="G6" t="str">
        <f>IF(C6&gt;=4,"cumple","no cumple")</f>
        <v>cumple</v>
      </c>
    </row>
    <row r="7" spans="2:7" x14ac:dyDescent="0.25">
      <c r="B7" s="9"/>
      <c r="C7" s="7"/>
    </row>
    <row r="8" spans="2:7" x14ac:dyDescent="0.25">
      <c r="B8" s="9" t="s">
        <v>27</v>
      </c>
      <c r="C8" s="7">
        <f>1.2*(0.36+E3/25)</f>
        <v>0.92018897637795272</v>
      </c>
    </row>
    <row r="9" spans="2:7" x14ac:dyDescent="0.25">
      <c r="B9" s="9" t="s">
        <v>28</v>
      </c>
      <c r="C9" s="7">
        <f>1*(0.2+E3/12-(E3/35)^2)</f>
        <v>0.96310852735084151</v>
      </c>
    </row>
    <row r="10" spans="2:7" x14ac:dyDescent="0.25">
      <c r="C10" s="7"/>
    </row>
    <row r="11" spans="2:7" x14ac:dyDescent="0.25">
      <c r="B11" s="9" t="s">
        <v>29</v>
      </c>
      <c r="C11" s="7">
        <f>MAX(C8:C9)</f>
        <v>0.96310852735084151</v>
      </c>
    </row>
    <row r="12" spans="2:7" ht="28.5" x14ac:dyDescent="0.45">
      <c r="B12" s="19" t="s">
        <v>156</v>
      </c>
      <c r="C12" s="19"/>
      <c r="D12" s="19"/>
    </row>
    <row r="13" spans="2:7" x14ac:dyDescent="0.25">
      <c r="B13" s="18" t="s">
        <v>108</v>
      </c>
      <c r="C13" s="18"/>
      <c r="D13" s="18"/>
      <c r="E13" s="18"/>
    </row>
    <row r="14" spans="2:7" x14ac:dyDescent="0.25">
      <c r="C14" s="7"/>
    </row>
    <row r="15" spans="2:7" x14ac:dyDescent="0.25">
      <c r="B15" s="8" t="s">
        <v>109</v>
      </c>
      <c r="C15" s="7"/>
    </row>
    <row r="16" spans="2:7" x14ac:dyDescent="0.25">
      <c r="B16" s="8" t="s">
        <v>110</v>
      </c>
      <c r="C16" s="7">
        <f>C4/C4</f>
        <v>1</v>
      </c>
    </row>
    <row r="17" spans="2:4" x14ac:dyDescent="0.25">
      <c r="B17" s="8" t="s">
        <v>111</v>
      </c>
      <c r="C17" s="7">
        <f>(C4-4.27)/C4</f>
        <v>0.49764705882352944</v>
      </c>
    </row>
    <row r="18" spans="2:4" x14ac:dyDescent="0.25">
      <c r="B18" s="8" t="s">
        <v>112</v>
      </c>
      <c r="C18" s="7">
        <f>14.51*1.33</f>
        <v>19.298300000000001</v>
      </c>
      <c r="D18" s="6" t="s">
        <v>113</v>
      </c>
    </row>
    <row r="19" spans="2:4" x14ac:dyDescent="0.25">
      <c r="B19" s="8" t="s">
        <v>114</v>
      </c>
      <c r="C19" s="7">
        <f>C18*(C16+C17)</f>
        <v>28.902042235294118</v>
      </c>
      <c r="D19" s="6" t="s">
        <v>113</v>
      </c>
    </row>
    <row r="20" spans="2:4" x14ac:dyDescent="0.25">
      <c r="B20" s="8" t="s">
        <v>115</v>
      </c>
      <c r="C20" s="7">
        <f>0.968*C4/2</f>
        <v>4.1139999999999999</v>
      </c>
      <c r="D20" s="6" t="s">
        <v>113</v>
      </c>
    </row>
    <row r="21" spans="2:4" x14ac:dyDescent="0.25">
      <c r="B21" s="8" t="s">
        <v>116</v>
      </c>
      <c r="C21" s="7">
        <f>C20+C19</f>
        <v>33.016042235294115</v>
      </c>
      <c r="D21" s="6" t="s">
        <v>113</v>
      </c>
    </row>
    <row r="22" spans="2:4" x14ac:dyDescent="0.25">
      <c r="C22" s="7"/>
    </row>
    <row r="23" spans="2:4" x14ac:dyDescent="0.25">
      <c r="B23" s="8" t="s">
        <v>117</v>
      </c>
      <c r="C23" s="7"/>
    </row>
    <row r="24" spans="2:4" x14ac:dyDescent="0.25">
      <c r="B24" s="8" t="s">
        <v>110</v>
      </c>
      <c r="C24" s="7">
        <f>C4/C4</f>
        <v>1</v>
      </c>
    </row>
    <row r="25" spans="2:4" x14ac:dyDescent="0.25">
      <c r="B25" s="8" t="s">
        <v>111</v>
      </c>
      <c r="C25" s="7">
        <f>(C4-1.22)/C4</f>
        <v>0.85647058823529409</v>
      </c>
    </row>
    <row r="26" spans="2:4" x14ac:dyDescent="0.25">
      <c r="B26" s="8" t="s">
        <v>118</v>
      </c>
      <c r="C26" s="7">
        <f>11.34*1.33</f>
        <v>15.0822</v>
      </c>
      <c r="D26" s="6" t="s">
        <v>113</v>
      </c>
    </row>
    <row r="27" spans="2:4" x14ac:dyDescent="0.25">
      <c r="B27" s="8" t="s">
        <v>114</v>
      </c>
      <c r="C27" s="7">
        <f>C26*(C24+C25)</f>
        <v>27.999660705882352</v>
      </c>
      <c r="D27" s="6" t="s">
        <v>113</v>
      </c>
    </row>
    <row r="28" spans="2:4" x14ac:dyDescent="0.25">
      <c r="B28" s="8" t="s">
        <v>115</v>
      </c>
      <c r="C28" s="7">
        <f>0.968*C4/2</f>
        <v>4.1139999999999999</v>
      </c>
      <c r="D28" s="6" t="s">
        <v>113</v>
      </c>
    </row>
    <row r="29" spans="2:4" x14ac:dyDescent="0.25">
      <c r="B29" s="8" t="s">
        <v>116</v>
      </c>
      <c r="C29" s="7">
        <f>C28+C27</f>
        <v>32.113660705882353</v>
      </c>
      <c r="D29" s="6" t="s">
        <v>113</v>
      </c>
    </row>
    <row r="30" spans="2:4" x14ac:dyDescent="0.25">
      <c r="C30" s="7"/>
    </row>
    <row r="31" spans="2:4" x14ac:dyDescent="0.25">
      <c r="B31" s="8" t="s">
        <v>119</v>
      </c>
      <c r="C31" s="7">
        <f>MAX(C29,C21)</f>
        <v>33.016042235294115</v>
      </c>
      <c r="D31" s="6" t="s">
        <v>113</v>
      </c>
    </row>
    <row r="33" spans="2:4" x14ac:dyDescent="0.25">
      <c r="B33" s="1" t="s">
        <v>43</v>
      </c>
      <c r="C33" s="7">
        <f>'Cálculo hasta momentos'!D59</f>
        <v>1.7111999999999998</v>
      </c>
      <c r="D33" t="s">
        <v>42</v>
      </c>
    </row>
    <row r="34" spans="2:4" x14ac:dyDescent="0.25">
      <c r="B34" s="1" t="s">
        <v>44</v>
      </c>
      <c r="C34" s="6">
        <f>'Cálculo hasta momentos'!D61</f>
        <v>0.34720000000000006</v>
      </c>
      <c r="D34" t="s">
        <v>42</v>
      </c>
    </row>
    <row r="35" spans="2:4" x14ac:dyDescent="0.25">
      <c r="B35" s="1" t="s">
        <v>122</v>
      </c>
      <c r="C35" s="6">
        <f>'Cálculo hasta momentos'!D64</f>
        <v>0.36</v>
      </c>
      <c r="D35" t="s">
        <v>42</v>
      </c>
    </row>
    <row r="36" spans="2:4" x14ac:dyDescent="0.25">
      <c r="B36" s="1" t="s">
        <v>121</v>
      </c>
      <c r="C36" s="6">
        <f>'Cálculo hasta momentos'!D66</f>
        <v>3.9E-2</v>
      </c>
      <c r="D36" t="s">
        <v>42</v>
      </c>
    </row>
    <row r="37" spans="2:4" x14ac:dyDescent="0.25">
      <c r="B37" s="1" t="s">
        <v>120</v>
      </c>
      <c r="C37" s="6">
        <f>'Cálculo hasta momentos'!D67</f>
        <v>1.2</v>
      </c>
      <c r="D37" t="s">
        <v>42</v>
      </c>
    </row>
    <row r="39" spans="2:4" x14ac:dyDescent="0.25">
      <c r="B39" s="1" t="s">
        <v>59</v>
      </c>
      <c r="C39"/>
    </row>
    <row r="40" spans="2:4" ht="15.75" x14ac:dyDescent="0.25">
      <c r="B40" s="5" t="s">
        <v>60</v>
      </c>
      <c r="C40">
        <f>1.25</f>
        <v>1.25</v>
      </c>
    </row>
    <row r="41" spans="2:4" ht="15.75" x14ac:dyDescent="0.25">
      <c r="B41" s="5" t="s">
        <v>61</v>
      </c>
      <c r="C41">
        <f>1.5</f>
        <v>1.5</v>
      </c>
    </row>
    <row r="42" spans="2:4" ht="15.75" x14ac:dyDescent="0.25">
      <c r="B42" s="5" t="s">
        <v>62</v>
      </c>
      <c r="C42">
        <v>1.75</v>
      </c>
    </row>
    <row r="44" spans="2:4" x14ac:dyDescent="0.25">
      <c r="B44" s="8" t="s">
        <v>123</v>
      </c>
      <c r="C44" s="7">
        <f>C40*(C37+C33+C35+C36)*C4/2</f>
        <v>17.585437500000001</v>
      </c>
      <c r="D44" s="6" t="s">
        <v>113</v>
      </c>
    </row>
    <row r="45" spans="2:4" x14ac:dyDescent="0.25">
      <c r="B45" s="8" t="s">
        <v>124</v>
      </c>
      <c r="C45" s="7">
        <f>C41*C34*C4/2</f>
        <v>2.2134000000000005</v>
      </c>
      <c r="D45" s="6" t="s">
        <v>113</v>
      </c>
    </row>
    <row r="46" spans="2:4" x14ac:dyDescent="0.25">
      <c r="B46" s="8" t="s">
        <v>125</v>
      </c>
      <c r="C46" s="7">
        <f>C42*C11*C31</f>
        <v>55.646555678327779</v>
      </c>
      <c r="D46" s="6" t="s">
        <v>113</v>
      </c>
    </row>
    <row r="47" spans="2:4" x14ac:dyDescent="0.25">
      <c r="B47" s="8" t="s">
        <v>126</v>
      </c>
      <c r="C47" s="7">
        <f>SUM(C44:C46)</f>
        <v>75.445393178327777</v>
      </c>
      <c r="D47" s="6" t="s">
        <v>113</v>
      </c>
    </row>
    <row r="49" spans="2:5" ht="21" x14ac:dyDescent="0.35">
      <c r="B49" s="10" t="s">
        <v>127</v>
      </c>
    </row>
    <row r="50" spans="2:5" x14ac:dyDescent="0.25">
      <c r="B50" s="8" t="s">
        <v>76</v>
      </c>
      <c r="C50" s="6">
        <v>14</v>
      </c>
      <c r="D50" s="6" t="s">
        <v>73</v>
      </c>
    </row>
    <row r="51" spans="2:5" x14ac:dyDescent="0.25">
      <c r="B51" s="8" t="s">
        <v>147</v>
      </c>
      <c r="C51" s="7">
        <f>2*((C50/10)^2)*PI()/4</f>
        <v>3.0787608005179967</v>
      </c>
      <c r="D51" s="6" t="s">
        <v>84</v>
      </c>
    </row>
    <row r="52" spans="2:5" x14ac:dyDescent="0.25">
      <c r="B52" s="8" t="s">
        <v>128</v>
      </c>
      <c r="C52" s="6">
        <f>'Acero a flexión interior'!E5</f>
        <v>123</v>
      </c>
      <c r="D52" s="6" t="s">
        <v>3</v>
      </c>
    </row>
    <row r="53" spans="2:5" x14ac:dyDescent="0.25">
      <c r="B53" s="8" t="s">
        <v>129</v>
      </c>
      <c r="C53" s="6">
        <f>'Acero a flexión interior'!E7</f>
        <v>28</v>
      </c>
      <c r="D53" s="6" t="s">
        <v>73</v>
      </c>
    </row>
    <row r="54" spans="2:5" x14ac:dyDescent="0.25">
      <c r="B54" s="8" t="s">
        <v>130</v>
      </c>
      <c r="C54" s="6">
        <f>'Acero a flexión interior'!E10</f>
        <v>110.3</v>
      </c>
      <c r="D54" s="6" t="s">
        <v>3</v>
      </c>
    </row>
    <row r="55" spans="2:5" x14ac:dyDescent="0.25">
      <c r="B55" s="8" t="s">
        <v>131</v>
      </c>
      <c r="C55" s="6">
        <f>'Cálculo hasta momentos'!D14</f>
        <v>50</v>
      </c>
      <c r="D55" s="6" t="s">
        <v>3</v>
      </c>
    </row>
    <row r="56" spans="2:5" x14ac:dyDescent="0.25">
      <c r="B56" s="8" t="s">
        <v>133</v>
      </c>
      <c r="C56" s="6">
        <v>0.9</v>
      </c>
    </row>
    <row r="57" spans="2:5" x14ac:dyDescent="0.25">
      <c r="B57" s="8" t="s">
        <v>70</v>
      </c>
      <c r="C57" s="6">
        <f>'Acero a flexión interior'!E3</f>
        <v>280</v>
      </c>
      <c r="D57" s="6" t="s">
        <v>80</v>
      </c>
    </row>
    <row r="58" spans="2:5" x14ac:dyDescent="0.25">
      <c r="B58" s="8" t="s">
        <v>69</v>
      </c>
      <c r="C58" s="6">
        <v>4200</v>
      </c>
      <c r="D58" s="6" t="s">
        <v>80</v>
      </c>
    </row>
    <row r="60" spans="2:5" x14ac:dyDescent="0.25">
      <c r="B60" s="8" t="s">
        <v>132</v>
      </c>
      <c r="C60" s="6">
        <f>MAX(0.9*C54,0.72*C52)</f>
        <v>99.27</v>
      </c>
      <c r="D60" s="6" t="s">
        <v>3</v>
      </c>
    </row>
    <row r="61" spans="2:5" x14ac:dyDescent="0.25">
      <c r="B61" s="8" t="s">
        <v>135</v>
      </c>
      <c r="C61" s="7">
        <f>C47*(10^3)/(C56*C55*C60)</f>
        <v>16.888932133088833</v>
      </c>
      <c r="D61" s="6" t="s">
        <v>80</v>
      </c>
    </row>
    <row r="62" spans="2:5" x14ac:dyDescent="0.25">
      <c r="B62" s="8" t="s">
        <v>134</v>
      </c>
      <c r="C62" s="6">
        <f>0.18*C57</f>
        <v>50.4</v>
      </c>
      <c r="D62" s="6" t="s">
        <v>80</v>
      </c>
      <c r="E62" t="str">
        <f>IF(C62&gt;=C61,"no usar puntal-tensor","usar puntal-tensor")</f>
        <v>no usar puntal-tensor</v>
      </c>
    </row>
    <row r="63" spans="2:5" x14ac:dyDescent="0.25">
      <c r="B63" s="8" t="s">
        <v>160</v>
      </c>
      <c r="C63" s="7">
        <f>C51*C58/(0.0316*(70.307^0.5)*C55*C57^0.5)</f>
        <v>58.329714758585887</v>
      </c>
      <c r="D63" s="6" t="s">
        <v>3</v>
      </c>
    </row>
    <row r="65" spans="2:5" x14ac:dyDescent="0.25">
      <c r="B65" s="8" t="s">
        <v>136</v>
      </c>
      <c r="C65" s="6">
        <f>0.125*C57</f>
        <v>35</v>
      </c>
      <c r="D65" s="6" t="s">
        <v>80</v>
      </c>
    </row>
    <row r="66" spans="2:5" x14ac:dyDescent="0.25">
      <c r="B66" s="8" t="s">
        <v>137</v>
      </c>
      <c r="C66" s="6">
        <f>IF(C61&lt;C65,MIN(0.8*C60,24*2.54),MIN(0.4*C60,12*2.54))</f>
        <v>60.96</v>
      </c>
      <c r="D66" s="6" t="s">
        <v>3</v>
      </c>
    </row>
    <row r="68" spans="2:5" x14ac:dyDescent="0.25">
      <c r="B68" s="8" t="s">
        <v>138</v>
      </c>
      <c r="C68" s="6">
        <v>30</v>
      </c>
      <c r="D68" s="6" t="s">
        <v>3</v>
      </c>
      <c r="E68" t="str">
        <f>IF(AND(C68&lt;=C66,C68&lt;=C63),"menor al máximo", "sobrepasa el máximo")</f>
        <v>menor al máximo</v>
      </c>
    </row>
    <row r="70" spans="2:5" x14ac:dyDescent="0.25">
      <c r="B70" s="8" t="s">
        <v>139</v>
      </c>
      <c r="C70" s="7">
        <f>'Acero a flexión interior'!E13</f>
        <v>130.97272074178011</v>
      </c>
      <c r="D70" s="6" t="s">
        <v>55</v>
      </c>
    </row>
    <row r="71" spans="2:5" x14ac:dyDescent="0.25">
      <c r="B71" s="8" t="s">
        <v>83</v>
      </c>
      <c r="C71" s="7">
        <f>'Acero a flexión interior'!E16</f>
        <v>31.672155479589588</v>
      </c>
      <c r="D71" s="6" t="s">
        <v>84</v>
      </c>
    </row>
    <row r="73" spans="2:5" x14ac:dyDescent="0.25">
      <c r="B73" s="8" t="s">
        <v>140</v>
      </c>
      <c r="C73" s="6">
        <f>((C70*10^5)/C60+C47*10^3)/((2.04*10^6)*C71)</f>
        <v>3.2096796638919007E-3</v>
      </c>
    </row>
    <row r="74" spans="2:5" x14ac:dyDescent="0.25">
      <c r="B74" s="8" t="s">
        <v>142</v>
      </c>
      <c r="C74" s="7">
        <f>4.8/(1+750*C73)</f>
        <v>1.4087567004340447</v>
      </c>
    </row>
    <row r="76" spans="2:5" x14ac:dyDescent="0.25">
      <c r="B76" s="8" t="s">
        <v>141</v>
      </c>
      <c r="C76" s="7">
        <f>0.0316*C74*(C57^0.5)*C60*C55/((2.54^2)*(70.307^0.5)*2.205)</f>
        <v>30.996653509915195</v>
      </c>
      <c r="D76" s="6" t="s">
        <v>113</v>
      </c>
    </row>
    <row r="77" spans="2:5" x14ac:dyDescent="0.25">
      <c r="B77" s="8" t="s">
        <v>143</v>
      </c>
      <c r="C77" s="7">
        <f>29+3500*C73</f>
        <v>40.233878823621652</v>
      </c>
      <c r="D77" s="6" t="s">
        <v>145</v>
      </c>
    </row>
    <row r="78" spans="2:5" x14ac:dyDescent="0.25">
      <c r="B78" s="8" t="s">
        <v>144</v>
      </c>
      <c r="C78" s="6">
        <v>90</v>
      </c>
      <c r="D78" s="6" t="s">
        <v>145</v>
      </c>
    </row>
    <row r="80" spans="2:5" x14ac:dyDescent="0.25">
      <c r="B80" s="8" t="s">
        <v>146</v>
      </c>
      <c r="C80" s="7">
        <f>C51*C58*C60/(C68*TAN(RADIANS(C77))*10^3)</f>
        <v>50.5720766410778</v>
      </c>
      <c r="D80" s="6" t="s">
        <v>113</v>
      </c>
    </row>
    <row r="81" spans="2:4" x14ac:dyDescent="0.25">
      <c r="B81" s="8" t="s">
        <v>148</v>
      </c>
      <c r="C81" s="7">
        <f>MIN(C80+C76,0.25*C57*C55*C60)</f>
        <v>81.568730150992991</v>
      </c>
      <c r="D81" s="6" t="s">
        <v>113</v>
      </c>
    </row>
    <row r="83" spans="2:4" x14ac:dyDescent="0.25">
      <c r="B83" s="8" t="s">
        <v>149</v>
      </c>
      <c r="C83" s="7">
        <f>C47/(C56*C81)</f>
        <v>1.0277003759579297</v>
      </c>
    </row>
    <row r="85" spans="2:4" ht="28.5" x14ac:dyDescent="0.45">
      <c r="B85" s="12" t="s">
        <v>161</v>
      </c>
      <c r="C85" s="12"/>
      <c r="D85" s="12"/>
    </row>
    <row r="87" spans="2:4" x14ac:dyDescent="0.25">
      <c r="B87" s="8" t="s">
        <v>85</v>
      </c>
      <c r="C87" s="6">
        <v>0</v>
      </c>
      <c r="D87" s="6" t="s">
        <v>1</v>
      </c>
    </row>
    <row r="88" spans="2:4" x14ac:dyDescent="0.25">
      <c r="B88" s="8" t="s">
        <v>157</v>
      </c>
      <c r="C88" s="11">
        <f>(C4-C87)/C4</f>
        <v>1</v>
      </c>
    </row>
    <row r="89" spans="2:4" x14ac:dyDescent="0.25">
      <c r="B89" s="8" t="s">
        <v>158</v>
      </c>
      <c r="C89" s="11">
        <f>C87/C4</f>
        <v>0</v>
      </c>
    </row>
    <row r="90" spans="2:4" x14ac:dyDescent="0.25">
      <c r="B90" s="8" t="s">
        <v>170</v>
      </c>
      <c r="C90" s="7">
        <f>C4-C87</f>
        <v>8.5</v>
      </c>
      <c r="D90" s="6" t="s">
        <v>1</v>
      </c>
    </row>
    <row r="91" spans="2:4" x14ac:dyDescent="0.25">
      <c r="B91" s="9" t="s">
        <v>109</v>
      </c>
      <c r="C91" s="7"/>
    </row>
    <row r="92" spans="2:4" x14ac:dyDescent="0.25">
      <c r="B92" s="8" t="s">
        <v>110</v>
      </c>
      <c r="C92" s="13">
        <f>C88</f>
        <v>1</v>
      </c>
    </row>
    <row r="93" spans="2:4" x14ac:dyDescent="0.25">
      <c r="B93" s="8" t="s">
        <v>111</v>
      </c>
      <c r="C93" s="11">
        <f>C88*(C90-4.27)/C90</f>
        <v>0.49764705882352944</v>
      </c>
    </row>
    <row r="94" spans="2:4" x14ac:dyDescent="0.25">
      <c r="B94" s="8" t="s">
        <v>112</v>
      </c>
      <c r="C94" s="13">
        <f>14.51*1.33</f>
        <v>19.298300000000001</v>
      </c>
      <c r="D94" s="6" t="s">
        <v>113</v>
      </c>
    </row>
    <row r="95" spans="2:4" x14ac:dyDescent="0.25">
      <c r="B95" s="8" t="s">
        <v>114</v>
      </c>
      <c r="C95" s="7">
        <f>C94*(C92+C93)</f>
        <v>28.902042235294118</v>
      </c>
      <c r="D95" s="6" t="s">
        <v>113</v>
      </c>
    </row>
    <row r="96" spans="2:4" x14ac:dyDescent="0.25">
      <c r="B96" s="8" t="s">
        <v>115</v>
      </c>
      <c r="C96" s="7">
        <f>0.968*0.5*(C88*C90-C87*C89)</f>
        <v>4.1139999999999999</v>
      </c>
      <c r="D96" s="6" t="s">
        <v>113</v>
      </c>
    </row>
    <row r="97" spans="2:13" x14ac:dyDescent="0.25">
      <c r="B97" s="8" t="s">
        <v>116</v>
      </c>
      <c r="C97" s="7">
        <f>C96+C95</f>
        <v>33.016042235294115</v>
      </c>
      <c r="D97" s="6" t="s">
        <v>113</v>
      </c>
    </row>
    <row r="99" spans="2:13" x14ac:dyDescent="0.25">
      <c r="B99" s="9" t="s">
        <v>117</v>
      </c>
      <c r="C99" s="7"/>
    </row>
    <row r="100" spans="2:13" x14ac:dyDescent="0.25">
      <c r="B100" s="8" t="s">
        <v>110</v>
      </c>
      <c r="C100" s="13">
        <f>C88</f>
        <v>1</v>
      </c>
    </row>
    <row r="101" spans="2:13" x14ac:dyDescent="0.25">
      <c r="B101" s="8" t="s">
        <v>111</v>
      </c>
      <c r="C101" s="11">
        <f>C88*(C90-1.22)/C90</f>
        <v>0.85647058823529409</v>
      </c>
    </row>
    <row r="102" spans="2:13" x14ac:dyDescent="0.25">
      <c r="B102" s="8" t="s">
        <v>118</v>
      </c>
      <c r="C102" s="7">
        <f>11.34*1.33</f>
        <v>15.0822</v>
      </c>
      <c r="D102" s="6" t="s">
        <v>113</v>
      </c>
    </row>
    <row r="103" spans="2:13" x14ac:dyDescent="0.25">
      <c r="B103" s="8" t="s">
        <v>171</v>
      </c>
      <c r="C103" s="7">
        <f>C102*(C100+C101)</f>
        <v>27.999660705882352</v>
      </c>
      <c r="D103" s="6" t="s">
        <v>113</v>
      </c>
      <c r="K103" t="s">
        <v>169</v>
      </c>
      <c r="L103" s="2">
        <f>'Cálculo hasta momentos'!D40</f>
        <v>0.79462082236624987</v>
      </c>
    </row>
    <row r="104" spans="2:13" x14ac:dyDescent="0.25">
      <c r="B104" s="8" t="s">
        <v>115</v>
      </c>
      <c r="C104" s="13">
        <f>0.968*0.5*(C88*C90-C87*C89)</f>
        <v>4.1139999999999999</v>
      </c>
      <c r="D104" s="6" t="s">
        <v>113</v>
      </c>
      <c r="K104" t="s">
        <v>163</v>
      </c>
      <c r="L104" s="3">
        <v>0</v>
      </c>
      <c r="M104" t="s">
        <v>165</v>
      </c>
    </row>
    <row r="105" spans="2:13" x14ac:dyDescent="0.25">
      <c r="B105" s="8" t="s">
        <v>116</v>
      </c>
      <c r="C105" s="7">
        <f>C104+C103</f>
        <v>32.113660705882353</v>
      </c>
      <c r="D105" s="6" t="s">
        <v>113</v>
      </c>
      <c r="K105" t="s">
        <v>164</v>
      </c>
      <c r="L105" s="3">
        <f>L104*L103*C42</f>
        <v>0</v>
      </c>
    </row>
    <row r="106" spans="2:13" x14ac:dyDescent="0.25">
      <c r="C106" s="7"/>
      <c r="K106" t="s">
        <v>166</v>
      </c>
      <c r="L106" s="3">
        <f>C87*C90/2</f>
        <v>0</v>
      </c>
    </row>
    <row r="107" spans="2:13" x14ac:dyDescent="0.25">
      <c r="B107" s="8" t="s">
        <v>119</v>
      </c>
      <c r="C107" s="7">
        <f>MAX(C105,C97)</f>
        <v>33.016042235294115</v>
      </c>
      <c r="D107" s="6" t="s">
        <v>113</v>
      </c>
      <c r="K107" t="s">
        <v>167</v>
      </c>
      <c r="L107" s="3">
        <f>(C33+C36+C35+C37)*L106*C40</f>
        <v>0</v>
      </c>
    </row>
    <row r="108" spans="2:13" x14ac:dyDescent="0.25">
      <c r="K108" t="s">
        <v>168</v>
      </c>
      <c r="L108" s="3">
        <f>(C34)*L106*C41</f>
        <v>0</v>
      </c>
    </row>
    <row r="109" spans="2:13" x14ac:dyDescent="0.25">
      <c r="B109" s="8" t="s">
        <v>123</v>
      </c>
      <c r="C109" s="7">
        <f>(C33+C35+C36+C37)*0.5*(C88*C90-C87*C89)*C40</f>
        <v>17.585437500000001</v>
      </c>
      <c r="D109" s="6" t="s">
        <v>113</v>
      </c>
      <c r="K109" t="s">
        <v>139</v>
      </c>
      <c r="L109" s="3">
        <f>L108+L107+L105</f>
        <v>0</v>
      </c>
    </row>
    <row r="110" spans="2:13" x14ac:dyDescent="0.25">
      <c r="B110" s="8" t="s">
        <v>124</v>
      </c>
      <c r="C110" s="7">
        <f>C34*0.5*(C88*C90-C87*C89)*C41</f>
        <v>2.2134000000000005</v>
      </c>
      <c r="D110" s="6" t="s">
        <v>113</v>
      </c>
    </row>
    <row r="111" spans="2:13" x14ac:dyDescent="0.25">
      <c r="B111" s="8" t="s">
        <v>125</v>
      </c>
      <c r="C111" s="7">
        <f>C107*C42*C11</f>
        <v>55.646555678327772</v>
      </c>
      <c r="D111" s="6" t="s">
        <v>113</v>
      </c>
    </row>
    <row r="112" spans="2:13" x14ac:dyDescent="0.25">
      <c r="B112" s="8" t="s">
        <v>126</v>
      </c>
      <c r="C112" s="7">
        <f>SUM(C109:C111)</f>
        <v>75.445393178327777</v>
      </c>
      <c r="D112" s="6" t="s">
        <v>113</v>
      </c>
    </row>
    <row r="114" spans="2:5" ht="21" x14ac:dyDescent="0.35">
      <c r="B114" s="10" t="s">
        <v>127</v>
      </c>
    </row>
    <row r="115" spans="2:5" x14ac:dyDescent="0.25">
      <c r="B115" s="8" t="s">
        <v>135</v>
      </c>
      <c r="C115" s="7">
        <f>C112*(10^3)/(C56*C55*C60)</f>
        <v>16.888932133088833</v>
      </c>
      <c r="D115" s="6" t="s">
        <v>80</v>
      </c>
    </row>
    <row r="116" spans="2:5" x14ac:dyDescent="0.25">
      <c r="B116" s="8" t="s">
        <v>160</v>
      </c>
      <c r="C116" s="13">
        <f>C63</f>
        <v>58.329714758585887</v>
      </c>
      <c r="D116" s="6" t="s">
        <v>3</v>
      </c>
    </row>
    <row r="117" spans="2:5" x14ac:dyDescent="0.25">
      <c r="B117" s="8" t="s">
        <v>137</v>
      </c>
      <c r="C117" s="7">
        <f>IF(C115&lt;C65,MIN(0.8*C60,24*2.54),MIN(0.4*C60,12*2.54))</f>
        <v>60.96</v>
      </c>
      <c r="D117" s="6" t="s">
        <v>3</v>
      </c>
    </row>
    <row r="119" spans="2:5" x14ac:dyDescent="0.25">
      <c r="B119" s="8" t="s">
        <v>138</v>
      </c>
      <c r="C119" s="6">
        <v>55</v>
      </c>
      <c r="D119" s="6" t="s">
        <v>3</v>
      </c>
      <c r="E119" t="str">
        <f>IF(AND(C119&lt;=C117,C119&lt;=C116),"menor al máximo", "sobrepasa el máximo")</f>
        <v>menor al máximo</v>
      </c>
    </row>
    <row r="120" spans="2:5" x14ac:dyDescent="0.25">
      <c r="B120" s="8" t="s">
        <v>140</v>
      </c>
      <c r="C120" s="6">
        <f>((L109*10^5)/C60+C112*10^3)/((2.04*10^6)*C71)</f>
        <v>1.1676829477413433E-3</v>
      </c>
    </row>
    <row r="121" spans="2:5" x14ac:dyDescent="0.25">
      <c r="B121" s="8" t="s">
        <v>142</v>
      </c>
      <c r="C121" s="7">
        <f>4.8/(1+750*C120)</f>
        <v>2.5589597510536577</v>
      </c>
    </row>
    <row r="122" spans="2:5" x14ac:dyDescent="0.25">
      <c r="B122" s="8" t="s">
        <v>141</v>
      </c>
      <c r="C122" s="7">
        <f>0.0316*C121*(C57^0.5)*C60*C55/((2.54^2)*(70.307^0.5)*2.205)</f>
        <v>56.304391471423301</v>
      </c>
      <c r="D122" s="6" t="s">
        <v>113</v>
      </c>
    </row>
    <row r="123" spans="2:5" x14ac:dyDescent="0.25">
      <c r="B123" s="8" t="s">
        <v>143</v>
      </c>
      <c r="C123" s="7">
        <f>29+3500*C120</f>
        <v>33.086890317094699</v>
      </c>
      <c r="D123" s="6" t="s">
        <v>145</v>
      </c>
    </row>
    <row r="124" spans="2:5" x14ac:dyDescent="0.25">
      <c r="B124" s="8" t="s">
        <v>144</v>
      </c>
      <c r="C124" s="14">
        <v>90</v>
      </c>
      <c r="D124" s="6" t="s">
        <v>145</v>
      </c>
    </row>
    <row r="125" spans="2:5" x14ac:dyDescent="0.25">
      <c r="B125" s="8" t="s">
        <v>146</v>
      </c>
      <c r="C125" s="7">
        <f>C51*C58*C60/(C119*TAN(RADIANS(C123))*10^3)</f>
        <v>35.8197282582939</v>
      </c>
      <c r="D125" s="6" t="s">
        <v>113</v>
      </c>
    </row>
    <row r="126" spans="2:5" x14ac:dyDescent="0.25">
      <c r="B126" s="8" t="s">
        <v>148</v>
      </c>
      <c r="C126" s="7">
        <f>MIN(C125+C122,0.25*C57*C55*C60)</f>
        <v>92.124119729717194</v>
      </c>
      <c r="D126" s="6" t="s">
        <v>113</v>
      </c>
    </row>
    <row r="128" spans="2:5" x14ac:dyDescent="0.25">
      <c r="B128" s="8" t="s">
        <v>149</v>
      </c>
      <c r="C128" s="7">
        <f>C112/(C56*C126)</f>
        <v>0.90994860942530453</v>
      </c>
    </row>
    <row r="130" spans="2:4" x14ac:dyDescent="0.25">
      <c r="B130" s="8" t="s">
        <v>174</v>
      </c>
      <c r="C130" s="7">
        <f>'Acero a flexión interior'!E20*'Acero a flexión interior'!E18</f>
        <v>36.945129606215957</v>
      </c>
    </row>
    <row r="131" spans="2:4" x14ac:dyDescent="0.25">
      <c r="B131" s="8" t="s">
        <v>173</v>
      </c>
      <c r="C131" s="6">
        <f>C130*4.2</f>
        <v>155.16954434610702</v>
      </c>
      <c r="D131" s="6" t="s">
        <v>113</v>
      </c>
    </row>
    <row r="132" spans="2:4" x14ac:dyDescent="0.25">
      <c r="C132" s="8">
        <f>(C112/C56-0.5*C125)/TAN(RADIANS(C136))</f>
        <v>101.1691373898644</v>
      </c>
      <c r="D132" s="6" t="s">
        <v>113</v>
      </c>
    </row>
    <row r="133" spans="2:4" x14ac:dyDescent="0.25">
      <c r="C133" s="15" t="str">
        <f>IF(C132&lt;C131,"cumple","no cumple")</f>
        <v>cumple</v>
      </c>
    </row>
    <row r="136" spans="2:4" x14ac:dyDescent="0.25">
      <c r="B136" s="8" t="s">
        <v>143</v>
      </c>
      <c r="C136" s="7">
        <v>33.086890317094699</v>
      </c>
      <c r="D136" s="6" t="s">
        <v>145</v>
      </c>
    </row>
  </sheetData>
  <mergeCells count="2">
    <mergeCell ref="B13:E13"/>
    <mergeCell ref="B12:D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27"/>
  <sheetViews>
    <sheetView tabSelected="1" topLeftCell="A100" zoomScale="85" zoomScaleNormal="85" workbookViewId="0">
      <selection activeCell="U65" sqref="U65"/>
    </sheetView>
  </sheetViews>
  <sheetFormatPr defaultColWidth="11.42578125" defaultRowHeight="15" x14ac:dyDescent="0.25"/>
  <cols>
    <col min="2" max="2" width="28.7109375" style="8" customWidth="1"/>
    <col min="3" max="3" width="10" style="6" customWidth="1"/>
    <col min="4" max="4" width="8.140625" style="6" customWidth="1"/>
    <col min="6" max="6" width="4.140625" customWidth="1"/>
    <col min="7" max="7" width="8.140625" customWidth="1"/>
    <col min="10" max="10" width="18.28515625" customWidth="1"/>
  </cols>
  <sheetData>
    <row r="2" spans="2:7" x14ac:dyDescent="0.25">
      <c r="B2" s="9"/>
    </row>
    <row r="3" spans="2:7" x14ac:dyDescent="0.25">
      <c r="B3" s="9" t="s">
        <v>12</v>
      </c>
      <c r="C3" s="7">
        <v>3.1</v>
      </c>
      <c r="D3" s="6" t="s">
        <v>1</v>
      </c>
      <c r="E3" s="7">
        <f>C3/0.3048</f>
        <v>10.170603674540683</v>
      </c>
      <c r="F3" t="s">
        <v>5</v>
      </c>
      <c r="G3" t="str">
        <f>IF(AND(E3&gt;=3.5,E3&lt;=16),"cumple","no cumple")</f>
        <v>cumple</v>
      </c>
    </row>
    <row r="4" spans="2:7" x14ac:dyDescent="0.25">
      <c r="B4" s="9" t="s">
        <v>105</v>
      </c>
      <c r="C4" s="7">
        <v>8.5</v>
      </c>
      <c r="D4" s="6" t="s">
        <v>1</v>
      </c>
      <c r="E4" s="7">
        <f>C4/0.3048</f>
        <v>27.887139107611546</v>
      </c>
      <c r="F4" t="s">
        <v>5</v>
      </c>
      <c r="G4" t="str">
        <f>IF(AND(E4&gt;=20,E4&lt;=240),"cumple","no cumple")</f>
        <v>cumple</v>
      </c>
    </row>
    <row r="5" spans="2:7" x14ac:dyDescent="0.25">
      <c r="B5" s="9" t="s">
        <v>106</v>
      </c>
      <c r="C5" s="7">
        <v>23</v>
      </c>
      <c r="D5" s="6" t="s">
        <v>3</v>
      </c>
      <c r="E5" s="7">
        <f>C5/2.54</f>
        <v>9.0551181102362204</v>
      </c>
      <c r="F5" t="s">
        <v>4</v>
      </c>
      <c r="G5" t="str">
        <f>IF(AND(E5&gt;=4.5,E5&lt;=12),"cumple","no cumple")</f>
        <v>cumple</v>
      </c>
    </row>
    <row r="6" spans="2:7" x14ac:dyDescent="0.25">
      <c r="B6" s="9" t="s">
        <v>107</v>
      </c>
      <c r="C6" s="7">
        <v>4</v>
      </c>
      <c r="G6" t="str">
        <f>IF(C6&gt;=4,"cumple","no cumple")</f>
        <v>cumple</v>
      </c>
    </row>
    <row r="7" spans="2:7" x14ac:dyDescent="0.25">
      <c r="B7" s="9"/>
      <c r="C7" s="7"/>
    </row>
    <row r="8" spans="2:7" x14ac:dyDescent="0.25">
      <c r="B8" s="9" t="s">
        <v>32</v>
      </c>
      <c r="C8" s="7">
        <f>'Cálculo hasta momentos'!F42</f>
        <v>0.98425196850393704</v>
      </c>
      <c r="D8" s="6" t="s">
        <v>5</v>
      </c>
      <c r="E8" t="str">
        <f>IF(AND(C8&gt;=-1,C8&lt;=5.5),"cumple","no cumple")</f>
        <v>cumple</v>
      </c>
    </row>
    <row r="9" spans="2:7" x14ac:dyDescent="0.25">
      <c r="B9" s="9" t="s">
        <v>150</v>
      </c>
      <c r="C9" s="11">
        <f>0.6+C8/10</f>
        <v>0.69842519685039373</v>
      </c>
    </row>
    <row r="10" spans="2:7" x14ac:dyDescent="0.25">
      <c r="B10" s="9" t="s">
        <v>36</v>
      </c>
      <c r="C10" s="11">
        <f>'Cálculo hasta momentos'!D51</f>
        <v>0.73548387096774204</v>
      </c>
    </row>
    <row r="11" spans="2:7" x14ac:dyDescent="0.25">
      <c r="B11" s="9" t="s">
        <v>37</v>
      </c>
      <c r="C11" s="7">
        <f>C9*'Acero al corte interior'!C11</f>
        <v>0.67265926280330435</v>
      </c>
    </row>
    <row r="12" spans="2:7" x14ac:dyDescent="0.25">
      <c r="C12" s="7"/>
    </row>
    <row r="13" spans="2:7" x14ac:dyDescent="0.25">
      <c r="B13" s="9" t="s">
        <v>58</v>
      </c>
      <c r="C13" s="7">
        <f>MAX(C10:C11)</f>
        <v>0.73548387096774204</v>
      </c>
    </row>
    <row r="14" spans="2:7" x14ac:dyDescent="0.25">
      <c r="C14" s="7"/>
    </row>
    <row r="15" spans="2:7" x14ac:dyDescent="0.25">
      <c r="B15" s="18"/>
      <c r="C15" s="18"/>
      <c r="D15" s="18"/>
      <c r="E15" s="18"/>
    </row>
    <row r="16" spans="2:7" x14ac:dyDescent="0.25">
      <c r="C16" s="7"/>
    </row>
    <row r="17" spans="2:4" x14ac:dyDescent="0.25">
      <c r="C17" s="7"/>
    </row>
    <row r="18" spans="2:4" x14ac:dyDescent="0.25">
      <c r="C18" s="7"/>
    </row>
    <row r="19" spans="2:4" x14ac:dyDescent="0.25">
      <c r="C19" s="7"/>
    </row>
    <row r="20" spans="2:4" x14ac:dyDescent="0.25">
      <c r="C20" s="7"/>
    </row>
    <row r="21" spans="2:4" x14ac:dyDescent="0.25">
      <c r="C21" s="7"/>
    </row>
    <row r="22" spans="2:4" x14ac:dyDescent="0.25">
      <c r="B22" s="8" t="s">
        <v>119</v>
      </c>
      <c r="C22" s="7">
        <f>'Acero al corte interior'!C31</f>
        <v>33.016042235294115</v>
      </c>
      <c r="D22" s="6" t="s">
        <v>113</v>
      </c>
    </row>
    <row r="24" spans="2:4" x14ac:dyDescent="0.25">
      <c r="B24" s="1" t="s">
        <v>41</v>
      </c>
      <c r="C24" s="7">
        <f>'Cálculo hasta momentos'!D60</f>
        <v>1.1867999999999999</v>
      </c>
      <c r="D24" t="s">
        <v>42</v>
      </c>
    </row>
    <row r="25" spans="2:4" x14ac:dyDescent="0.25">
      <c r="B25" s="1" t="s">
        <v>45</v>
      </c>
      <c r="C25" s="6">
        <f>'Cálculo hasta momentos'!D62</f>
        <v>0.24080000000000001</v>
      </c>
      <c r="D25" t="s">
        <v>42</v>
      </c>
    </row>
    <row r="26" spans="2:4" x14ac:dyDescent="0.25">
      <c r="B26" s="1" t="s">
        <v>122</v>
      </c>
      <c r="C26" s="6">
        <f>'Cálculo hasta momentos'!D64</f>
        <v>0.36</v>
      </c>
      <c r="D26" t="s">
        <v>42</v>
      </c>
    </row>
    <row r="27" spans="2:4" x14ac:dyDescent="0.25">
      <c r="B27" s="1" t="s">
        <v>121</v>
      </c>
      <c r="C27" s="6">
        <f>'Cálculo hasta momentos'!D66</f>
        <v>3.9E-2</v>
      </c>
      <c r="D27" t="s">
        <v>42</v>
      </c>
    </row>
    <row r="28" spans="2:4" x14ac:dyDescent="0.25">
      <c r="B28" s="1" t="s">
        <v>120</v>
      </c>
      <c r="C28" s="6">
        <f>'Cálculo hasta momentos'!D67</f>
        <v>1.2</v>
      </c>
      <c r="D28" t="s">
        <v>42</v>
      </c>
    </row>
    <row r="30" spans="2:4" x14ac:dyDescent="0.25">
      <c r="B30" s="1" t="s">
        <v>59</v>
      </c>
      <c r="C30"/>
    </row>
    <row r="31" spans="2:4" ht="15.75" x14ac:dyDescent="0.25">
      <c r="B31" s="5" t="s">
        <v>60</v>
      </c>
      <c r="C31">
        <f>1.25</f>
        <v>1.25</v>
      </c>
    </row>
    <row r="32" spans="2:4" ht="15.75" x14ac:dyDescent="0.25">
      <c r="B32" s="5" t="s">
        <v>61</v>
      </c>
      <c r="C32">
        <f>1.5</f>
        <v>1.5</v>
      </c>
    </row>
    <row r="33" spans="2:4" ht="15.75" x14ac:dyDescent="0.25">
      <c r="B33" s="5" t="s">
        <v>62</v>
      </c>
      <c r="C33">
        <v>1.75</v>
      </c>
    </row>
    <row r="35" spans="2:4" x14ac:dyDescent="0.25">
      <c r="B35" s="8" t="s">
        <v>152</v>
      </c>
      <c r="C35" s="7">
        <f>C31*(C28+C24+C26+C27)*C4/2</f>
        <v>14.7995625</v>
      </c>
      <c r="D35" s="6" t="s">
        <v>113</v>
      </c>
    </row>
    <row r="36" spans="2:4" x14ac:dyDescent="0.25">
      <c r="B36" s="8" t="s">
        <v>153</v>
      </c>
      <c r="C36" s="7">
        <f>C32*C25*C4/2</f>
        <v>1.5351000000000001</v>
      </c>
      <c r="D36" s="6" t="s">
        <v>113</v>
      </c>
    </row>
    <row r="37" spans="2:4" x14ac:dyDescent="0.25">
      <c r="B37" s="8" t="s">
        <v>154</v>
      </c>
      <c r="C37" s="7">
        <f>C33*C13*C22</f>
        <v>42.494841457685013</v>
      </c>
      <c r="D37" s="6" t="s">
        <v>113</v>
      </c>
    </row>
    <row r="38" spans="2:4" x14ac:dyDescent="0.25">
      <c r="B38" s="8" t="s">
        <v>155</v>
      </c>
      <c r="C38" s="7">
        <f>SUM(C35:C37)</f>
        <v>58.829503957685013</v>
      </c>
      <c r="D38" s="6" t="s">
        <v>113</v>
      </c>
    </row>
    <row r="40" spans="2:4" ht="21" x14ac:dyDescent="0.35">
      <c r="B40" s="10" t="s">
        <v>127</v>
      </c>
    </row>
    <row r="41" spans="2:4" x14ac:dyDescent="0.25">
      <c r="B41" s="8" t="s">
        <v>76</v>
      </c>
      <c r="C41" s="6">
        <v>14</v>
      </c>
      <c r="D41" s="6" t="s">
        <v>73</v>
      </c>
    </row>
    <row r="42" spans="2:4" x14ac:dyDescent="0.25">
      <c r="B42" s="8" t="s">
        <v>147</v>
      </c>
      <c r="C42" s="7">
        <f>2*((C41/10)^2)*PI()/4</f>
        <v>3.0787608005179967</v>
      </c>
      <c r="D42" s="6" t="s">
        <v>84</v>
      </c>
    </row>
    <row r="43" spans="2:4" x14ac:dyDescent="0.25">
      <c r="B43" s="8" t="s">
        <v>128</v>
      </c>
      <c r="C43" s="6">
        <f>'Acero a flexión exterior'!E5</f>
        <v>123</v>
      </c>
      <c r="D43" s="6" t="s">
        <v>3</v>
      </c>
    </row>
    <row r="44" spans="2:4" x14ac:dyDescent="0.25">
      <c r="B44" s="8" t="s">
        <v>129</v>
      </c>
      <c r="C44" s="6">
        <f>'Acero a flexión exterior'!E7</f>
        <v>28</v>
      </c>
      <c r="D44" s="6" t="s">
        <v>73</v>
      </c>
    </row>
    <row r="45" spans="2:4" x14ac:dyDescent="0.25">
      <c r="B45" s="8" t="s">
        <v>130</v>
      </c>
      <c r="C45" s="6">
        <f>'Acero a flexión exterior'!E10</f>
        <v>114.2</v>
      </c>
      <c r="D45" s="6" t="s">
        <v>3</v>
      </c>
    </row>
    <row r="46" spans="2:4" x14ac:dyDescent="0.25">
      <c r="B46" s="8" t="s">
        <v>131</v>
      </c>
      <c r="C46" s="6">
        <f>'Cálculo hasta momentos'!D14</f>
        <v>50</v>
      </c>
      <c r="D46" s="6" t="s">
        <v>3</v>
      </c>
    </row>
    <row r="47" spans="2:4" x14ac:dyDescent="0.25">
      <c r="B47" s="8" t="s">
        <v>133</v>
      </c>
      <c r="C47" s="6">
        <v>0.9</v>
      </c>
    </row>
    <row r="48" spans="2:4" x14ac:dyDescent="0.25">
      <c r="B48" s="8" t="s">
        <v>70</v>
      </c>
      <c r="C48" s="6">
        <f>'Acero a flexión exterior'!E3</f>
        <v>280</v>
      </c>
      <c r="D48" s="6" t="s">
        <v>80</v>
      </c>
    </row>
    <row r="49" spans="2:5" x14ac:dyDescent="0.25">
      <c r="B49" s="8" t="s">
        <v>69</v>
      </c>
      <c r="C49" s="6">
        <v>4200</v>
      </c>
      <c r="D49" s="6" t="s">
        <v>80</v>
      </c>
    </row>
    <row r="51" spans="2:5" x14ac:dyDescent="0.25">
      <c r="B51" s="8" t="s">
        <v>132</v>
      </c>
      <c r="C51" s="6">
        <f>MAX(0.9*C45,0.72*C43)</f>
        <v>102.78</v>
      </c>
      <c r="D51" s="6" t="s">
        <v>3</v>
      </c>
    </row>
    <row r="52" spans="2:5" x14ac:dyDescent="0.25">
      <c r="B52" s="8" t="s">
        <v>135</v>
      </c>
      <c r="C52" s="7">
        <f>C38*(10^3)/(C47*C46*C51)</f>
        <v>12.719617728845863</v>
      </c>
      <c r="D52" s="6" t="s">
        <v>80</v>
      </c>
    </row>
    <row r="53" spans="2:5" x14ac:dyDescent="0.25">
      <c r="B53" s="8" t="s">
        <v>134</v>
      </c>
      <c r="C53" s="6">
        <f>0.18*C48</f>
        <v>50.4</v>
      </c>
      <c r="D53" s="6" t="s">
        <v>80</v>
      </c>
      <c r="E53" t="str">
        <f>IF(C53&gt;=C52,"no usar puntal-tensor","usar puntal-tensor")</f>
        <v>no usar puntal-tensor</v>
      </c>
    </row>
    <row r="54" spans="2:5" x14ac:dyDescent="0.25">
      <c r="B54" s="8" t="s">
        <v>160</v>
      </c>
      <c r="C54" s="7">
        <f>C42*C49/(0.0316*(70.307^0.5)*C46*C48^0.5)</f>
        <v>58.329714758585887</v>
      </c>
      <c r="D54" s="6" t="s">
        <v>3</v>
      </c>
    </row>
    <row r="56" spans="2:5" x14ac:dyDescent="0.25">
      <c r="B56" s="8" t="s">
        <v>136</v>
      </c>
      <c r="C56" s="6">
        <f>0.125*C48</f>
        <v>35</v>
      </c>
      <c r="D56" s="6" t="s">
        <v>80</v>
      </c>
    </row>
    <row r="57" spans="2:5" x14ac:dyDescent="0.25">
      <c r="B57" s="8" t="s">
        <v>137</v>
      </c>
      <c r="C57" s="6">
        <f>IF(C52&lt;C56,MIN(0.8*C51,24*2.54),MIN(0.4*C51,12*2.54))</f>
        <v>60.96</v>
      </c>
      <c r="D57" s="6" t="s">
        <v>3</v>
      </c>
    </row>
    <row r="59" spans="2:5" x14ac:dyDescent="0.25">
      <c r="B59" s="8" t="s">
        <v>138</v>
      </c>
      <c r="C59" s="6">
        <v>50</v>
      </c>
      <c r="D59" s="6" t="s">
        <v>3</v>
      </c>
      <c r="E59" t="str">
        <f>IF(AND(C59&lt;=C57,C59&lt;=C54),"menor al máximo", "sobrepasa el máximo")</f>
        <v>menor al máximo</v>
      </c>
    </row>
    <row r="62" spans="2:5" x14ac:dyDescent="0.25">
      <c r="B62" s="8" t="s">
        <v>83</v>
      </c>
      <c r="C62" s="7">
        <f>'Acero a flexión exterior'!E16</f>
        <v>27.371804918882589</v>
      </c>
      <c r="D62" s="6" t="s">
        <v>84</v>
      </c>
    </row>
    <row r="64" spans="2:5" x14ac:dyDescent="0.25">
      <c r="B64" s="8" t="s">
        <v>140</v>
      </c>
      <c r="C64" s="6">
        <f>((J103*10^5)/C51+C38*10^3)/((2.04*10^6)*C62)</f>
        <v>1.0535656023262848E-3</v>
      </c>
    </row>
    <row r="65" spans="2:4" x14ac:dyDescent="0.25">
      <c r="B65" s="8" t="s">
        <v>142</v>
      </c>
      <c r="C65" s="7">
        <f>4.8/(1+750*C64)</f>
        <v>2.6813033029533626</v>
      </c>
    </row>
    <row r="67" spans="2:4" x14ac:dyDescent="0.25">
      <c r="B67" s="8" t="s">
        <v>141</v>
      </c>
      <c r="C67" s="7">
        <f>0.0316*C65*(C48^0.5)*C51*C46/((2.54^2)*(70.307^0.5)*2.205)</f>
        <v>61.082295350423557</v>
      </c>
      <c r="D67" s="6" t="s">
        <v>113</v>
      </c>
    </row>
    <row r="68" spans="2:4" x14ac:dyDescent="0.25">
      <c r="B68" s="8" t="s">
        <v>143</v>
      </c>
      <c r="C68" s="7">
        <f>29+3500*C64</f>
        <v>32.687479608141999</v>
      </c>
      <c r="D68" s="6" t="s">
        <v>145</v>
      </c>
    </row>
    <row r="69" spans="2:4" x14ac:dyDescent="0.25">
      <c r="B69" s="8" t="s">
        <v>144</v>
      </c>
      <c r="C69" s="6">
        <v>90</v>
      </c>
      <c r="D69" s="6" t="s">
        <v>145</v>
      </c>
    </row>
    <row r="71" spans="2:4" x14ac:dyDescent="0.25">
      <c r="B71" s="8" t="s">
        <v>146</v>
      </c>
      <c r="C71" s="7">
        <f>C42*C49*C51/(C59*TAN(RADIANS(C68))*10^3)</f>
        <v>41.423358954485309</v>
      </c>
      <c r="D71" s="6" t="s">
        <v>113</v>
      </c>
    </row>
    <row r="72" spans="2:4" x14ac:dyDescent="0.25">
      <c r="B72" s="8" t="s">
        <v>148</v>
      </c>
      <c r="C72" s="7">
        <f>MIN(C71+C67,0.25*C48*C46*C51)</f>
        <v>102.50565430490886</v>
      </c>
      <c r="D72" s="6" t="s">
        <v>113</v>
      </c>
    </row>
    <row r="74" spans="2:4" x14ac:dyDescent="0.25">
      <c r="B74" s="8" t="s">
        <v>149</v>
      </c>
      <c r="C74" s="7">
        <f>C38/(C47*C72)</f>
        <v>0.63768302296870083</v>
      </c>
    </row>
    <row r="76" spans="2:4" ht="28.5" x14ac:dyDescent="0.45">
      <c r="B76" s="12" t="s">
        <v>161</v>
      </c>
      <c r="C76" s="12"/>
      <c r="D76" s="12"/>
    </row>
    <row r="78" spans="2:4" x14ac:dyDescent="0.25">
      <c r="B78" s="8" t="s">
        <v>85</v>
      </c>
      <c r="C78" s="6">
        <v>3</v>
      </c>
      <c r="D78" s="6" t="s">
        <v>1</v>
      </c>
    </row>
    <row r="79" spans="2:4" x14ac:dyDescent="0.25">
      <c r="B79" s="8" t="s">
        <v>157</v>
      </c>
      <c r="C79" s="11">
        <f>(C4-C78)/C4</f>
        <v>0.6470588235294118</v>
      </c>
    </row>
    <row r="80" spans="2:4" x14ac:dyDescent="0.25">
      <c r="B80" s="8" t="s">
        <v>158</v>
      </c>
      <c r="C80" s="11">
        <f>C78/C4</f>
        <v>0.35294117647058826</v>
      </c>
    </row>
    <row r="81" spans="2:4" x14ac:dyDescent="0.25">
      <c r="B81" s="8" t="s">
        <v>159</v>
      </c>
      <c r="C81" s="7">
        <f>C4-C78</f>
        <v>5.5</v>
      </c>
      <c r="D81" s="6" t="s">
        <v>1</v>
      </c>
    </row>
    <row r="82" spans="2:4" x14ac:dyDescent="0.25">
      <c r="B82" s="9" t="s">
        <v>109</v>
      </c>
      <c r="C82" s="7"/>
    </row>
    <row r="83" spans="2:4" x14ac:dyDescent="0.25">
      <c r="B83" s="8" t="s">
        <v>110</v>
      </c>
      <c r="C83" s="7">
        <f>C79</f>
        <v>0.6470588235294118</v>
      </c>
    </row>
    <row r="84" spans="2:4" x14ac:dyDescent="0.25">
      <c r="B84" s="8" t="s">
        <v>111</v>
      </c>
      <c r="C84" s="7">
        <f>C79*(C81-4.27)/C81</f>
        <v>0.14470588235294124</v>
      </c>
    </row>
    <row r="85" spans="2:4" x14ac:dyDescent="0.25">
      <c r="B85" s="8" t="s">
        <v>112</v>
      </c>
      <c r="C85" s="7">
        <f>14.51*1.33</f>
        <v>19.298300000000001</v>
      </c>
      <c r="D85" s="6" t="s">
        <v>113</v>
      </c>
    </row>
    <row r="86" spans="2:4" x14ac:dyDescent="0.25">
      <c r="B86" s="8" t="s">
        <v>114</v>
      </c>
      <c r="C86" s="7">
        <f>C85*(C83+C84)</f>
        <v>15.279712823529415</v>
      </c>
      <c r="D86" s="6" t="s">
        <v>113</v>
      </c>
    </row>
    <row r="87" spans="2:4" x14ac:dyDescent="0.25">
      <c r="B87" s="8" t="s">
        <v>115</v>
      </c>
      <c r="C87" s="7">
        <f>0.968*0.5*(C79*C81-C78*C80)</f>
        <v>1.21</v>
      </c>
      <c r="D87" s="6" t="s">
        <v>113</v>
      </c>
    </row>
    <row r="88" spans="2:4" x14ac:dyDescent="0.25">
      <c r="B88" s="8" t="s">
        <v>116</v>
      </c>
      <c r="C88" s="7">
        <f>C87+C86</f>
        <v>16.489712823529416</v>
      </c>
      <c r="D88" s="6" t="s">
        <v>113</v>
      </c>
    </row>
    <row r="90" spans="2:4" x14ac:dyDescent="0.25">
      <c r="B90" s="9" t="s">
        <v>117</v>
      </c>
      <c r="C90" s="7"/>
    </row>
    <row r="91" spans="2:4" x14ac:dyDescent="0.25">
      <c r="B91" s="8" t="s">
        <v>110</v>
      </c>
      <c r="C91" s="7">
        <f>C79</f>
        <v>0.6470588235294118</v>
      </c>
    </row>
    <row r="92" spans="2:4" x14ac:dyDescent="0.25">
      <c r="B92" s="8" t="s">
        <v>111</v>
      </c>
      <c r="C92" s="7">
        <f>C79*(C81-1.22)/C81</f>
        <v>0.50352941176470589</v>
      </c>
    </row>
    <row r="93" spans="2:4" x14ac:dyDescent="0.25">
      <c r="B93" s="8" t="s">
        <v>118</v>
      </c>
      <c r="C93" s="7">
        <f>11.34*1.33</f>
        <v>15.0822</v>
      </c>
      <c r="D93" s="6" t="s">
        <v>113</v>
      </c>
    </row>
    <row r="94" spans="2:4" x14ac:dyDescent="0.25">
      <c r="B94" s="8" t="s">
        <v>114</v>
      </c>
      <c r="C94" s="7">
        <f>C93*(C91+C92)</f>
        <v>17.353401882352941</v>
      </c>
      <c r="D94" s="6" t="s">
        <v>113</v>
      </c>
    </row>
    <row r="95" spans="2:4" x14ac:dyDescent="0.25">
      <c r="B95" s="8" t="s">
        <v>115</v>
      </c>
      <c r="C95" s="7">
        <f>0.968*0.5*(C79*C81-C78*C80)</f>
        <v>1.21</v>
      </c>
      <c r="D95" s="6" t="s">
        <v>113</v>
      </c>
    </row>
    <row r="96" spans="2:4" x14ac:dyDescent="0.25">
      <c r="B96" s="8" t="s">
        <v>116</v>
      </c>
      <c r="C96" s="7">
        <f>C95+C94</f>
        <v>18.563401882352942</v>
      </c>
      <c r="D96" s="6" t="s">
        <v>113</v>
      </c>
    </row>
    <row r="97" spans="2:13" x14ac:dyDescent="0.25">
      <c r="C97" s="7"/>
    </row>
    <row r="98" spans="2:13" x14ac:dyDescent="0.25">
      <c r="B98" s="8" t="s">
        <v>119</v>
      </c>
      <c r="C98" s="7">
        <f>MAX(C96,C88)</f>
        <v>18.563401882352942</v>
      </c>
      <c r="D98" s="6" t="s">
        <v>113</v>
      </c>
    </row>
    <row r="100" spans="2:13" x14ac:dyDescent="0.25">
      <c r="B100" s="8" t="s">
        <v>152</v>
      </c>
      <c r="C100" s="7">
        <f>(C24+C26+C27+C28)*0.5*(C79*C81-C78*C80)*C31</f>
        <v>4.3528124999999998</v>
      </c>
      <c r="D100" s="6" t="s">
        <v>113</v>
      </c>
      <c r="E100" s="3"/>
      <c r="G100" s="3"/>
    </row>
    <row r="101" spans="2:13" x14ac:dyDescent="0.25">
      <c r="B101" s="8" t="s">
        <v>153</v>
      </c>
      <c r="C101" s="7">
        <f>C25*0.5*(C79*C81-C78*C80)*C32</f>
        <v>0.45150000000000007</v>
      </c>
      <c r="D101" s="6" t="s">
        <v>113</v>
      </c>
      <c r="E101" s="3"/>
      <c r="G101" s="3"/>
    </row>
    <row r="102" spans="2:13" x14ac:dyDescent="0.25">
      <c r="B102" s="8" t="s">
        <v>154</v>
      </c>
      <c r="C102" s="7">
        <f>C98*C33*C13</f>
        <v>23.892894680834921</v>
      </c>
      <c r="D102" s="6" t="s">
        <v>113</v>
      </c>
      <c r="E102" s="3"/>
      <c r="G102" s="3"/>
    </row>
    <row r="103" spans="2:13" x14ac:dyDescent="0.25">
      <c r="B103" s="8" t="s">
        <v>155</v>
      </c>
      <c r="C103" s="7">
        <f>SUM(C100:C102)</f>
        <v>28.697207180834923</v>
      </c>
      <c r="D103" s="6" t="s">
        <v>113</v>
      </c>
      <c r="E103" s="3"/>
      <c r="G103" s="3"/>
      <c r="I103" s="8"/>
      <c r="J103" s="7"/>
      <c r="K103" s="6"/>
    </row>
    <row r="105" spans="2:13" ht="21" x14ac:dyDescent="0.35">
      <c r="B105" s="10" t="s">
        <v>127</v>
      </c>
      <c r="J105" t="s">
        <v>162</v>
      </c>
      <c r="K105" s="2">
        <f>'Cálculo hasta momentos'!D53</f>
        <v>0.73548387096774204</v>
      </c>
    </row>
    <row r="106" spans="2:13" x14ac:dyDescent="0.25">
      <c r="B106" s="8" t="s">
        <v>135</v>
      </c>
      <c r="C106" s="7">
        <f>C103*(10^3)/(C47*C46*C51)</f>
        <v>6.2046673976421953</v>
      </c>
      <c r="D106" s="6" t="s">
        <v>80</v>
      </c>
      <c r="J106" t="s">
        <v>163</v>
      </c>
      <c r="K106" s="3">
        <v>59.7</v>
      </c>
      <c r="L106" t="s">
        <v>165</v>
      </c>
    </row>
    <row r="107" spans="2:13" x14ac:dyDescent="0.25">
      <c r="B107" s="8" t="s">
        <v>160</v>
      </c>
      <c r="C107" s="7">
        <f>C54</f>
        <v>58.329714758585887</v>
      </c>
      <c r="D107" s="6" t="s">
        <v>3</v>
      </c>
      <c r="J107" t="s">
        <v>164</v>
      </c>
      <c r="K107" s="3">
        <f>K106*K105*C33</f>
        <v>76.839677419354842</v>
      </c>
    </row>
    <row r="108" spans="2:13" x14ac:dyDescent="0.25">
      <c r="B108" s="8" t="s">
        <v>137</v>
      </c>
      <c r="C108" s="7">
        <f>IF(C106&lt;C56,MIN(0.8*C51,24*2.54),MIN(0.4*C51,12*2.54))</f>
        <v>60.96</v>
      </c>
      <c r="D108" s="6" t="s">
        <v>3</v>
      </c>
      <c r="J108" t="s">
        <v>166</v>
      </c>
      <c r="K108" s="3">
        <f>C78*C81/2</f>
        <v>8.25</v>
      </c>
    </row>
    <row r="109" spans="2:13" x14ac:dyDescent="0.25">
      <c r="J109" t="s">
        <v>167</v>
      </c>
      <c r="K109" s="3">
        <f>(C24+C26+C27+C28)*K108*C31</f>
        <v>28.728562499999995</v>
      </c>
      <c r="M109" s="3"/>
    </row>
    <row r="110" spans="2:13" x14ac:dyDescent="0.25">
      <c r="B110" s="8" t="s">
        <v>138</v>
      </c>
      <c r="C110" s="6">
        <v>55</v>
      </c>
      <c r="D110" s="6" t="s">
        <v>3</v>
      </c>
      <c r="E110" t="str">
        <f>IF(AND(C110&lt;=C108,C110&lt;=C107),"menor al máximo", "sobrepasa el máximo")</f>
        <v>menor al máximo</v>
      </c>
      <c r="J110" t="s">
        <v>168</v>
      </c>
      <c r="K110" s="3">
        <f>(C25)*K108*C32</f>
        <v>2.9799000000000002</v>
      </c>
    </row>
    <row r="111" spans="2:13" x14ac:dyDescent="0.25">
      <c r="B111" s="8" t="s">
        <v>140</v>
      </c>
      <c r="C111" s="16">
        <f>((K111*10^5)/C51+C103*10^3)/((2.04*10^6)*C62)</f>
        <v>2.4053184325545066E-3</v>
      </c>
      <c r="J111" t="s">
        <v>151</v>
      </c>
      <c r="K111" s="3">
        <f>K110+K109+K107</f>
        <v>108.54813991935484</v>
      </c>
    </row>
    <row r="112" spans="2:13" x14ac:dyDescent="0.25">
      <c r="B112" s="8" t="s">
        <v>142</v>
      </c>
      <c r="C112" s="7">
        <f>4.8/(1+750*C111)</f>
        <v>1.7118470509596</v>
      </c>
      <c r="K112" s="3"/>
    </row>
    <row r="113" spans="2:7" x14ac:dyDescent="0.25">
      <c r="B113" s="8" t="s">
        <v>141</v>
      </c>
      <c r="C113" s="7">
        <f>0.0316*C112*(C48^0.5)*C51*C46/((2.54^2)*(70.307^0.5)*2.205)</f>
        <v>38.997284285702669</v>
      </c>
      <c r="D113" s="6" t="s">
        <v>113</v>
      </c>
    </row>
    <row r="114" spans="2:7" x14ac:dyDescent="0.25">
      <c r="B114" s="8" t="s">
        <v>143</v>
      </c>
      <c r="C114" s="7">
        <f>29+3500*C111</f>
        <v>37.418614513940774</v>
      </c>
      <c r="D114" s="6" t="s">
        <v>145</v>
      </c>
      <c r="E114" s="3"/>
      <c r="G114" s="3"/>
    </row>
    <row r="115" spans="2:7" x14ac:dyDescent="0.25">
      <c r="B115" s="8" t="s">
        <v>144</v>
      </c>
      <c r="C115" s="14">
        <v>90</v>
      </c>
      <c r="D115" s="6" t="s">
        <v>145</v>
      </c>
    </row>
    <row r="116" spans="2:7" x14ac:dyDescent="0.25">
      <c r="B116" s="8" t="s">
        <v>146</v>
      </c>
      <c r="C116" s="7">
        <f>C42*C49*C51/(C110*TAN(RADIANS(C114))*10^3)</f>
        <v>31.584098343667023</v>
      </c>
      <c r="D116" s="6" t="s">
        <v>113</v>
      </c>
    </row>
    <row r="117" spans="2:7" x14ac:dyDescent="0.25">
      <c r="B117" s="8" t="s">
        <v>148</v>
      </c>
      <c r="C117" s="7">
        <f>MIN(C116+C113,0.25*C48*C46*C51)</f>
        <v>70.581382629369699</v>
      </c>
      <c r="D117" s="6" t="s">
        <v>113</v>
      </c>
      <c r="E117" s="3"/>
      <c r="G117" s="3"/>
    </row>
    <row r="119" spans="2:7" x14ac:dyDescent="0.25">
      <c r="B119" s="8" t="s">
        <v>149</v>
      </c>
      <c r="C119" s="7">
        <f>C103/(C47*C117)</f>
        <v>0.45175915473233047</v>
      </c>
    </row>
    <row r="121" spans="2:7" x14ac:dyDescent="0.25">
      <c r="B121" s="8" t="s">
        <v>172</v>
      </c>
      <c r="C121" s="7">
        <f>'Acero a flexión exterior'!E18*'Acero a flexión exterior'!E20</f>
        <v>30.787608005179969</v>
      </c>
    </row>
    <row r="122" spans="2:7" x14ac:dyDescent="0.25">
      <c r="B122" s="8" t="s">
        <v>173</v>
      </c>
      <c r="C122" s="7">
        <f>C121*4.2</f>
        <v>129.30795362175587</v>
      </c>
      <c r="D122" s="6" t="s">
        <v>113</v>
      </c>
    </row>
    <row r="123" spans="2:7" x14ac:dyDescent="0.25">
      <c r="C123" s="8">
        <f>(C103/C47-0.5*C116)/TAN(RADIANS(C127))</f>
        <v>25.080624906985136</v>
      </c>
      <c r="D123" s="6" t="s">
        <v>113</v>
      </c>
    </row>
    <row r="124" spans="2:7" x14ac:dyDescent="0.25">
      <c r="C124" s="15" t="str">
        <f>IF(C123&lt;C122,"cumple","no cumple")</f>
        <v>cumple</v>
      </c>
    </row>
    <row r="127" spans="2:7" x14ac:dyDescent="0.25">
      <c r="B127" s="8" t="s">
        <v>143</v>
      </c>
      <c r="C127" s="7">
        <v>32.687479608141999</v>
      </c>
      <c r="D127" s="6" t="s">
        <v>145</v>
      </c>
    </row>
  </sheetData>
  <mergeCells count="1">
    <mergeCell ref="B15:E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Cálculo hasta momentos</vt:lpstr>
      <vt:lpstr>Acero a flexión interior</vt:lpstr>
      <vt:lpstr>Acero a flexión exterior</vt:lpstr>
      <vt:lpstr>Acero al corte interior</vt:lpstr>
      <vt:lpstr>Acero al corte exterior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2023-04-14T00:30:17Z</cp:lastPrinted>
  <dcterms:created xsi:type="dcterms:W3CDTF">2019-05-03T15:27:33Z</dcterms:created>
  <dcterms:modified xsi:type="dcterms:W3CDTF">2023-04-14T01:58:30Z</dcterms:modified>
</cp:coreProperties>
</file>