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repositorio GC\EXCEL puentes\"/>
    </mc:Choice>
  </mc:AlternateContent>
  <xr:revisionPtr revIDLastSave="0" documentId="13_ncr:1_{E302118B-08C5-463F-9AD4-1D621D86D1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Long. de corte, tramo interio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I54" i="1" l="1"/>
  <c r="I53" i="1"/>
  <c r="D19" i="2" l="1"/>
  <c r="D18" i="2"/>
  <c r="F10" i="2"/>
  <c r="D11" i="2"/>
  <c r="E6" i="2"/>
  <c r="D20" i="2" l="1"/>
  <c r="D21" i="2"/>
  <c r="D23" i="2" s="1"/>
  <c r="I152" i="1"/>
  <c r="C146" i="1"/>
  <c r="I146" i="1"/>
  <c r="I147" i="1" s="1"/>
  <c r="C112" i="1"/>
  <c r="C110" i="1"/>
  <c r="C131" i="1" s="1"/>
  <c r="C104" i="1"/>
  <c r="C101" i="1"/>
  <c r="I74" i="1"/>
  <c r="C92" i="1"/>
  <c r="C81" i="1"/>
  <c r="C155" i="1" l="1"/>
  <c r="I155" i="1" s="1"/>
  <c r="K152" i="1"/>
  <c r="I153" i="1" s="1"/>
  <c r="C145" i="1"/>
  <c r="C149" i="1"/>
  <c r="I148" i="1" s="1"/>
  <c r="C144" i="1"/>
  <c r="I8" i="1"/>
  <c r="C132" i="1"/>
  <c r="I154" i="1" l="1"/>
  <c r="D119" i="1"/>
  <c r="C111" i="1"/>
  <c r="C114" i="1" l="1"/>
  <c r="C115" i="1" s="1"/>
  <c r="C116" i="1" s="1"/>
  <c r="C118" i="1" s="1"/>
  <c r="C119" i="1" s="1"/>
  <c r="D6" i="2" s="1"/>
  <c r="C106" i="1"/>
  <c r="C117" i="1" s="1"/>
  <c r="I79" i="1"/>
  <c r="I100" i="1"/>
  <c r="I5" i="1"/>
  <c r="I76" i="1" s="1"/>
  <c r="C96" i="1"/>
  <c r="I118" i="1" s="1"/>
  <c r="I119" i="1" s="1"/>
  <c r="I57" i="1"/>
  <c r="C85" i="1"/>
  <c r="C74" i="1"/>
  <c r="C128" i="1" l="1"/>
  <c r="D9" i="2"/>
  <c r="D24" i="2" s="1"/>
  <c r="D25" i="2" s="1"/>
  <c r="D26" i="2" s="1"/>
  <c r="I78" i="1"/>
  <c r="I133" i="1"/>
  <c r="I6" i="1"/>
  <c r="I47" i="1" s="1"/>
  <c r="C80" i="1"/>
  <c r="I61" i="1" s="1"/>
  <c r="I62" i="1"/>
  <c r="C91" i="1"/>
  <c r="I91" i="1"/>
  <c r="I92" i="1" s="1"/>
  <c r="C66" i="1"/>
  <c r="I33" i="1"/>
  <c r="C50" i="1"/>
  <c r="I7" i="1"/>
  <c r="I23" i="1" s="1"/>
  <c r="I10" i="1"/>
  <c r="C41" i="1"/>
  <c r="C40" i="1"/>
  <c r="C33" i="1"/>
  <c r="C23" i="1"/>
  <c r="I103" i="1" s="1"/>
  <c r="C16" i="1"/>
  <c r="I58" i="1"/>
  <c r="C69" i="1"/>
  <c r="I34" i="1"/>
  <c r="C58" i="1"/>
  <c r="I50" i="1" s="1"/>
  <c r="C57" i="1"/>
  <c r="C56" i="1"/>
  <c r="C42" i="1" l="1"/>
  <c r="C99" i="1"/>
  <c r="I67" i="1"/>
  <c r="I70" i="1"/>
  <c r="I71" i="1" s="1"/>
  <c r="I49" i="1"/>
  <c r="I48" i="1"/>
  <c r="I39" i="1"/>
  <c r="I40" i="1" s="1"/>
  <c r="I41" i="1" s="1"/>
  <c r="I24" i="1"/>
  <c r="I75" i="1"/>
  <c r="I104" i="1"/>
  <c r="I136" i="1"/>
  <c r="I107" i="1"/>
  <c r="I26" i="1"/>
  <c r="I51" i="1"/>
  <c r="I52" i="1" s="1"/>
  <c r="I9" i="1"/>
  <c r="I16" i="1" s="1"/>
  <c r="I17" i="1" s="1"/>
  <c r="I18" i="1" s="1"/>
  <c r="I19" i="1" s="1"/>
  <c r="I25" i="1"/>
  <c r="I27" i="1"/>
  <c r="I28" i="1" s="1"/>
  <c r="I29" i="1" s="1"/>
  <c r="C22" i="1"/>
  <c r="C24" i="1"/>
  <c r="C17" i="1"/>
  <c r="I42" i="1" l="1"/>
  <c r="K41" i="1"/>
  <c r="I68" i="1"/>
  <c r="I101" i="1"/>
  <c r="C122" i="1"/>
  <c r="C123" i="1" s="1"/>
  <c r="I127" i="1"/>
  <c r="I128" i="1" s="1"/>
  <c r="I102" i="1"/>
  <c r="I105" i="1" s="1"/>
  <c r="I111" i="1" s="1"/>
  <c r="I112" i="1" s="1"/>
  <c r="I113" i="1" s="1"/>
  <c r="I114" i="1" s="1"/>
  <c r="I80" i="1"/>
  <c r="I84" i="1" s="1"/>
  <c r="I85" i="1" s="1"/>
  <c r="I86" i="1" s="1"/>
  <c r="I87" i="1" s="1"/>
  <c r="K18" i="1"/>
  <c r="I55" i="1"/>
  <c r="I30" i="1"/>
  <c r="I31" i="1"/>
  <c r="I32" i="1" s="1"/>
  <c r="I130" i="1" l="1"/>
  <c r="I129" i="1"/>
  <c r="I56" i="1"/>
  <c r="I82" i="1"/>
  <c r="I93" i="1" s="1"/>
  <c r="I137" i="1"/>
  <c r="I109" i="1"/>
  <c r="I120" i="1" s="1"/>
  <c r="C125" i="1"/>
  <c r="C124" i="1"/>
  <c r="I59" i="1"/>
  <c r="I35" i="1"/>
  <c r="I121" i="1" l="1"/>
  <c r="I122" i="1" s="1"/>
  <c r="I123" i="1" s="1"/>
  <c r="I124" i="1" s="1"/>
  <c r="I94" i="1"/>
  <c r="I95" i="1"/>
  <c r="I96" i="1" s="1"/>
  <c r="I97" i="1" s="1"/>
  <c r="C126" i="1"/>
  <c r="C129" i="1" s="1"/>
  <c r="C130" i="1" s="1"/>
  <c r="C127" i="1"/>
  <c r="I132" i="1"/>
  <c r="I134" i="1" s="1"/>
  <c r="I139" i="1" s="1"/>
  <c r="I140" i="1" s="1"/>
  <c r="I141" i="1" s="1"/>
  <c r="I142" i="1" s="1"/>
  <c r="I131" i="1"/>
</calcChain>
</file>

<file path=xl/sharedStrings.xml><?xml version="1.0" encoding="utf-8"?>
<sst xmlns="http://schemas.openxmlformats.org/spreadsheetml/2006/main" count="519" uniqueCount="229">
  <si>
    <t>Cálculo</t>
  </si>
  <si>
    <t>Sección del Codigo</t>
  </si>
  <si>
    <t>Datos:</t>
  </si>
  <si>
    <t>Tabla 3.4.1-2</t>
  </si>
  <si>
    <t>γpDCmax</t>
  </si>
  <si>
    <t>in.</t>
  </si>
  <si>
    <t>9.7.1.1</t>
  </si>
  <si>
    <t>13.7.3.1.2</t>
  </si>
  <si>
    <t>cm.</t>
  </si>
  <si>
    <t>17.78</t>
  </si>
  <si>
    <t>20.32</t>
  </si>
  <si>
    <t>adop.</t>
  </si>
  <si>
    <t>cm</t>
  </si>
  <si>
    <t>Peso Muerto (Wc)</t>
  </si>
  <si>
    <t>espesor de la losa (ts)</t>
  </si>
  <si>
    <t>espesor de la losa en voladizo (to)</t>
  </si>
  <si>
    <t>kg/m2</t>
  </si>
  <si>
    <t>Mom. Ult. Carga Muerta</t>
  </si>
  <si>
    <t>m.</t>
  </si>
  <si>
    <t>ancho de barreras</t>
  </si>
  <si>
    <t>ancho de aceras</t>
  </si>
  <si>
    <t>ancho losa</t>
  </si>
  <si>
    <t>m</t>
  </si>
  <si>
    <t>numero de carriles posibles</t>
  </si>
  <si>
    <t>numero de vigas</t>
  </si>
  <si>
    <t>tm/m</t>
  </si>
  <si>
    <t>minimo ancho volado</t>
  </si>
  <si>
    <t>ft</t>
  </si>
  <si>
    <t>53.34</t>
  </si>
  <si>
    <t>182.88</t>
  </si>
  <si>
    <t>máximo ancho volado cond. 1</t>
  </si>
  <si>
    <t>máximo ancho volado cond. 2</t>
  </si>
  <si>
    <t>separación entre vigas estimada</t>
  </si>
  <si>
    <t>Apendice A4.</t>
  </si>
  <si>
    <t>ancho para carriles</t>
  </si>
  <si>
    <t>3.6.1.1.1</t>
  </si>
  <si>
    <t>separacion entre vigas en ft. e in.</t>
  </si>
  <si>
    <t>ft.+</t>
  </si>
  <si>
    <t>2.05</t>
  </si>
  <si>
    <t>ancho ala superior vigas</t>
  </si>
  <si>
    <t>dist CL. Cara viga</t>
  </si>
  <si>
    <t>9.84252</t>
  </si>
  <si>
    <t>kip m/m</t>
  </si>
  <si>
    <t>t m/m</t>
  </si>
  <si>
    <t>Coef. Mom Positivo. LL</t>
  </si>
  <si>
    <t>Coef. Mom Negativo LL</t>
  </si>
  <si>
    <t>Mom. para 10ft 2.05 in</t>
  </si>
  <si>
    <t>Mom. para 10ft 3 in</t>
  </si>
  <si>
    <t>Mom. para 10ft 0 in</t>
  </si>
  <si>
    <t>Mom. para 10ft 0 in, @9in.</t>
  </si>
  <si>
    <t>Mom. para 10ft 3 in, @9in.</t>
  </si>
  <si>
    <t>Mom. para 10ft 0 in, @12in.</t>
  </si>
  <si>
    <t>Mom. para 10ft 3 in, @12in.</t>
  </si>
  <si>
    <t>Mom. para 10ft 0 in, @ 9.84252in.</t>
  </si>
  <si>
    <t>Mom. para 10ft 3 in, @ 9.84252in.</t>
  </si>
  <si>
    <t>Mom. para 10ft 2.05 in, @ 9.84252in.</t>
  </si>
  <si>
    <t>Tabla 3.4.1-1</t>
  </si>
  <si>
    <t>γ LL</t>
  </si>
  <si>
    <t>Mom. Ult. Carga viva (+)</t>
  </si>
  <si>
    <t>Mom. Ult. Carga viva (-)</t>
  </si>
  <si>
    <t>Mom. Ult. (+)</t>
  </si>
  <si>
    <t>Mom. Ult. (-)</t>
  </si>
  <si>
    <t>Refuerzo Positivo</t>
  </si>
  <si>
    <t>db supuesto</t>
  </si>
  <si>
    <t>mm</t>
  </si>
  <si>
    <t>altura resistente losa (de)</t>
  </si>
  <si>
    <t>5.7.2.1</t>
  </si>
  <si>
    <t>Factor reduccion resis. Secciones controladas por tension (Φf)</t>
  </si>
  <si>
    <t>Coef. de resis. de esfuerzo nominal</t>
  </si>
  <si>
    <t>kg/cm2</t>
  </si>
  <si>
    <t>%</t>
  </si>
  <si>
    <t>Acero Positivo</t>
  </si>
  <si>
    <t>Cuantia refuerzo</t>
  </si>
  <si>
    <t>f'c tablero</t>
  </si>
  <si>
    <t>fy varillas refuerzo</t>
  </si>
  <si>
    <t>5.4.2.1</t>
  </si>
  <si>
    <t>5.4.3.1</t>
  </si>
  <si>
    <t>Acero requerido por unidad de long.</t>
  </si>
  <si>
    <t>cm^2/m</t>
  </si>
  <si>
    <t>Area varilla</t>
  </si>
  <si>
    <t>cm2</t>
  </si>
  <si>
    <t>Espaciamiento</t>
  </si>
  <si>
    <t>Evaluacion agrietamiento</t>
  </si>
  <si>
    <t>M(+) no mayorado</t>
  </si>
  <si>
    <t>Acero provisto</t>
  </si>
  <si>
    <t>cm2/cm</t>
  </si>
  <si>
    <t>Cuantia refuerzo provista</t>
  </si>
  <si>
    <t>E hormi.</t>
  </si>
  <si>
    <t>E acero.</t>
  </si>
  <si>
    <t>Razon elasticidad acero/hormi.</t>
  </si>
  <si>
    <t>B</t>
  </si>
  <si>
    <t>k</t>
  </si>
  <si>
    <t>Altura seccion a compresion</t>
  </si>
  <si>
    <t>Inercia centroidal seccion agrietada</t>
  </si>
  <si>
    <t>dist. EN acero en tension</t>
  </si>
  <si>
    <t>esfuerzo de tension en el acero</t>
  </si>
  <si>
    <t>cm4/cm</t>
  </si>
  <si>
    <t>βs</t>
  </si>
  <si>
    <t>γe (Factor de exposicion para clase 2)</t>
  </si>
  <si>
    <t>5.7.3.4</t>
  </si>
  <si>
    <t>700 kips/in</t>
  </si>
  <si>
    <t>smax</t>
  </si>
  <si>
    <t>Refuerzo Negativo</t>
  </si>
  <si>
    <t>recub. Inf. Min</t>
  </si>
  <si>
    <t>in</t>
  </si>
  <si>
    <t>Acero Negativo</t>
  </si>
  <si>
    <t>kg/cm</t>
  </si>
  <si>
    <t>M(-) no mayorado</t>
  </si>
  <si>
    <t>recub. sup. Min</t>
  </si>
  <si>
    <t>Tabla 5.12.3-1</t>
  </si>
  <si>
    <t>c/cm2</t>
  </si>
  <si>
    <t>espesor del pav. Flexible</t>
  </si>
  <si>
    <t>Momento resistente de la barrera cerca de la junta</t>
  </si>
  <si>
    <t>Varilla refuerzo transversal</t>
  </si>
  <si>
    <t>Varilla refuerzo longitudinal</t>
  </si>
  <si>
    <t>Hh</t>
  </si>
  <si>
    <t>Espaciamiento varillas</t>
  </si>
  <si>
    <t xml:space="preserve">recub mín. </t>
  </si>
  <si>
    <t>5.08</t>
  </si>
  <si>
    <t>f'c barreras</t>
  </si>
  <si>
    <t>d</t>
  </si>
  <si>
    <t>a</t>
  </si>
  <si>
    <t>#varillas</t>
  </si>
  <si>
    <t>tm</t>
  </si>
  <si>
    <t>Lt</t>
  </si>
  <si>
    <t>Momento resistente longitudinal Mc</t>
  </si>
  <si>
    <t>Momento resistente transversal Mw</t>
  </si>
  <si>
    <t>Longitud falla en región exterior Lci</t>
  </si>
  <si>
    <t>Longitud falla en región interior Lce</t>
  </si>
  <si>
    <t>Refuerzo transversal en el volado</t>
  </si>
  <si>
    <t>Peso barrera</t>
  </si>
  <si>
    <t>alto aceras</t>
  </si>
  <si>
    <t>Peso acera (bloque 20x40)</t>
  </si>
  <si>
    <t>kg/m</t>
  </si>
  <si>
    <t>Peso losa</t>
  </si>
  <si>
    <t>Acero transversal en el volado</t>
  </si>
  <si>
    <t>Varilla</t>
  </si>
  <si>
    <t>1.3.2.1</t>
  </si>
  <si>
    <t>Factor de reducción Evento Extremo</t>
  </si>
  <si>
    <t>Mc</t>
  </si>
  <si>
    <t>MDC losa</t>
  </si>
  <si>
    <t>MDC barrera</t>
  </si>
  <si>
    <t>Mu total</t>
  </si>
  <si>
    <t>t/m</t>
  </si>
  <si>
    <t>Resistencia exterior Rwi</t>
  </si>
  <si>
    <t>Resistencia interior Rwe</t>
  </si>
  <si>
    <t>de</t>
  </si>
  <si>
    <t>Rn</t>
  </si>
  <si>
    <t>ρ</t>
  </si>
  <si>
    <t>As</t>
  </si>
  <si>
    <t>cm2/m</t>
  </si>
  <si>
    <t>S req.</t>
  </si>
  <si>
    <t>Resistencia a tensión</t>
  </si>
  <si>
    <t>Ta</t>
  </si>
  <si>
    <t>Tensión axial (T)</t>
  </si>
  <si>
    <t>C</t>
  </si>
  <si>
    <t>Mn</t>
  </si>
  <si>
    <t>Mr</t>
  </si>
  <si>
    <t>Mr&gt;Mu?</t>
  </si>
  <si>
    <t>β1</t>
  </si>
  <si>
    <t>Sección 1</t>
  </si>
  <si>
    <t>Sección 2</t>
  </si>
  <si>
    <t>Lci</t>
  </si>
  <si>
    <t>Mc2</t>
  </si>
  <si>
    <t>t</t>
  </si>
  <si>
    <t>MDC losa2</t>
  </si>
  <si>
    <t>MDC barrera2</t>
  </si>
  <si>
    <t>Mu total2</t>
  </si>
  <si>
    <t>Longitud falla adicional</t>
  </si>
  <si>
    <t>Seccion 1</t>
  </si>
  <si>
    <t>Seccion 2</t>
  </si>
  <si>
    <t>Sección 3</t>
  </si>
  <si>
    <t>Mc Inter.</t>
  </si>
  <si>
    <t>Mc3'</t>
  </si>
  <si>
    <t>Mc3'/Mc</t>
  </si>
  <si>
    <t>Mc3</t>
  </si>
  <si>
    <t>MDC losa 3</t>
  </si>
  <si>
    <t>MDC barrera 3</t>
  </si>
  <si>
    <t>Mu total3</t>
  </si>
  <si>
    <t>Mu (+) DC</t>
  </si>
  <si>
    <t>x1</t>
  </si>
  <si>
    <t>Seccion 3</t>
  </si>
  <si>
    <t>Reduccion resistencia flexión</t>
  </si>
  <si>
    <t>T</t>
  </si>
  <si>
    <t>xcorte</t>
  </si>
  <si>
    <t>Mc. In</t>
  </si>
  <si>
    <t>MDC vano</t>
  </si>
  <si>
    <t>Longitud adicional de corte</t>
  </si>
  <si>
    <t>Longitud de corte: cargas colision, vigas exteriores</t>
  </si>
  <si>
    <t>Longitud de corte: cargas verticales, vigas interiores</t>
  </si>
  <si>
    <t>MLL.</t>
  </si>
  <si>
    <t>MDC.</t>
  </si>
  <si>
    <t>Longitud total vanos interiores</t>
  </si>
  <si>
    <t>Refuerzo Longitudinal de la losa</t>
  </si>
  <si>
    <t>Se</t>
  </si>
  <si>
    <t>As inf</t>
  </si>
  <si>
    <t>9.7.3.2</t>
  </si>
  <si>
    <t>9.7.2.3</t>
  </si>
  <si>
    <t>Acero longitudinal</t>
  </si>
  <si>
    <t>S. secundario inf.</t>
  </si>
  <si>
    <t>S pos.</t>
  </si>
  <si>
    <t>Varilla pos.</t>
  </si>
  <si>
    <t>Varilla adop.</t>
  </si>
  <si>
    <t>Calculo refuerzo acero de retraccion y temperatura</t>
  </si>
  <si>
    <t>As. Req</t>
  </si>
  <si>
    <t>As. Sup</t>
  </si>
  <si>
    <t>As. Inf</t>
  </si>
  <si>
    <t>Espaciamiento superior</t>
  </si>
  <si>
    <t>Espaciamiento inferior</t>
  </si>
  <si>
    <t>5.10.8</t>
  </si>
  <si>
    <t>Longitud de corte transversal</t>
  </si>
  <si>
    <t>Varilla (-)</t>
  </si>
  <si>
    <t>2*Espaciamiento supuesto (-)</t>
  </si>
  <si>
    <t>Longitud de corte?</t>
  </si>
  <si>
    <t xml:space="preserve">Longitud total </t>
  </si>
  <si>
    <t>γ DC</t>
  </si>
  <si>
    <t>T/m2</t>
  </si>
  <si>
    <t>S</t>
  </si>
  <si>
    <t>Interpolacion o extrapolación</t>
  </si>
  <si>
    <t>S:10'0'', x: 18'</t>
  </si>
  <si>
    <t>S:10'3'', x: 18'</t>
  </si>
  <si>
    <t>S:10'0'', x: 24'</t>
  </si>
  <si>
    <t>S:10'3'', x: 24'</t>
  </si>
  <si>
    <t>kips</t>
  </si>
  <si>
    <t>S:10'2,05'', x: 18'</t>
  </si>
  <si>
    <t>S:10'2,05'', x: 24'</t>
  </si>
  <si>
    <t>S:10'2,05'', x: x corte</t>
  </si>
  <si>
    <t>MLL/γ</t>
  </si>
  <si>
    <t>SECTIONS OF CANTILEVER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</si>
</sst>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22222"/>
      <name val="Arial"/>
      <family val="2"/>
    </font>
    <font>
      <sz val="12"/>
      <color rgb="FF222222"/>
      <name val="Arial"/>
      <family val="2"/>
    </font>
    <font>
      <b/>
      <sz val="18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7" fillId="2" borderId="0" xfId="1"/>
    <xf numFmtId="0" fontId="0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326571</xdr:colOff>
      <xdr:row>4</xdr:row>
      <xdr:rowOff>0</xdr:rowOff>
    </xdr:from>
    <xdr:to>
      <xdr:col>25</xdr:col>
      <xdr:colOff>277571</xdr:colOff>
      <xdr:row>23</xdr:row>
      <xdr:rowOff>190024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769E0-77C2-41FC-A276-54BFC0A44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7571" y="952500"/>
          <a:ext cx="11000000" cy="3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639537</xdr:colOff>
      <xdr:row>73</xdr:row>
      <xdr:rowOff>95250</xdr:rowOff>
    </xdr:from>
    <xdr:to>
      <xdr:col>16</xdr:col>
      <xdr:colOff>403548</xdr:colOff>
      <xdr:row>101</xdr:row>
      <xdr:rowOff>44214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90BF43-D189-4CF2-A8BC-5E0C09D4D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9358" y="14573250"/>
          <a:ext cx="4676190" cy="5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421822</xdr:colOff>
      <xdr:row>53</xdr:row>
      <xdr:rowOff>108857</xdr:rowOff>
    </xdr:from>
    <xdr:to>
      <xdr:col>18</xdr:col>
      <xdr:colOff>268727</xdr:colOff>
      <xdr:row>66</xdr:row>
      <xdr:rowOff>270452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58200-49F4-4F24-8508-8B3A5697F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2822" y="10586357"/>
          <a:ext cx="5561905" cy="2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123825</xdr:rowOff>
    </xdr:from>
    <xdr:to>
      <xdr:col>16</xdr:col>
      <xdr:colOff>589659</xdr:colOff>
      <xdr:row>31</xdr:row>
      <xdr:rowOff>123087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23825"/>
          <a:ext cx="7123809" cy="5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M157"/>
  <sheetViews>
    <sheetView tabSelected="1" zoomScale="70" zoomScaleNormal="70" workbookViewId="0">
      <selection activeCell="E116" sqref="E116"/>
    </sheetView>
  </sheetViews>
  <sheetFormatPr defaultColWidth="11.42578125" defaultRowHeight="15" x14ac:dyDescent="0.25"/>
  <cols>
    <col min="2" max="2" width="47" bestFit="1" customWidth="1"/>
    <col min="3" max="3" width="13" style="2" customWidth="1"/>
    <col min="4" max="4" width="8.140625" style="2" customWidth="1"/>
    <col min="5" max="5" width="7.140625" style="2" customWidth="1"/>
    <col min="6" max="6" width="7.7109375" style="2" customWidth="1"/>
    <col min="7" max="7" width="14.42578125" style="4" customWidth="1"/>
    <col min="8" max="8" width="33.85546875" style="7" customWidth="1"/>
    <col min="9" max="9" width="12.42578125" style="2" customWidth="1"/>
    <col min="10" max="10" width="11" style="2" customWidth="1"/>
    <col min="11" max="11" width="10.7109375" style="2" customWidth="1"/>
    <col min="12" max="12" width="10.7109375" customWidth="1"/>
    <col min="13" max="13" width="17.7109375" customWidth="1"/>
  </cols>
  <sheetData>
    <row r="4" spans="2:11" ht="30" x14ac:dyDescent="0.25">
      <c r="B4" s="1" t="s">
        <v>2</v>
      </c>
      <c r="G4" s="21" t="s">
        <v>1</v>
      </c>
      <c r="H4" s="6" t="s">
        <v>0</v>
      </c>
      <c r="I4" s="3"/>
      <c r="K4" s="3"/>
    </row>
    <row r="5" spans="2:11" x14ac:dyDescent="0.25">
      <c r="G5" s="4" t="s">
        <v>3</v>
      </c>
      <c r="H5" s="7" t="s">
        <v>13</v>
      </c>
      <c r="I5" s="10">
        <f>(C8)*24+C11*22.4</f>
        <v>664</v>
      </c>
      <c r="J5" s="2" t="s">
        <v>16</v>
      </c>
    </row>
    <row r="6" spans="2:11" x14ac:dyDescent="0.25">
      <c r="B6" t="s">
        <v>4</v>
      </c>
      <c r="C6" s="2">
        <v>1.25</v>
      </c>
      <c r="G6" s="4" t="s">
        <v>3</v>
      </c>
      <c r="H6" s="7" t="s">
        <v>17</v>
      </c>
      <c r="I6" s="10">
        <f>C6*(I5/1000)*(C25^2)/10</f>
        <v>0.79763000000000017</v>
      </c>
      <c r="J6" s="2" t="s">
        <v>25</v>
      </c>
    </row>
    <row r="7" spans="2:11" x14ac:dyDescent="0.25">
      <c r="B7" t="s">
        <v>14</v>
      </c>
      <c r="C7" s="2">
        <v>7</v>
      </c>
      <c r="D7" s="2" t="s">
        <v>5</v>
      </c>
      <c r="E7" s="2" t="s">
        <v>9</v>
      </c>
      <c r="F7" s="2" t="s">
        <v>8</v>
      </c>
      <c r="G7" s="4" t="s">
        <v>6</v>
      </c>
      <c r="H7" s="7" t="s">
        <v>58</v>
      </c>
      <c r="I7" s="10">
        <f>E33*C44</f>
        <v>5.5492499999999998</v>
      </c>
      <c r="J7" s="2" t="s">
        <v>25</v>
      </c>
    </row>
    <row r="8" spans="2:11" x14ac:dyDescent="0.25">
      <c r="B8" s="5" t="s">
        <v>11</v>
      </c>
      <c r="C8" s="2">
        <v>23</v>
      </c>
      <c r="D8" s="2" t="s">
        <v>12</v>
      </c>
      <c r="H8" s="7" t="s">
        <v>59</v>
      </c>
      <c r="I8" s="10">
        <f>E42*C44</f>
        <v>4.15625</v>
      </c>
      <c r="J8" s="2" t="s">
        <v>25</v>
      </c>
    </row>
    <row r="9" spans="2:11" x14ac:dyDescent="0.25">
      <c r="B9" t="s">
        <v>15</v>
      </c>
      <c r="C9" s="2">
        <v>8</v>
      </c>
      <c r="D9" s="2" t="s">
        <v>5</v>
      </c>
      <c r="E9" s="2" t="s">
        <v>10</v>
      </c>
      <c r="F9" s="2" t="s">
        <v>8</v>
      </c>
      <c r="G9" s="4" t="s">
        <v>7</v>
      </c>
      <c r="H9" s="7" t="s">
        <v>60</v>
      </c>
      <c r="I9" s="10">
        <f>I7+I6</f>
        <v>6.3468799999999996</v>
      </c>
      <c r="J9" s="2" t="s">
        <v>25</v>
      </c>
    </row>
    <row r="10" spans="2:11" x14ac:dyDescent="0.25">
      <c r="B10" s="5" t="s">
        <v>11</v>
      </c>
      <c r="C10" s="2">
        <v>23</v>
      </c>
      <c r="H10" s="7" t="s">
        <v>61</v>
      </c>
      <c r="I10" s="10">
        <f>I8+I6</f>
        <v>4.9538799999999998</v>
      </c>
      <c r="J10" s="2" t="s">
        <v>25</v>
      </c>
    </row>
    <row r="11" spans="2:11" x14ac:dyDescent="0.25">
      <c r="B11" t="s">
        <v>111</v>
      </c>
      <c r="C11" s="2">
        <v>5</v>
      </c>
      <c r="D11" s="2" t="s">
        <v>8</v>
      </c>
    </row>
    <row r="12" spans="2:11" x14ac:dyDescent="0.25">
      <c r="B12" s="8" t="s">
        <v>19</v>
      </c>
      <c r="C12" s="2">
        <v>30</v>
      </c>
      <c r="D12" s="2" t="s">
        <v>12</v>
      </c>
    </row>
    <row r="13" spans="2:11" x14ac:dyDescent="0.25">
      <c r="B13" s="8" t="s">
        <v>131</v>
      </c>
      <c r="C13" s="2">
        <v>5</v>
      </c>
      <c r="D13" s="2" t="s">
        <v>12</v>
      </c>
    </row>
    <row r="14" spans="2:11" x14ac:dyDescent="0.25">
      <c r="B14" s="8" t="s">
        <v>20</v>
      </c>
      <c r="C14" s="2">
        <v>65</v>
      </c>
      <c r="D14" s="2" t="s">
        <v>12</v>
      </c>
    </row>
    <row r="15" spans="2:11" x14ac:dyDescent="0.25">
      <c r="B15" s="8" t="s">
        <v>21</v>
      </c>
      <c r="C15" s="2">
        <v>10.5</v>
      </c>
      <c r="D15" s="2" t="s">
        <v>22</v>
      </c>
      <c r="H15" s="6" t="s">
        <v>71</v>
      </c>
    </row>
    <row r="16" spans="2:11" x14ac:dyDescent="0.25">
      <c r="B16" s="8" t="s">
        <v>34</v>
      </c>
      <c r="C16" s="2">
        <f>C15-C14/50-C12/50</f>
        <v>8.6</v>
      </c>
      <c r="D16" s="2" t="s">
        <v>22</v>
      </c>
      <c r="H16" s="7" t="s">
        <v>68</v>
      </c>
      <c r="I16" s="10">
        <f>I9*1000/(C51*C50^2)</f>
        <v>20.166687319880143</v>
      </c>
      <c r="J16" s="2" t="s">
        <v>69</v>
      </c>
    </row>
    <row r="17" spans="2:11" x14ac:dyDescent="0.25">
      <c r="B17" s="8" t="s">
        <v>23</v>
      </c>
      <c r="C17" s="2">
        <f>C16/3.6</f>
        <v>2.3888888888888888</v>
      </c>
      <c r="G17" s="4" t="s">
        <v>35</v>
      </c>
      <c r="H17" s="7" t="s">
        <v>72</v>
      </c>
      <c r="I17" s="9">
        <f>100*0.85*(C53/C54)*(1-(1-2*I16/(0.85*C53))^0.5)</f>
        <v>0.50243326796915799</v>
      </c>
      <c r="J17" s="2" t="s">
        <v>70</v>
      </c>
    </row>
    <row r="18" spans="2:11" x14ac:dyDescent="0.25">
      <c r="B18" s="5" t="s">
        <v>11</v>
      </c>
      <c r="C18" s="2">
        <v>2</v>
      </c>
      <c r="H18" s="7" t="s">
        <v>77</v>
      </c>
      <c r="I18" s="10">
        <f>I17*(100/100)*C50</f>
        <v>9.3955021110232533</v>
      </c>
      <c r="J18" s="2" t="s">
        <v>78</v>
      </c>
      <c r="K18" s="9">
        <f>I18/100</f>
        <v>9.3955021110232531E-2</v>
      </c>
    </row>
    <row r="19" spans="2:11" x14ac:dyDescent="0.25">
      <c r="B19" s="8" t="s">
        <v>24</v>
      </c>
      <c r="C19" s="2">
        <v>4</v>
      </c>
      <c r="H19" s="7" t="s">
        <v>81</v>
      </c>
      <c r="I19" s="10">
        <f>C56*100/I18</f>
        <v>21.399806785616203</v>
      </c>
      <c r="J19" s="2" t="s">
        <v>12</v>
      </c>
    </row>
    <row r="20" spans="2:11" x14ac:dyDescent="0.25">
      <c r="B20" s="8" t="s">
        <v>26</v>
      </c>
      <c r="C20" s="2">
        <v>21</v>
      </c>
      <c r="D20" s="2" t="s">
        <v>5</v>
      </c>
      <c r="E20" s="2" t="s">
        <v>28</v>
      </c>
      <c r="F20" s="2" t="s">
        <v>12</v>
      </c>
      <c r="G20" s="22" t="s">
        <v>33</v>
      </c>
      <c r="H20" s="5" t="s">
        <v>11</v>
      </c>
      <c r="I20" s="2">
        <v>20</v>
      </c>
      <c r="J20" s="2" t="s">
        <v>12</v>
      </c>
    </row>
    <row r="21" spans="2:11" x14ac:dyDescent="0.25">
      <c r="B21" s="8" t="s">
        <v>30</v>
      </c>
      <c r="C21" s="2">
        <v>6</v>
      </c>
      <c r="D21" s="2" t="s">
        <v>27</v>
      </c>
      <c r="E21" s="2" t="s">
        <v>29</v>
      </c>
      <c r="F21" s="2" t="s">
        <v>12</v>
      </c>
      <c r="G21" s="22"/>
    </row>
    <row r="22" spans="2:11" x14ac:dyDescent="0.25">
      <c r="B22" s="8" t="s">
        <v>31</v>
      </c>
      <c r="C22" s="2">
        <f>C25*0.625*100</f>
        <v>193.75</v>
      </c>
      <c r="D22" s="2" t="s">
        <v>12</v>
      </c>
      <c r="G22" s="22"/>
      <c r="H22" s="6" t="s">
        <v>82</v>
      </c>
    </row>
    <row r="23" spans="2:11" x14ac:dyDescent="0.25">
      <c r="B23" s="5" t="s">
        <v>11</v>
      </c>
      <c r="C23" s="2">
        <f>(C15-C25*3)*50</f>
        <v>59.999999999999964</v>
      </c>
      <c r="D23" s="2" t="s">
        <v>12</v>
      </c>
      <c r="H23" s="7" t="s">
        <v>83</v>
      </c>
      <c r="I23" s="10">
        <f>I7/C44+I6/C6</f>
        <v>3.809104</v>
      </c>
      <c r="J23" s="2" t="s">
        <v>25</v>
      </c>
    </row>
    <row r="24" spans="2:11" x14ac:dyDescent="0.25">
      <c r="B24" s="8" t="s">
        <v>32</v>
      </c>
      <c r="C24" s="2">
        <f>C16/(C19-1)</f>
        <v>2.8666666666666667</v>
      </c>
      <c r="D24" s="2" t="s">
        <v>18</v>
      </c>
      <c r="H24" s="7" t="s">
        <v>84</v>
      </c>
      <c r="I24" s="9">
        <f>C56/I20</f>
        <v>0.10053096491487339</v>
      </c>
      <c r="J24" s="2" t="s">
        <v>85</v>
      </c>
    </row>
    <row r="25" spans="2:11" x14ac:dyDescent="0.25">
      <c r="B25" s="5" t="s">
        <v>11</v>
      </c>
      <c r="C25" s="2">
        <v>3.1</v>
      </c>
      <c r="D25" s="2" t="s">
        <v>22</v>
      </c>
      <c r="H25" s="7" t="s">
        <v>86</v>
      </c>
      <c r="I25" s="9">
        <f>I24*100/C50</f>
        <v>0.53759874286028553</v>
      </c>
      <c r="J25" s="2" t="s">
        <v>70</v>
      </c>
    </row>
    <row r="26" spans="2:11" x14ac:dyDescent="0.25">
      <c r="B26" s="8" t="s">
        <v>36</v>
      </c>
      <c r="C26" s="2">
        <v>10</v>
      </c>
      <c r="D26" s="2" t="s">
        <v>37</v>
      </c>
      <c r="E26" s="2" t="s">
        <v>38</v>
      </c>
      <c r="F26" s="2" t="s">
        <v>5</v>
      </c>
      <c r="H26" s="7" t="s">
        <v>89</v>
      </c>
      <c r="I26" s="10">
        <f>C58/C57</f>
        <v>8.0737296789475597</v>
      </c>
    </row>
    <row r="27" spans="2:11" x14ac:dyDescent="0.25">
      <c r="B27" s="8" t="s">
        <v>39</v>
      </c>
      <c r="C27" s="2">
        <v>50</v>
      </c>
      <c r="D27" s="2" t="s">
        <v>12</v>
      </c>
      <c r="H27" s="7" t="s">
        <v>90</v>
      </c>
      <c r="I27" s="10">
        <f>1/(I26*I24)</f>
        <v>1.23204322398618</v>
      </c>
      <c r="J27" s="2" t="s">
        <v>110</v>
      </c>
    </row>
    <row r="28" spans="2:11" x14ac:dyDescent="0.25">
      <c r="B28" s="8" t="s">
        <v>40</v>
      </c>
      <c r="C28" s="2">
        <v>25</v>
      </c>
      <c r="D28" s="2" t="s">
        <v>12</v>
      </c>
      <c r="E28" s="2" t="s">
        <v>41</v>
      </c>
      <c r="F28" s="2" t="s">
        <v>5</v>
      </c>
      <c r="H28" s="7" t="s">
        <v>91</v>
      </c>
      <c r="I28" s="10">
        <f>((2*I27*C50+1)^0.5-1)/(I27*C50)</f>
        <v>0.25440853957126902</v>
      </c>
    </row>
    <row r="29" spans="2:11" x14ac:dyDescent="0.25">
      <c r="H29" s="7" t="s">
        <v>92</v>
      </c>
      <c r="I29" s="10">
        <f>I28*C50</f>
        <v>4.7574396899827303</v>
      </c>
      <c r="J29" s="2" t="s">
        <v>12</v>
      </c>
    </row>
    <row r="30" spans="2:11" x14ac:dyDescent="0.25">
      <c r="B30" s="1" t="s">
        <v>44</v>
      </c>
      <c r="H30" s="7" t="s">
        <v>93</v>
      </c>
      <c r="I30" s="10">
        <f>(I29^3)/3+I26*I24*(C50-I29)^2</f>
        <v>193.67468328398638</v>
      </c>
      <c r="J30" s="2" t="s">
        <v>96</v>
      </c>
    </row>
    <row r="31" spans="2:11" x14ac:dyDescent="0.25">
      <c r="B31" s="8" t="s">
        <v>48</v>
      </c>
      <c r="C31" s="2">
        <v>6.89</v>
      </c>
      <c r="H31" s="7" t="s">
        <v>94</v>
      </c>
      <c r="I31" s="10">
        <f>-I29+C50</f>
        <v>13.942560310017269</v>
      </c>
      <c r="J31" s="2" t="s">
        <v>12</v>
      </c>
    </row>
    <row r="32" spans="2:11" x14ac:dyDescent="0.25">
      <c r="B32" s="8" t="s">
        <v>47</v>
      </c>
      <c r="C32" s="2">
        <v>7.03</v>
      </c>
      <c r="H32" s="7" t="s">
        <v>95</v>
      </c>
      <c r="I32" s="10">
        <f>I26*I23*I31*1000/I30</f>
        <v>2213.9444109228734</v>
      </c>
      <c r="J32" s="2" t="s">
        <v>69</v>
      </c>
    </row>
    <row r="33" spans="2:11" x14ac:dyDescent="0.25">
      <c r="B33" s="8" t="s">
        <v>46</v>
      </c>
      <c r="C33" s="2">
        <f>C31+(C32-C31)*(2.05)/3</f>
        <v>6.9856666666666669</v>
      </c>
      <c r="D33" s="2" t="s">
        <v>42</v>
      </c>
      <c r="E33" s="2">
        <v>3.1709999999999998</v>
      </c>
      <c r="F33" s="2" t="s">
        <v>43</v>
      </c>
      <c r="H33" s="7" t="s">
        <v>97</v>
      </c>
      <c r="I33" s="10">
        <f>1+C49/(0.7*(C8-C49))</f>
        <v>1.2564102564102564</v>
      </c>
    </row>
    <row r="34" spans="2:11" x14ac:dyDescent="0.25">
      <c r="H34" s="7" t="s">
        <v>100</v>
      </c>
      <c r="I34" s="2">
        <f>700*1000/(2.205*2.54)</f>
        <v>124984.37695288088</v>
      </c>
      <c r="J34" s="2" t="s">
        <v>106</v>
      </c>
    </row>
    <row r="35" spans="2:11" x14ac:dyDescent="0.25">
      <c r="B35" s="1" t="s">
        <v>45</v>
      </c>
      <c r="H35" s="7" t="s">
        <v>101</v>
      </c>
      <c r="I35" s="10">
        <f>I34*C60/(I33*I32)-2*C49</f>
        <v>26.699139223219447</v>
      </c>
      <c r="J35" s="2" t="s">
        <v>12</v>
      </c>
    </row>
    <row r="36" spans="2:11" x14ac:dyDescent="0.25">
      <c r="B36" s="8" t="s">
        <v>49</v>
      </c>
      <c r="C36" s="2">
        <v>5.26</v>
      </c>
    </row>
    <row r="37" spans="2:11" x14ac:dyDescent="0.25">
      <c r="B37" t="s">
        <v>50</v>
      </c>
      <c r="C37" s="2">
        <v>5.58</v>
      </c>
    </row>
    <row r="38" spans="2:11" x14ac:dyDescent="0.25">
      <c r="B38" s="8" t="s">
        <v>51</v>
      </c>
      <c r="C38" s="2">
        <v>4.41</v>
      </c>
      <c r="H38" s="6" t="s">
        <v>105</v>
      </c>
    </row>
    <row r="39" spans="2:11" x14ac:dyDescent="0.25">
      <c r="B39" t="s">
        <v>52</v>
      </c>
      <c r="C39" s="2">
        <v>4.71</v>
      </c>
      <c r="H39" s="7" t="s">
        <v>68</v>
      </c>
      <c r="I39" s="10">
        <f>I10*1000/(C67*C66^2)</f>
        <v>22.04899499724047</v>
      </c>
      <c r="J39" s="2" t="s">
        <v>69</v>
      </c>
    </row>
    <row r="40" spans="2:11" x14ac:dyDescent="0.25">
      <c r="B40" t="s">
        <v>53</v>
      </c>
      <c r="C40" s="10">
        <f>C36+(C38-C36)*(9.84252-9)/(12-9)</f>
        <v>5.0212859999999999</v>
      </c>
      <c r="H40" s="7" t="s">
        <v>72</v>
      </c>
      <c r="I40" s="9">
        <f>100*0.85*(C53/C54)*(1-(1-2*I39/(0.85*C53))^0.5)</f>
        <v>0.55184679668767211</v>
      </c>
      <c r="J40" s="2" t="s">
        <v>70</v>
      </c>
    </row>
    <row r="41" spans="2:11" x14ac:dyDescent="0.25">
      <c r="B41" t="s">
        <v>54</v>
      </c>
      <c r="C41" s="10">
        <f>C37+(C39-C37)*(9.84252-9)/(12-9)</f>
        <v>5.3356691999999999</v>
      </c>
      <c r="H41" s="7" t="s">
        <v>77</v>
      </c>
      <c r="I41" s="10">
        <f>I40*(100/100)*C66</f>
        <v>8.7191793876652195</v>
      </c>
      <c r="J41" s="2" t="s">
        <v>78</v>
      </c>
      <c r="K41" s="2">
        <f>I41/100</f>
        <v>8.7191793876652199E-2</v>
      </c>
    </row>
    <row r="42" spans="2:11" x14ac:dyDescent="0.25">
      <c r="B42" t="s">
        <v>55</v>
      </c>
      <c r="C42" s="10">
        <f>C40+(C41-C40)*(2.05)/3</f>
        <v>5.2361145200000001</v>
      </c>
      <c r="D42" s="2" t="s">
        <v>42</v>
      </c>
      <c r="E42" s="2">
        <v>2.375</v>
      </c>
      <c r="F42" s="2" t="s">
        <v>43</v>
      </c>
      <c r="H42" s="7" t="s">
        <v>81</v>
      </c>
      <c r="I42" s="10">
        <f>C69*100/I41</f>
        <v>17.655106424771084</v>
      </c>
      <c r="J42" s="2" t="s">
        <v>12</v>
      </c>
    </row>
    <row r="43" spans="2:11" x14ac:dyDescent="0.25">
      <c r="H43" s="5" t="s">
        <v>11</v>
      </c>
      <c r="I43" s="2">
        <v>15</v>
      </c>
      <c r="J43" s="2" t="s">
        <v>12</v>
      </c>
    </row>
    <row r="44" spans="2:11" x14ac:dyDescent="0.25">
      <c r="B44" t="s">
        <v>57</v>
      </c>
      <c r="C44" s="2">
        <v>1.75</v>
      </c>
      <c r="G44" s="4" t="s">
        <v>56</v>
      </c>
    </row>
    <row r="46" spans="2:11" x14ac:dyDescent="0.25">
      <c r="B46" s="1" t="s">
        <v>62</v>
      </c>
      <c r="H46" s="6" t="s">
        <v>82</v>
      </c>
    </row>
    <row r="47" spans="2:11" x14ac:dyDescent="0.25">
      <c r="B47" s="5" t="s">
        <v>63</v>
      </c>
      <c r="C47" s="2">
        <v>16</v>
      </c>
      <c r="D47" s="2" t="s">
        <v>64</v>
      </c>
      <c r="H47" s="7" t="s">
        <v>107</v>
      </c>
      <c r="I47" s="10">
        <f>I8/C44+I6/C6</f>
        <v>3.0131040000000002</v>
      </c>
      <c r="J47" s="2" t="s">
        <v>25</v>
      </c>
    </row>
    <row r="48" spans="2:11" x14ac:dyDescent="0.25">
      <c r="B48" t="s">
        <v>103</v>
      </c>
      <c r="C48" s="2">
        <v>1</v>
      </c>
      <c r="D48" s="2" t="s">
        <v>104</v>
      </c>
      <c r="E48" s="2">
        <v>2.5</v>
      </c>
      <c r="F48" s="2" t="s">
        <v>12</v>
      </c>
      <c r="G48" s="4" t="s">
        <v>109</v>
      </c>
      <c r="H48" s="7" t="s">
        <v>84</v>
      </c>
      <c r="I48" s="9">
        <f>C69/I43</f>
        <v>0.10262536001726656</v>
      </c>
      <c r="J48" s="2" t="s">
        <v>85</v>
      </c>
    </row>
    <row r="49" spans="2:10" x14ac:dyDescent="0.25">
      <c r="B49" s="5" t="s">
        <v>11</v>
      </c>
      <c r="C49" s="2">
        <v>3.5</v>
      </c>
      <c r="D49" s="2" t="s">
        <v>12</v>
      </c>
      <c r="H49" s="7" t="s">
        <v>86</v>
      </c>
      <c r="I49" s="10">
        <f>I48*100/C66</f>
        <v>0.64952759504599089</v>
      </c>
      <c r="J49" s="2" t="s">
        <v>70</v>
      </c>
    </row>
    <row r="50" spans="2:10" x14ac:dyDescent="0.25">
      <c r="B50" t="s">
        <v>65</v>
      </c>
      <c r="C50" s="2">
        <f>C8-C49-C47/20</f>
        <v>18.7</v>
      </c>
      <c r="D50" s="2" t="s">
        <v>12</v>
      </c>
      <c r="H50" s="7" t="s">
        <v>89</v>
      </c>
      <c r="I50" s="10">
        <f>C58/C57</f>
        <v>8.0737296789475597</v>
      </c>
    </row>
    <row r="51" spans="2:10" ht="30" x14ac:dyDescent="0.25">
      <c r="B51" s="11" t="s">
        <v>67</v>
      </c>
      <c r="C51" s="2">
        <v>0.9</v>
      </c>
      <c r="G51" s="4" t="s">
        <v>66</v>
      </c>
      <c r="H51" s="7" t="s">
        <v>90</v>
      </c>
      <c r="I51" s="10">
        <f>1/(I50*I48)</f>
        <v>1.2068994847211563</v>
      </c>
      <c r="J51" s="2" t="s">
        <v>110</v>
      </c>
    </row>
    <row r="52" spans="2:10" x14ac:dyDescent="0.25">
      <c r="H52" s="7" t="s">
        <v>91</v>
      </c>
      <c r="I52" s="10">
        <f>((2*I51*C66+1)^0.5-1)/(I51*C66)</f>
        <v>0.275632477383144</v>
      </c>
    </row>
    <row r="53" spans="2:10" x14ac:dyDescent="0.25">
      <c r="B53" t="s">
        <v>73</v>
      </c>
      <c r="C53" s="2">
        <v>280</v>
      </c>
      <c r="D53" s="2" t="s">
        <v>69</v>
      </c>
      <c r="G53" s="4" t="s">
        <v>75</v>
      </c>
      <c r="H53" s="7" t="s">
        <v>92</v>
      </c>
      <c r="I53" s="10">
        <f>I52*C66</f>
        <v>4.3549931426536759</v>
      </c>
      <c r="J53" s="2" t="s">
        <v>12</v>
      </c>
    </row>
    <row r="54" spans="2:10" x14ac:dyDescent="0.25">
      <c r="B54" t="s">
        <v>74</v>
      </c>
      <c r="C54" s="2">
        <v>4200</v>
      </c>
      <c r="D54" s="2" t="s">
        <v>69</v>
      </c>
      <c r="G54" s="4" t="s">
        <v>76</v>
      </c>
      <c r="H54" s="7" t="s">
        <v>93</v>
      </c>
      <c r="I54" s="10">
        <f>(I53^3)/3+I50*I48*(C66-I53)^2</f>
        <v>136.06501753559343</v>
      </c>
      <c r="J54" s="2" t="s">
        <v>96</v>
      </c>
    </row>
    <row r="55" spans="2:10" x14ac:dyDescent="0.25">
      <c r="B55" s="12"/>
      <c r="H55" s="7" t="s">
        <v>94</v>
      </c>
      <c r="I55" s="10">
        <f>-I53+C66</f>
        <v>11.445006857346325</v>
      </c>
      <c r="J55" s="2" t="s">
        <v>12</v>
      </c>
    </row>
    <row r="56" spans="2:10" x14ac:dyDescent="0.25">
      <c r="B56" t="s">
        <v>79</v>
      </c>
      <c r="C56" s="10">
        <f>((C47/10)^2)*PI()/4</f>
        <v>2.0106192982974678</v>
      </c>
      <c r="D56" s="2" t="s">
        <v>80</v>
      </c>
      <c r="H56" s="7" t="s">
        <v>95</v>
      </c>
      <c r="I56" s="10">
        <f>I50*I47*I55*1000/I54</f>
        <v>2046.2462744448787</v>
      </c>
      <c r="J56" s="2" t="s">
        <v>69</v>
      </c>
    </row>
    <row r="57" spans="2:10" x14ac:dyDescent="0.25">
      <c r="B57" t="s">
        <v>87</v>
      </c>
      <c r="C57" s="10">
        <f>15100*C53^0.5</f>
        <v>252671.32801329083</v>
      </c>
      <c r="D57" s="2" t="s">
        <v>69</v>
      </c>
      <c r="H57" s="7" t="s">
        <v>97</v>
      </c>
      <c r="I57" s="10">
        <f>1+C65/(0.7*(C8-C65))</f>
        <v>1.5627705627705628</v>
      </c>
    </row>
    <row r="58" spans="2:10" x14ac:dyDescent="0.25">
      <c r="B58" t="s">
        <v>88</v>
      </c>
      <c r="C58" s="10">
        <f>2.04*10^6</f>
        <v>2040000</v>
      </c>
      <c r="D58" s="2" t="s">
        <v>69</v>
      </c>
      <c r="H58" s="7" t="s">
        <v>100</v>
      </c>
      <c r="I58" s="2">
        <f>700*1000/(2.205*2.54)</f>
        <v>124984.37695288088</v>
      </c>
      <c r="J58" s="2" t="s">
        <v>106</v>
      </c>
    </row>
    <row r="59" spans="2:10" x14ac:dyDescent="0.25">
      <c r="H59" s="7" t="s">
        <v>101</v>
      </c>
      <c r="I59" s="10">
        <f>I58*C60/(I57*I56)-2*C65</f>
        <v>16.313243070086976</v>
      </c>
      <c r="J59" s="2" t="s">
        <v>12</v>
      </c>
    </row>
    <row r="60" spans="2:10" x14ac:dyDescent="0.25">
      <c r="B60" t="s">
        <v>98</v>
      </c>
      <c r="C60" s="2">
        <v>0.75</v>
      </c>
      <c r="G60" s="4" t="s">
        <v>99</v>
      </c>
    </row>
    <row r="61" spans="2:10" x14ac:dyDescent="0.25">
      <c r="H61" s="6" t="s">
        <v>125</v>
      </c>
      <c r="I61" s="10">
        <f>C74*C54*(C81-C80/2)/(C75*1000)</f>
        <v>4.6480009747540096</v>
      </c>
      <c r="J61" s="2" t="s">
        <v>25</v>
      </c>
    </row>
    <row r="62" spans="2:10" x14ac:dyDescent="0.25">
      <c r="B62" s="1" t="s">
        <v>102</v>
      </c>
      <c r="H62" s="6" t="s">
        <v>126</v>
      </c>
      <c r="I62" s="10">
        <f>C85*C86*C54*(C92-C91/2)/10^5</f>
        <v>7.0863543839642107</v>
      </c>
      <c r="J62" s="2" t="s">
        <v>123</v>
      </c>
    </row>
    <row r="63" spans="2:10" x14ac:dyDescent="0.25">
      <c r="B63" s="5" t="s">
        <v>63</v>
      </c>
      <c r="C63" s="2">
        <v>14</v>
      </c>
      <c r="D63" s="2" t="s">
        <v>64</v>
      </c>
    </row>
    <row r="64" spans="2:10" x14ac:dyDescent="0.25">
      <c r="B64" t="s">
        <v>108</v>
      </c>
      <c r="C64" s="2">
        <v>2.5</v>
      </c>
      <c r="D64" s="2" t="s">
        <v>104</v>
      </c>
      <c r="E64" s="2">
        <v>6.35</v>
      </c>
      <c r="F64" s="2" t="s">
        <v>12</v>
      </c>
      <c r="G64" s="4" t="s">
        <v>109</v>
      </c>
    </row>
    <row r="65" spans="2:12" x14ac:dyDescent="0.25">
      <c r="B65" s="5" t="s">
        <v>11</v>
      </c>
      <c r="C65" s="2">
        <v>6.5</v>
      </c>
      <c r="D65" s="2" t="s">
        <v>12</v>
      </c>
      <c r="H65" s="7" t="s">
        <v>124</v>
      </c>
      <c r="I65" s="2">
        <v>4</v>
      </c>
      <c r="J65" s="2" t="s">
        <v>27</v>
      </c>
      <c r="K65" s="2">
        <v>121.92</v>
      </c>
      <c r="L65" s="13" t="s">
        <v>12</v>
      </c>
    </row>
    <row r="66" spans="2:12" x14ac:dyDescent="0.25">
      <c r="B66" t="s">
        <v>65</v>
      </c>
      <c r="C66" s="2">
        <f>C10-C65-C63/20</f>
        <v>15.8</v>
      </c>
      <c r="D66" s="2" t="s">
        <v>12</v>
      </c>
    </row>
    <row r="67" spans="2:12" ht="30" x14ac:dyDescent="0.25">
      <c r="B67" s="11" t="s">
        <v>67</v>
      </c>
      <c r="C67" s="2">
        <v>0.9</v>
      </c>
      <c r="G67" s="4" t="s">
        <v>66</v>
      </c>
      <c r="H67" s="7" t="s">
        <v>127</v>
      </c>
      <c r="I67" s="10">
        <f>K65/200+(((K65/200)^2)+8*(C88/100)*I62/I61)^0.5</f>
        <v>4.1547985815274462</v>
      </c>
      <c r="J67" s="2" t="s">
        <v>22</v>
      </c>
    </row>
    <row r="68" spans="2:12" x14ac:dyDescent="0.25">
      <c r="H68" s="6" t="s">
        <v>144</v>
      </c>
      <c r="I68" s="10">
        <f>(2/(2*I67-K65/100))*(8*I62+I61*(I67^2)/(C88/100))</f>
        <v>38.623015713692304</v>
      </c>
      <c r="J68" s="2" t="s">
        <v>123</v>
      </c>
    </row>
    <row r="69" spans="2:12" x14ac:dyDescent="0.25">
      <c r="B69" t="s">
        <v>79</v>
      </c>
      <c r="C69" s="10">
        <f>((C63/10)^2)*PI()/4</f>
        <v>1.5393804002589984</v>
      </c>
      <c r="D69" s="2" t="s">
        <v>80</v>
      </c>
    </row>
    <row r="70" spans="2:12" x14ac:dyDescent="0.25">
      <c r="C70" s="10"/>
      <c r="H70" s="7" t="s">
        <v>128</v>
      </c>
      <c r="I70" s="10">
        <f>K65/200+(((K65/200)^2)+(C88/100)*I62/I61)^0.5</f>
        <v>1.986631140827261</v>
      </c>
      <c r="J70" s="2" t="s">
        <v>22</v>
      </c>
    </row>
    <row r="71" spans="2:12" x14ac:dyDescent="0.25">
      <c r="B71" t="s">
        <v>119</v>
      </c>
      <c r="C71" s="2">
        <v>280</v>
      </c>
      <c r="D71" s="2" t="s">
        <v>69</v>
      </c>
      <c r="H71" s="6" t="s">
        <v>145</v>
      </c>
      <c r="I71" s="10">
        <f>(2/(2*I70-K65/100))*(I62+I61*(I70^2)/(C88/100))</f>
        <v>18.467726958083556</v>
      </c>
      <c r="J71" s="2" t="s">
        <v>164</v>
      </c>
    </row>
    <row r="72" spans="2:12" ht="17.25" x14ac:dyDescent="0.3">
      <c r="B72" s="1" t="s">
        <v>112</v>
      </c>
      <c r="L72" s="23" t="s">
        <v>228</v>
      </c>
    </row>
    <row r="73" spans="2:12" x14ac:dyDescent="0.25">
      <c r="B73" t="s">
        <v>113</v>
      </c>
      <c r="C73" s="2">
        <v>12</v>
      </c>
      <c r="D73" s="2" t="s">
        <v>64</v>
      </c>
      <c r="H73" s="6" t="s">
        <v>129</v>
      </c>
    </row>
    <row r="74" spans="2:12" x14ac:dyDescent="0.25">
      <c r="B74" t="s">
        <v>79</v>
      </c>
      <c r="C74" s="10">
        <f>PI()*((C73/10)^2)/4</f>
        <v>1.1309733552923256</v>
      </c>
      <c r="D74" s="2" t="s">
        <v>80</v>
      </c>
      <c r="H74" s="7" t="s">
        <v>130</v>
      </c>
      <c r="I74" s="16">
        <f>(C88/100)*(C12/100)*2400</f>
        <v>720</v>
      </c>
      <c r="J74" s="2" t="s">
        <v>133</v>
      </c>
    </row>
    <row r="75" spans="2:12" x14ac:dyDescent="0.25">
      <c r="B75" t="s">
        <v>116</v>
      </c>
      <c r="C75" s="2">
        <v>24</v>
      </c>
      <c r="D75" s="2" t="s">
        <v>12</v>
      </c>
      <c r="H75" s="7" t="s">
        <v>132</v>
      </c>
      <c r="I75" s="16">
        <f>(C23/100)*(C13/100)*2400+80</f>
        <v>151.99999999999994</v>
      </c>
      <c r="J75" s="2" t="s">
        <v>133</v>
      </c>
    </row>
    <row r="76" spans="2:12" x14ac:dyDescent="0.25">
      <c r="B76" s="8" t="s">
        <v>19</v>
      </c>
      <c r="C76" s="2">
        <v>30</v>
      </c>
      <c r="D76" s="2" t="s">
        <v>12</v>
      </c>
      <c r="H76" s="7" t="s">
        <v>134</v>
      </c>
      <c r="I76" s="10">
        <f>I5</f>
        <v>664</v>
      </c>
      <c r="J76" s="2" t="s">
        <v>16</v>
      </c>
    </row>
    <row r="77" spans="2:12" ht="23.25" x14ac:dyDescent="0.35">
      <c r="B77" s="8"/>
      <c r="H77" s="15" t="s">
        <v>160</v>
      </c>
      <c r="I77" s="10"/>
    </row>
    <row r="78" spans="2:12" x14ac:dyDescent="0.25">
      <c r="B78" t="s">
        <v>117</v>
      </c>
      <c r="C78" s="2">
        <v>2</v>
      </c>
      <c r="D78" s="2" t="s">
        <v>104</v>
      </c>
      <c r="E78" s="2" t="s">
        <v>118</v>
      </c>
      <c r="F78" s="2" t="s">
        <v>12</v>
      </c>
      <c r="H78" s="7" t="s">
        <v>140</v>
      </c>
      <c r="I78" s="10">
        <f>C6*I76*((C76/100)^2)/2000</f>
        <v>3.7350000000000001E-2</v>
      </c>
      <c r="J78" s="2" t="s">
        <v>25</v>
      </c>
    </row>
    <row r="79" spans="2:12" x14ac:dyDescent="0.25">
      <c r="B79" s="5" t="s">
        <v>11</v>
      </c>
      <c r="C79" s="2">
        <v>5.5</v>
      </c>
      <c r="D79" s="2" t="s">
        <v>12</v>
      </c>
      <c r="H79" s="7" t="s">
        <v>141</v>
      </c>
      <c r="I79" s="10">
        <f>C6*(I74/1000)*C76/200</f>
        <v>0.13499999999999998</v>
      </c>
      <c r="J79" s="2" t="s">
        <v>25</v>
      </c>
    </row>
    <row r="80" spans="2:12" x14ac:dyDescent="0.25">
      <c r="B80" t="s">
        <v>121</v>
      </c>
      <c r="C80" s="9">
        <f>C74*C54/(C75*C71*0.85)</f>
        <v>0.83159805536200415</v>
      </c>
      <c r="D80" s="2" t="s">
        <v>12</v>
      </c>
      <c r="H80" s="7" t="s">
        <v>142</v>
      </c>
      <c r="I80" s="10">
        <f>I79+I78+C99</f>
        <v>4.8203509747540094</v>
      </c>
      <c r="J80" s="2" t="s">
        <v>25</v>
      </c>
    </row>
    <row r="81" spans="2:10" x14ac:dyDescent="0.25">
      <c r="B81" t="s">
        <v>120</v>
      </c>
      <c r="C81" s="2">
        <f>C76-C79-C73/20</f>
        <v>23.9</v>
      </c>
      <c r="D81" s="2" t="s">
        <v>12</v>
      </c>
    </row>
    <row r="82" spans="2:10" x14ac:dyDescent="0.25">
      <c r="H82" s="7" t="s">
        <v>154</v>
      </c>
      <c r="I82" s="10">
        <f>MAX(I68/(I67+C88/50),I71/(I70+C88/50))</f>
        <v>6.2752688332665416</v>
      </c>
      <c r="J82" s="2" t="s">
        <v>143</v>
      </c>
    </row>
    <row r="84" spans="2:10" x14ac:dyDescent="0.25">
      <c r="B84" t="s">
        <v>114</v>
      </c>
      <c r="C84" s="2">
        <v>14</v>
      </c>
      <c r="D84" s="2" t="s">
        <v>64</v>
      </c>
      <c r="H84" s="7" t="s">
        <v>147</v>
      </c>
      <c r="I84" s="10">
        <f>I80*1000/(C97*C101^2)</f>
        <v>19.309209160206734</v>
      </c>
      <c r="J84" s="2" t="s">
        <v>69</v>
      </c>
    </row>
    <row r="85" spans="2:10" ht="15.75" x14ac:dyDescent="0.25">
      <c r="B85" t="s">
        <v>79</v>
      </c>
      <c r="C85" s="10">
        <f>PI()*((C84/10)^2)/4</f>
        <v>1.5393804002589984</v>
      </c>
      <c r="D85" s="2" t="s">
        <v>80</v>
      </c>
      <c r="H85" s="14" t="s">
        <v>148</v>
      </c>
      <c r="I85" s="9">
        <f>0.85*(C53/C54)*(1-(1-2*I84/(0.85*C53))^0.5)*100</f>
        <v>0.48007919592154785</v>
      </c>
      <c r="J85" s="2" t="s">
        <v>70</v>
      </c>
    </row>
    <row r="86" spans="2:10" x14ac:dyDescent="0.25">
      <c r="B86" t="s">
        <v>122</v>
      </c>
      <c r="C86" s="2">
        <v>5</v>
      </c>
      <c r="H86" s="7" t="s">
        <v>149</v>
      </c>
      <c r="I86" s="10">
        <f>I85*C101</f>
        <v>7.5852512955604565</v>
      </c>
      <c r="J86" s="2" t="s">
        <v>150</v>
      </c>
    </row>
    <row r="87" spans="2:10" x14ac:dyDescent="0.25">
      <c r="B87" t="s">
        <v>116</v>
      </c>
      <c r="C87" s="2">
        <v>20</v>
      </c>
      <c r="D87" s="2" t="s">
        <v>12</v>
      </c>
      <c r="H87" s="7" t="s">
        <v>151</v>
      </c>
      <c r="I87" s="10">
        <f>C96*100/I86</f>
        <v>20.294388943448407</v>
      </c>
      <c r="J87" s="2" t="s">
        <v>12</v>
      </c>
    </row>
    <row r="88" spans="2:10" x14ac:dyDescent="0.25">
      <c r="B88" t="s">
        <v>115</v>
      </c>
      <c r="C88" s="2">
        <v>100</v>
      </c>
      <c r="D88" s="2" t="s">
        <v>12</v>
      </c>
      <c r="H88" s="5" t="s">
        <v>11</v>
      </c>
      <c r="I88" s="2">
        <v>15</v>
      </c>
      <c r="J88" s="2" t="s">
        <v>12</v>
      </c>
    </row>
    <row r="89" spans="2:10" x14ac:dyDescent="0.25">
      <c r="B89" t="s">
        <v>117</v>
      </c>
      <c r="C89" s="2">
        <v>2</v>
      </c>
      <c r="D89" s="2" t="s">
        <v>104</v>
      </c>
      <c r="E89" s="2" t="s">
        <v>118</v>
      </c>
      <c r="F89" s="2" t="s">
        <v>12</v>
      </c>
    </row>
    <row r="90" spans="2:10" x14ac:dyDescent="0.25">
      <c r="B90" s="5" t="s">
        <v>11</v>
      </c>
      <c r="C90" s="2">
        <v>5.5</v>
      </c>
      <c r="D90" s="2" t="s">
        <v>12</v>
      </c>
      <c r="H90" s="6" t="s">
        <v>152</v>
      </c>
    </row>
    <row r="91" spans="2:10" x14ac:dyDescent="0.25">
      <c r="B91" t="s">
        <v>121</v>
      </c>
      <c r="C91" s="10">
        <f>C86*C54*C85/(0.85*C88*C71)</f>
        <v>1.3582768237579397</v>
      </c>
      <c r="D91" s="2" t="s">
        <v>12</v>
      </c>
      <c r="H91" s="7" t="s">
        <v>149</v>
      </c>
      <c r="I91" s="9">
        <f>C96/I88</f>
        <v>0.10262536001726656</v>
      </c>
      <c r="J91" s="2" t="s">
        <v>85</v>
      </c>
    </row>
    <row r="92" spans="2:10" x14ac:dyDescent="0.25">
      <c r="B92" t="s">
        <v>120</v>
      </c>
      <c r="C92" s="2">
        <f>C76-C90-C73/10-C84/20</f>
        <v>22.6</v>
      </c>
      <c r="D92" s="2" t="s">
        <v>12</v>
      </c>
      <c r="H92" s="7" t="s">
        <v>153</v>
      </c>
      <c r="I92" s="10">
        <f>(I91*100)*(C54/1000)</f>
        <v>43.102651207251959</v>
      </c>
      <c r="J92" s="2" t="s">
        <v>143</v>
      </c>
    </row>
    <row r="93" spans="2:10" x14ac:dyDescent="0.25">
      <c r="H93" s="7" t="s">
        <v>155</v>
      </c>
      <c r="I93" s="10">
        <f>I92-I82</f>
        <v>36.827382373985415</v>
      </c>
      <c r="J93" s="2" t="s">
        <v>143</v>
      </c>
    </row>
    <row r="94" spans="2:10" x14ac:dyDescent="0.25">
      <c r="B94" s="1" t="s">
        <v>135</v>
      </c>
      <c r="H94" s="7" t="s">
        <v>121</v>
      </c>
      <c r="I94" s="10">
        <f>I93*10/(0.85*C53)</f>
        <v>1.5473690073103115</v>
      </c>
      <c r="J94" s="2" t="s">
        <v>12</v>
      </c>
    </row>
    <row r="95" spans="2:10" x14ac:dyDescent="0.25">
      <c r="B95" t="s">
        <v>136</v>
      </c>
      <c r="C95" s="2">
        <v>14</v>
      </c>
      <c r="D95" s="2" t="s">
        <v>64</v>
      </c>
      <c r="H95" s="7" t="s">
        <v>156</v>
      </c>
      <c r="I95" s="10">
        <f>I93*(C101/100-I94/200)-I82*(C101/200-I94/400)</f>
        <v>5.0623278179951257</v>
      </c>
      <c r="J95" s="2" t="s">
        <v>25</v>
      </c>
    </row>
    <row r="96" spans="2:10" x14ac:dyDescent="0.25">
      <c r="B96" t="s">
        <v>79</v>
      </c>
      <c r="C96" s="10">
        <f>PI()*((C95/10)^2)/4</f>
        <v>1.5393804002589984</v>
      </c>
      <c r="D96" s="2" t="s">
        <v>80</v>
      </c>
      <c r="H96" s="7" t="s">
        <v>157</v>
      </c>
      <c r="I96" s="10">
        <f>I95*C97</f>
        <v>5.0623278179951257</v>
      </c>
      <c r="J96" s="2" t="s">
        <v>25</v>
      </c>
    </row>
    <row r="97" spans="2:10" x14ac:dyDescent="0.25">
      <c r="B97" t="s">
        <v>138</v>
      </c>
      <c r="C97" s="2">
        <v>1</v>
      </c>
      <c r="G97" s="4" t="s">
        <v>137</v>
      </c>
      <c r="H97" s="7" t="s">
        <v>158</v>
      </c>
      <c r="I97" s="2" t="str">
        <f>IF(I96&gt;=I80,"si","no")</f>
        <v>si</v>
      </c>
    </row>
    <row r="98" spans="2:10" x14ac:dyDescent="0.25">
      <c r="B98" t="s">
        <v>4</v>
      </c>
      <c r="C98" s="2">
        <v>1.25</v>
      </c>
    </row>
    <row r="99" spans="2:10" ht="23.25" x14ac:dyDescent="0.35">
      <c r="B99" t="s">
        <v>139</v>
      </c>
      <c r="C99" s="10">
        <f>C74*C54*(C81-C80/2)/(C75*1000)</f>
        <v>4.6480009747540096</v>
      </c>
      <c r="D99" s="2" t="s">
        <v>25</v>
      </c>
      <c r="H99" s="15" t="s">
        <v>161</v>
      </c>
    </row>
    <row r="100" spans="2:10" x14ac:dyDescent="0.25">
      <c r="B100" s="1" t="s">
        <v>169</v>
      </c>
      <c r="H100" s="7" t="s">
        <v>180</v>
      </c>
      <c r="I100" s="2">
        <f>C27/2</f>
        <v>25</v>
      </c>
      <c r="J100" s="2" t="s">
        <v>12</v>
      </c>
    </row>
    <row r="101" spans="2:10" x14ac:dyDescent="0.25">
      <c r="B101" t="s">
        <v>146</v>
      </c>
      <c r="C101" s="2">
        <f>C10-C65-C95/20</f>
        <v>15.8</v>
      </c>
      <c r="D101" s="2" t="s">
        <v>12</v>
      </c>
      <c r="H101" s="7" t="s">
        <v>162</v>
      </c>
      <c r="I101" s="10">
        <f>I67</f>
        <v>4.1547985815274462</v>
      </c>
      <c r="J101" s="2" t="s">
        <v>22</v>
      </c>
    </row>
    <row r="102" spans="2:10" ht="15.75" x14ac:dyDescent="0.25">
      <c r="B102" s="14" t="s">
        <v>159</v>
      </c>
      <c r="C102" s="2">
        <v>0.85</v>
      </c>
      <c r="H102" s="7" t="s">
        <v>163</v>
      </c>
      <c r="I102" s="10">
        <f>C99*I101/(I101+(2*(C23/100-C76/100-I100/100)*TAN(30*PI()/180)))</f>
        <v>4.5842976345934181</v>
      </c>
      <c r="J102" s="2" t="s">
        <v>164</v>
      </c>
    </row>
    <row r="103" spans="2:10" x14ac:dyDescent="0.25">
      <c r="B103" s="1" t="s">
        <v>170</v>
      </c>
      <c r="H103" s="7" t="s">
        <v>165</v>
      </c>
      <c r="I103" s="9">
        <f>C6*(I76/1000)*((C23/100-I100/100)^2)/2</f>
        <v>5.0837499999999897E-2</v>
      </c>
      <c r="J103" s="2" t="s">
        <v>25</v>
      </c>
    </row>
    <row r="104" spans="2:10" x14ac:dyDescent="0.25">
      <c r="B104" t="s">
        <v>146</v>
      </c>
      <c r="C104" s="2">
        <f>C10-C65-C95/20</f>
        <v>15.8</v>
      </c>
      <c r="D104" s="2" t="s">
        <v>12</v>
      </c>
      <c r="H104" s="7" t="s">
        <v>166</v>
      </c>
      <c r="I104" s="9">
        <f>C6*((I74/1000)*(C23/100-C12/200-I100/100)+(I75/1000)*(C23/100-I100/100-C12/100)/2)</f>
        <v>0.18474999999999961</v>
      </c>
      <c r="J104" s="2" t="s">
        <v>25</v>
      </c>
    </row>
    <row r="105" spans="2:10" x14ac:dyDescent="0.25">
      <c r="B105" s="1" t="s">
        <v>181</v>
      </c>
      <c r="H105" s="7" t="s">
        <v>167</v>
      </c>
      <c r="I105" s="10">
        <f>I104+I103+I102</f>
        <v>4.8198851345934175</v>
      </c>
      <c r="J105" s="2" t="s">
        <v>25</v>
      </c>
    </row>
    <row r="106" spans="2:10" x14ac:dyDescent="0.25">
      <c r="B106" t="s">
        <v>146</v>
      </c>
      <c r="C106" s="2">
        <f>C10-C65-C95/20</f>
        <v>15.8</v>
      </c>
      <c r="D106" s="2" t="s">
        <v>12</v>
      </c>
    </row>
    <row r="107" spans="2:10" x14ac:dyDescent="0.25">
      <c r="H107" s="7" t="s">
        <v>168</v>
      </c>
      <c r="I107" s="10">
        <f>2*(C23/100-C12/100-I100/100)*TAN(30*PI()/180)*100</f>
        <v>5.7735026918962182</v>
      </c>
      <c r="J107" s="2" t="s">
        <v>12</v>
      </c>
    </row>
    <row r="109" spans="2:10" x14ac:dyDescent="0.25">
      <c r="B109" s="1" t="s">
        <v>210</v>
      </c>
      <c r="H109" s="7" t="s">
        <v>154</v>
      </c>
      <c r="I109" s="10">
        <f>MAX(I68/(I67+C88/50+I107/100),I71/(I70+C88/50+I107/100))</f>
        <v>6.2169507881907311</v>
      </c>
      <c r="J109" s="2" t="s">
        <v>143</v>
      </c>
    </row>
    <row r="110" spans="2:10" x14ac:dyDescent="0.25">
      <c r="B110" t="s">
        <v>211</v>
      </c>
      <c r="C110" s="2">
        <f>C63</f>
        <v>14</v>
      </c>
      <c r="D110" s="2" t="s">
        <v>64</v>
      </c>
    </row>
    <row r="111" spans="2:10" x14ac:dyDescent="0.25">
      <c r="B111" t="s">
        <v>79</v>
      </c>
      <c r="C111" s="10">
        <f>PI()*((C110/10)^2)/4</f>
        <v>1.5393804002589984</v>
      </c>
      <c r="D111" s="2" t="s">
        <v>80</v>
      </c>
      <c r="H111" s="7" t="s">
        <v>147</v>
      </c>
      <c r="I111" s="10">
        <f>I105*1000/(C97*C104^2)</f>
        <v>19.307343112455605</v>
      </c>
      <c r="J111" s="2" t="s">
        <v>69</v>
      </c>
    </row>
    <row r="112" spans="2:10" ht="15.75" x14ac:dyDescent="0.25">
      <c r="B112" t="s">
        <v>212</v>
      </c>
      <c r="C112" s="2">
        <f>2*I43</f>
        <v>30</v>
      </c>
      <c r="D112" s="2" t="s">
        <v>12</v>
      </c>
      <c r="H112" s="14" t="s">
        <v>148</v>
      </c>
      <c r="I112" s="9">
        <f>0.85*(C53/C54)*(1-(1-2*I111/(0.85*C53))^0.5)*100</f>
        <v>0.48003065395235678</v>
      </c>
      <c r="J112" s="2" t="s">
        <v>70</v>
      </c>
    </row>
    <row r="113" spans="2:10" x14ac:dyDescent="0.25">
      <c r="B113" t="s">
        <v>182</v>
      </c>
      <c r="C113" s="2">
        <v>0.9</v>
      </c>
      <c r="H113" s="7" t="s">
        <v>149</v>
      </c>
      <c r="I113" s="10">
        <f>I112*C104</f>
        <v>7.5844843324472375</v>
      </c>
      <c r="J113" s="2" t="s">
        <v>150</v>
      </c>
    </row>
    <row r="114" spans="2:10" x14ac:dyDescent="0.25">
      <c r="B114" t="s">
        <v>149</v>
      </c>
      <c r="C114" s="10">
        <f>C111*100/C112</f>
        <v>5.1312680008633276</v>
      </c>
      <c r="D114" s="2" t="s">
        <v>150</v>
      </c>
      <c r="H114" s="7" t="s">
        <v>151</v>
      </c>
      <c r="I114" s="10">
        <f>C96*100/I113</f>
        <v>20.296441165727824</v>
      </c>
      <c r="J114" s="2" t="s">
        <v>150</v>
      </c>
    </row>
    <row r="115" spans="2:10" x14ac:dyDescent="0.25">
      <c r="B115" t="s">
        <v>183</v>
      </c>
      <c r="C115" s="10">
        <f>C114*C54/1000</f>
        <v>21.551325603625976</v>
      </c>
      <c r="D115" s="2" t="s">
        <v>143</v>
      </c>
      <c r="H115" s="5" t="s">
        <v>11</v>
      </c>
      <c r="I115" s="2">
        <v>15</v>
      </c>
      <c r="J115" s="2" t="s">
        <v>12</v>
      </c>
    </row>
    <row r="116" spans="2:10" x14ac:dyDescent="0.25">
      <c r="B116" t="s">
        <v>121</v>
      </c>
      <c r="C116" s="10">
        <f>(C115/100)/(C102*C53/1000)</f>
        <v>0.90551788250529319</v>
      </c>
      <c r="D116" s="2" t="s">
        <v>12</v>
      </c>
    </row>
    <row r="117" spans="2:10" x14ac:dyDescent="0.25">
      <c r="B117" t="s">
        <v>146</v>
      </c>
      <c r="C117" s="2">
        <f>C106</f>
        <v>15.8</v>
      </c>
      <c r="D117" s="2" t="s">
        <v>12</v>
      </c>
      <c r="H117" s="6" t="s">
        <v>152</v>
      </c>
    </row>
    <row r="118" spans="2:10" x14ac:dyDescent="0.25">
      <c r="B118" t="s">
        <v>156</v>
      </c>
      <c r="C118" s="10">
        <f>C115*(C117/100-C116/200)</f>
        <v>3.3075338917440171</v>
      </c>
      <c r="D118" s="2" t="s">
        <v>25</v>
      </c>
      <c r="H118" s="7" t="s">
        <v>149</v>
      </c>
      <c r="I118" s="9">
        <f>C96/I115</f>
        <v>0.10262536001726656</v>
      </c>
      <c r="J118" s="2" t="s">
        <v>85</v>
      </c>
    </row>
    <row r="119" spans="2:10" x14ac:dyDescent="0.25">
      <c r="B119" t="s">
        <v>157</v>
      </c>
      <c r="C119" s="10">
        <f>C118*C113</f>
        <v>2.9767805025696155</v>
      </c>
      <c r="D119" s="2" t="str">
        <f>D118</f>
        <v>tm/m</v>
      </c>
      <c r="H119" s="7" t="s">
        <v>153</v>
      </c>
      <c r="I119" s="10">
        <f>I118*C54/10</f>
        <v>43.102651207251952</v>
      </c>
      <c r="J119" s="2" t="s">
        <v>143</v>
      </c>
    </row>
    <row r="120" spans="2:10" x14ac:dyDescent="0.25">
      <c r="B120" s="1" t="s">
        <v>188</v>
      </c>
      <c r="H120" s="7" t="s">
        <v>155</v>
      </c>
      <c r="I120" s="10">
        <f>I119-I109</f>
        <v>36.885700419061223</v>
      </c>
      <c r="J120" s="2" t="s">
        <v>143</v>
      </c>
    </row>
    <row r="121" spans="2:10" x14ac:dyDescent="0.25">
      <c r="B121" t="s">
        <v>184</v>
      </c>
      <c r="C121" s="2">
        <v>51</v>
      </c>
      <c r="D121" s="2" t="s">
        <v>12</v>
      </c>
      <c r="H121" s="7" t="s">
        <v>121</v>
      </c>
      <c r="I121" s="10">
        <f>I120*10/(C102*C53)</f>
        <v>1.5498193453387068</v>
      </c>
      <c r="J121" s="2" t="s">
        <v>12</v>
      </c>
    </row>
    <row r="122" spans="2:10" x14ac:dyDescent="0.25">
      <c r="B122" t="s">
        <v>185</v>
      </c>
      <c r="C122" s="10">
        <f>C99*0.4</f>
        <v>1.8592003899016039</v>
      </c>
      <c r="D122" s="2" t="s">
        <v>25</v>
      </c>
      <c r="H122" s="7" t="s">
        <v>156</v>
      </c>
      <c r="I122" s="10">
        <f>I120*(C104/100-I121/200)-I109*(C104/200-I121/200)</f>
        <v>5.0991464465682439</v>
      </c>
      <c r="J122" s="2" t="s">
        <v>25</v>
      </c>
    </row>
    <row r="123" spans="2:10" x14ac:dyDescent="0.25">
      <c r="B123" t="s">
        <v>173</v>
      </c>
      <c r="C123" s="10">
        <f>(C122+C99)*(C25-C121/100)/C25-C122</f>
        <v>3.5774613954074406</v>
      </c>
      <c r="D123" s="2" t="s">
        <v>25</v>
      </c>
      <c r="H123" s="7" t="s">
        <v>157</v>
      </c>
      <c r="I123" s="10">
        <f>I122*C97</f>
        <v>5.0991464465682439</v>
      </c>
      <c r="J123" s="2" t="s">
        <v>25</v>
      </c>
    </row>
    <row r="124" spans="2:10" x14ac:dyDescent="0.25">
      <c r="B124" t="s">
        <v>174</v>
      </c>
      <c r="C124" s="9">
        <f>C123/C99</f>
        <v>0.76967741935483858</v>
      </c>
      <c r="H124" s="7" t="s">
        <v>158</v>
      </c>
      <c r="I124" s="2" t="str">
        <f>IF(I123&gt;=I105,"si","no")</f>
        <v>si</v>
      </c>
    </row>
    <row r="125" spans="2:10" x14ac:dyDescent="0.25">
      <c r="B125" t="s">
        <v>175</v>
      </c>
      <c r="C125" s="10">
        <f>(C123*I67)/(I67+2*TAN(30*PI()/180)*(C23/100-C12/100+C121/100))</f>
        <v>2.9201025439689232</v>
      </c>
      <c r="D125" s="2" t="s">
        <v>25</v>
      </c>
      <c r="I125" s="7"/>
    </row>
    <row r="126" spans="2:10" ht="23.25" x14ac:dyDescent="0.35">
      <c r="B126" t="s">
        <v>140</v>
      </c>
      <c r="C126" s="10">
        <f>C124*C6*(I76/1000)*0.5*(C23/100)^2</f>
        <v>0.11498980645161276</v>
      </c>
      <c r="D126" s="2" t="s">
        <v>25</v>
      </c>
      <c r="H126" s="15" t="s">
        <v>171</v>
      </c>
    </row>
    <row r="127" spans="2:10" x14ac:dyDescent="0.25">
      <c r="B127" t="s">
        <v>141</v>
      </c>
      <c r="C127" s="10">
        <f>C124*C6*((I74/1000)*(C23/100-C12/200)+(I75/1000)*(C23/100-C12/100+I100/100)/2)</f>
        <v>0.35193499999999961</v>
      </c>
      <c r="D127" s="2" t="s">
        <v>25</v>
      </c>
      <c r="H127" s="7" t="s">
        <v>172</v>
      </c>
      <c r="I127" s="10">
        <f>0.4*C99</f>
        <v>1.8592003899016039</v>
      </c>
      <c r="J127" s="2" t="s">
        <v>25</v>
      </c>
    </row>
    <row r="128" spans="2:10" x14ac:dyDescent="0.25">
      <c r="B128" t="s">
        <v>186</v>
      </c>
      <c r="C128" s="10">
        <f>C6*(0.4*(I76/1000)*C25*(C121/100)-(I76/1000)*((C121/100)^2)/2)</f>
        <v>0.4169505</v>
      </c>
      <c r="D128" s="2" t="s">
        <v>25</v>
      </c>
      <c r="H128" s="7" t="s">
        <v>173</v>
      </c>
      <c r="I128" s="10">
        <f>(I127+C99)*(C25-I100/100)/C25-I127</f>
        <v>4.1232266711527501</v>
      </c>
      <c r="J128" s="2" t="s">
        <v>25</v>
      </c>
    </row>
    <row r="129" spans="2:10" x14ac:dyDescent="0.25">
      <c r="B129" t="s">
        <v>142</v>
      </c>
      <c r="C129" s="10">
        <f>C125+C126+C127-C128</f>
        <v>2.9700768504205355</v>
      </c>
      <c r="D129" s="2" t="s">
        <v>25</v>
      </c>
      <c r="H129" s="7" t="s">
        <v>174</v>
      </c>
      <c r="I129" s="10">
        <f>I128/C99</f>
        <v>0.88709677419354827</v>
      </c>
    </row>
    <row r="130" spans="2:10" x14ac:dyDescent="0.25">
      <c r="B130" s="19" t="s">
        <v>213</v>
      </c>
      <c r="C130" s="2" t="str">
        <f>IF(C129&lt;=C119,"si","no")</f>
        <v>si</v>
      </c>
      <c r="H130" s="7" t="s">
        <v>175</v>
      </c>
      <c r="I130" s="10">
        <f>I128*I67/(I67+(2*(C23/100-C12/100+I100/100)*TAN(30*PI()/180)))</f>
        <v>3.5765327014725843</v>
      </c>
      <c r="J130" s="2" t="s">
        <v>25</v>
      </c>
    </row>
    <row r="131" spans="2:10" x14ac:dyDescent="0.25">
      <c r="B131" t="s">
        <v>187</v>
      </c>
      <c r="C131" s="2">
        <f>MAX(C101,15*C110/10,C25*5)</f>
        <v>21</v>
      </c>
      <c r="D131" s="2" t="s">
        <v>12</v>
      </c>
      <c r="H131" s="7" t="s">
        <v>176</v>
      </c>
      <c r="I131" s="10">
        <f>I129*C6*(I76/1000)*((C23/100)^2)/2</f>
        <v>0.13253225806451596</v>
      </c>
      <c r="J131" s="2" t="s">
        <v>25</v>
      </c>
    </row>
    <row r="132" spans="2:10" x14ac:dyDescent="0.25">
      <c r="B132" t="s">
        <v>214</v>
      </c>
      <c r="C132" s="2">
        <f>C131+C121</f>
        <v>72</v>
      </c>
      <c r="D132" s="2" t="s">
        <v>12</v>
      </c>
      <c r="H132" s="7" t="s">
        <v>177</v>
      </c>
      <c r="I132" s="9">
        <f>I129*C6*((I74/1000)*(C23/100-C12/200)+(I75/1000)*(C23/100-C12/100+I100/100)/2)</f>
        <v>0.40562499999999957</v>
      </c>
      <c r="J132" s="2" t="s">
        <v>25</v>
      </c>
    </row>
    <row r="133" spans="2:10" x14ac:dyDescent="0.25">
      <c r="H133" s="7" t="s">
        <v>179</v>
      </c>
      <c r="I133" s="10">
        <f>C6*(I76/1000)*((C25)^2)/10</f>
        <v>0.79763000000000017</v>
      </c>
      <c r="J133" s="2" t="s">
        <v>25</v>
      </c>
    </row>
    <row r="134" spans="2:10" x14ac:dyDescent="0.25">
      <c r="H134" s="7" t="s">
        <v>178</v>
      </c>
      <c r="I134" s="10">
        <f>I130+I131+I132+I133</f>
        <v>4.9123199595370997</v>
      </c>
      <c r="J134" s="2" t="s">
        <v>25</v>
      </c>
    </row>
    <row r="136" spans="2:10" x14ac:dyDescent="0.25">
      <c r="H136" s="7" t="s">
        <v>168</v>
      </c>
      <c r="I136" s="10">
        <f>2*(C23/100-C12/100+I100/100)*TAN(PI()*30/180)*100</f>
        <v>63.508529610858787</v>
      </c>
      <c r="J136" s="2" t="s">
        <v>12</v>
      </c>
    </row>
    <row r="137" spans="2:10" x14ac:dyDescent="0.25">
      <c r="H137" s="7" t="s">
        <v>154</v>
      </c>
      <c r="I137" s="10">
        <f>MAX(I68/(I67+C88/50+I136/100),I71/(I70+C88/50+I136/100))</f>
        <v>5.6883175632657936</v>
      </c>
      <c r="J137" s="2" t="s">
        <v>143</v>
      </c>
    </row>
    <row r="139" spans="2:10" x14ac:dyDescent="0.25">
      <c r="H139" s="7" t="s">
        <v>147</v>
      </c>
      <c r="I139" s="10">
        <f>I134*1000/(C97*C106^2)</f>
        <v>19.677615604619049</v>
      </c>
      <c r="J139" s="2" t="s">
        <v>69</v>
      </c>
    </row>
    <row r="140" spans="2:10" ht="15.75" x14ac:dyDescent="0.25">
      <c r="H140" s="14" t="s">
        <v>148</v>
      </c>
      <c r="I140" s="9">
        <f>0.85*(C53/C54)*(1-(1-2*I139/(0.85*C53))^0.5)*100</f>
        <v>0.48967156053489425</v>
      </c>
      <c r="J140" s="2" t="s">
        <v>70</v>
      </c>
    </row>
    <row r="141" spans="2:10" x14ac:dyDescent="0.25">
      <c r="H141" s="7" t="s">
        <v>149</v>
      </c>
      <c r="I141" s="10">
        <f>I140*C106</f>
        <v>7.736810656451329</v>
      </c>
      <c r="J141" s="2" t="s">
        <v>150</v>
      </c>
    </row>
    <row r="142" spans="2:10" x14ac:dyDescent="0.25">
      <c r="H142" s="7" t="s">
        <v>151</v>
      </c>
      <c r="I142" s="10">
        <f>C96*100/I141</f>
        <v>19.896834349634599</v>
      </c>
      <c r="J142" s="2" t="s">
        <v>150</v>
      </c>
    </row>
    <row r="143" spans="2:10" x14ac:dyDescent="0.25">
      <c r="B143" s="1" t="s">
        <v>198</v>
      </c>
      <c r="H143" s="5" t="s">
        <v>11</v>
      </c>
      <c r="I143" s="2">
        <v>15</v>
      </c>
      <c r="J143" s="2" t="s">
        <v>12</v>
      </c>
    </row>
    <row r="144" spans="2:10" x14ac:dyDescent="0.25">
      <c r="B144" t="s">
        <v>201</v>
      </c>
      <c r="C144" s="2">
        <f>C47</f>
        <v>16</v>
      </c>
      <c r="D144" s="2" t="s">
        <v>64</v>
      </c>
    </row>
    <row r="145" spans="2:13" x14ac:dyDescent="0.25">
      <c r="B145" t="s">
        <v>79</v>
      </c>
      <c r="C145" s="10">
        <f>PI()*((C144/10)^2)/4</f>
        <v>2.0106192982974678</v>
      </c>
      <c r="D145" s="2" t="s">
        <v>80</v>
      </c>
      <c r="H145" s="1" t="s">
        <v>193</v>
      </c>
      <c r="I145"/>
      <c r="J145"/>
      <c r="K145"/>
    </row>
    <row r="146" spans="2:13" x14ac:dyDescent="0.25">
      <c r="B146" t="s">
        <v>200</v>
      </c>
      <c r="C146" s="2">
        <f>I20</f>
        <v>20</v>
      </c>
      <c r="D146" s="2" t="s">
        <v>12</v>
      </c>
      <c r="H146" s="7" t="s">
        <v>194</v>
      </c>
      <c r="I146">
        <f>C25-C27/100</f>
        <v>2.6</v>
      </c>
      <c r="J146" s="2" t="s">
        <v>22</v>
      </c>
      <c r="K146" t="s">
        <v>197</v>
      </c>
    </row>
    <row r="147" spans="2:13" x14ac:dyDescent="0.25">
      <c r="H147" s="7" t="s">
        <v>195</v>
      </c>
      <c r="I147">
        <f>MIN(3840/((I146*1000)^0.5),67)/100</f>
        <v>0.67</v>
      </c>
      <c r="J147" s="2" t="s">
        <v>70</v>
      </c>
      <c r="K147" t="s">
        <v>196</v>
      </c>
    </row>
    <row r="148" spans="2:13" x14ac:dyDescent="0.25">
      <c r="B148" t="s">
        <v>202</v>
      </c>
      <c r="C148" s="2">
        <v>14</v>
      </c>
      <c r="D148" s="2" t="s">
        <v>64</v>
      </c>
      <c r="H148" s="7" t="s">
        <v>199</v>
      </c>
      <c r="I148" s="18">
        <f>C146*C149/(I147*C145)</f>
        <v>22.854477611940293</v>
      </c>
      <c r="J148" s="2" t="s">
        <v>12</v>
      </c>
      <c r="K148"/>
    </row>
    <row r="149" spans="2:13" x14ac:dyDescent="0.25">
      <c r="B149" t="s">
        <v>79</v>
      </c>
      <c r="C149" s="10">
        <f>PI()*((C148/10)^2)/4</f>
        <v>1.5393804002589984</v>
      </c>
      <c r="D149" s="2" t="s">
        <v>80</v>
      </c>
      <c r="H149" s="5" t="s">
        <v>11</v>
      </c>
      <c r="I149">
        <v>20</v>
      </c>
      <c r="J149" t="s">
        <v>12</v>
      </c>
      <c r="K149"/>
    </row>
    <row r="150" spans="2:13" x14ac:dyDescent="0.25">
      <c r="H150"/>
      <c r="I150"/>
      <c r="J150"/>
      <c r="K150"/>
    </row>
    <row r="151" spans="2:13" x14ac:dyDescent="0.25">
      <c r="B151" s="1" t="s">
        <v>203</v>
      </c>
      <c r="H151" s="1" t="s">
        <v>203</v>
      </c>
      <c r="I151"/>
      <c r="J151"/>
      <c r="K151"/>
    </row>
    <row r="152" spans="2:13" x14ac:dyDescent="0.25">
      <c r="B152" t="s">
        <v>14</v>
      </c>
      <c r="C152" s="2">
        <v>23</v>
      </c>
      <c r="D152" s="2" t="s">
        <v>12</v>
      </c>
      <c r="H152" t="s">
        <v>149</v>
      </c>
      <c r="I152" s="18">
        <f>(0.75/(2*C54))*(C152+C153)*9.81*100</f>
        <v>2.4525000000000001</v>
      </c>
      <c r="J152" t="s">
        <v>150</v>
      </c>
      <c r="K152" s="17">
        <f>I152/10</f>
        <v>0.24525000000000002</v>
      </c>
      <c r="L152" t="s">
        <v>64</v>
      </c>
      <c r="M152" t="s">
        <v>209</v>
      </c>
    </row>
    <row r="153" spans="2:13" x14ac:dyDescent="0.25">
      <c r="B153" t="s">
        <v>111</v>
      </c>
      <c r="C153" s="2">
        <v>5</v>
      </c>
      <c r="D153" s="2" t="s">
        <v>8</v>
      </c>
      <c r="H153" t="s">
        <v>204</v>
      </c>
      <c r="I153" s="18">
        <f>MAX(K152,0.233)*10</f>
        <v>2.4525000000000001</v>
      </c>
      <c r="J153" t="s">
        <v>150</v>
      </c>
      <c r="K153"/>
    </row>
    <row r="154" spans="2:13" x14ac:dyDescent="0.25">
      <c r="B154" t="s">
        <v>136</v>
      </c>
      <c r="C154" s="2">
        <v>12</v>
      </c>
      <c r="D154" s="2" t="s">
        <v>64</v>
      </c>
      <c r="H154" t="s">
        <v>205</v>
      </c>
      <c r="I154" s="18">
        <f>C155/(C156/100)</f>
        <v>2.8274333882308138</v>
      </c>
      <c r="J154" t="s">
        <v>150</v>
      </c>
      <c r="K154"/>
    </row>
    <row r="155" spans="2:13" x14ac:dyDescent="0.25">
      <c r="B155" t="s">
        <v>79</v>
      </c>
      <c r="C155" s="10">
        <f>((C154/10)^2)*PI()/4</f>
        <v>1.1309733552923256</v>
      </c>
      <c r="D155" s="2" t="s">
        <v>80</v>
      </c>
      <c r="H155" t="s">
        <v>206</v>
      </c>
      <c r="I155" s="18">
        <f>C155/(C157/100)</f>
        <v>4.5238934211693023</v>
      </c>
      <c r="J155" t="s">
        <v>150</v>
      </c>
    </row>
    <row r="156" spans="2:13" x14ac:dyDescent="0.25">
      <c r="B156" t="s">
        <v>207</v>
      </c>
      <c r="C156" s="2">
        <v>40</v>
      </c>
      <c r="D156" s="2" t="s">
        <v>12</v>
      </c>
    </row>
    <row r="157" spans="2:13" x14ac:dyDescent="0.25">
      <c r="B157" t="s">
        <v>208</v>
      </c>
      <c r="C157" s="2">
        <v>25</v>
      </c>
      <c r="D157" s="2" t="s">
        <v>12</v>
      </c>
    </row>
  </sheetData>
  <mergeCells count="1">
    <mergeCell ref="G20:G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4:G28"/>
  <sheetViews>
    <sheetView workbookViewId="0">
      <selection activeCell="F10" sqref="F10"/>
    </sheetView>
  </sheetViews>
  <sheetFormatPr defaultColWidth="11.42578125" defaultRowHeight="15" x14ac:dyDescent="0.25"/>
  <cols>
    <col min="3" max="3" width="29.140625" customWidth="1"/>
    <col min="4" max="4" width="15.5703125" customWidth="1"/>
  </cols>
  <sheetData>
    <row r="4" spans="3:7" x14ac:dyDescent="0.25">
      <c r="C4" s="1" t="s">
        <v>189</v>
      </c>
      <c r="D4" s="2"/>
      <c r="E4" s="2"/>
    </row>
    <row r="6" spans="3:7" x14ac:dyDescent="0.25">
      <c r="C6" t="s">
        <v>157</v>
      </c>
      <c r="D6" s="10">
        <f>main!C119</f>
        <v>2.9767805025696155</v>
      </c>
      <c r="E6" s="2" t="str">
        <f>E25</f>
        <v>tm/m</v>
      </c>
    </row>
    <row r="7" spans="3:7" x14ac:dyDescent="0.25">
      <c r="C7" t="s">
        <v>57</v>
      </c>
      <c r="D7" s="2">
        <v>1.75</v>
      </c>
    </row>
    <row r="8" spans="3:7" x14ac:dyDescent="0.25">
      <c r="C8" t="s">
        <v>215</v>
      </c>
      <c r="D8" s="2">
        <v>1.25</v>
      </c>
    </row>
    <row r="9" spans="3:7" x14ac:dyDescent="0.25">
      <c r="C9" s="7" t="s">
        <v>134</v>
      </c>
      <c r="D9" s="10">
        <f>main!I76/1000</f>
        <v>0.66400000000000003</v>
      </c>
      <c r="E9" s="2" t="s">
        <v>216</v>
      </c>
    </row>
    <row r="10" spans="3:7" x14ac:dyDescent="0.25">
      <c r="C10" t="s">
        <v>184</v>
      </c>
      <c r="D10" s="2">
        <v>73</v>
      </c>
      <c r="E10" s="2" t="s">
        <v>12</v>
      </c>
      <c r="F10" s="18">
        <f>D10/2.54</f>
        <v>28.740157480314959</v>
      </c>
      <c r="G10" t="s">
        <v>104</v>
      </c>
    </row>
    <row r="11" spans="3:7" x14ac:dyDescent="0.25">
      <c r="C11" t="s">
        <v>217</v>
      </c>
      <c r="D11" s="2">
        <f>main!C25</f>
        <v>3.1</v>
      </c>
      <c r="E11" s="2" t="s">
        <v>22</v>
      </c>
    </row>
    <row r="12" spans="3:7" x14ac:dyDescent="0.25">
      <c r="C12" t="s">
        <v>217</v>
      </c>
      <c r="D12" s="2">
        <v>10</v>
      </c>
      <c r="E12" s="2" t="s">
        <v>27</v>
      </c>
      <c r="F12">
        <v>2.0499999999999998</v>
      </c>
      <c r="G12" t="s">
        <v>104</v>
      </c>
    </row>
    <row r="13" spans="3:7" x14ac:dyDescent="0.25">
      <c r="C13" s="1" t="s">
        <v>218</v>
      </c>
    </row>
    <row r="14" spans="3:7" x14ac:dyDescent="0.25">
      <c r="C14" s="20" t="s">
        <v>219</v>
      </c>
      <c r="D14" s="2">
        <v>4.09</v>
      </c>
      <c r="E14" s="2" t="s">
        <v>223</v>
      </c>
    </row>
    <row r="15" spans="3:7" x14ac:dyDescent="0.25">
      <c r="C15" s="20" t="s">
        <v>220</v>
      </c>
      <c r="D15" s="2">
        <v>4.29</v>
      </c>
      <c r="E15" s="2" t="s">
        <v>223</v>
      </c>
    </row>
    <row r="16" spans="3:7" x14ac:dyDescent="0.25">
      <c r="C16" s="20" t="s">
        <v>221</v>
      </c>
      <c r="D16" s="2">
        <v>3.77</v>
      </c>
      <c r="E16" s="2" t="s">
        <v>223</v>
      </c>
    </row>
    <row r="17" spans="3:5" x14ac:dyDescent="0.25">
      <c r="C17" s="20" t="s">
        <v>222</v>
      </c>
      <c r="D17" s="2">
        <v>3.96</v>
      </c>
      <c r="E17" s="2" t="s">
        <v>223</v>
      </c>
    </row>
    <row r="18" spans="3:5" x14ac:dyDescent="0.25">
      <c r="C18" s="20" t="s">
        <v>224</v>
      </c>
      <c r="D18" s="10">
        <f>D14+(2.05-0)*(D15-D14)/(3-0)</f>
        <v>4.2266666666666666</v>
      </c>
      <c r="E18" s="2" t="s">
        <v>223</v>
      </c>
    </row>
    <row r="19" spans="3:5" x14ac:dyDescent="0.25">
      <c r="C19" s="20" t="s">
        <v>225</v>
      </c>
      <c r="D19" s="10">
        <f>D16+(D17-D16)*(2.05-0)/(3-0)</f>
        <v>3.8998333333333335</v>
      </c>
      <c r="E19" s="2" t="s">
        <v>223</v>
      </c>
    </row>
    <row r="20" spans="3:5" x14ac:dyDescent="0.25">
      <c r="C20" s="20" t="s">
        <v>226</v>
      </c>
      <c r="D20" s="10">
        <f>D18+(D19-D18)*(F10-18)/(24-18)</f>
        <v>3.6416264216972882</v>
      </c>
      <c r="E20" s="2" t="s">
        <v>223</v>
      </c>
    </row>
    <row r="21" spans="3:5" x14ac:dyDescent="0.25">
      <c r="C21" s="20" t="s">
        <v>227</v>
      </c>
      <c r="D21" s="10">
        <f>D20*0.453592</f>
        <v>1.6518126118705163</v>
      </c>
      <c r="E21" s="2" t="s">
        <v>25</v>
      </c>
    </row>
    <row r="22" spans="3:5" x14ac:dyDescent="0.25">
      <c r="D22" s="2"/>
      <c r="E22" s="2"/>
    </row>
    <row r="23" spans="3:5" x14ac:dyDescent="0.25">
      <c r="C23" t="s">
        <v>190</v>
      </c>
      <c r="D23" s="10">
        <f>D21*D7</f>
        <v>2.8906720707734035</v>
      </c>
      <c r="E23" s="2" t="s">
        <v>25</v>
      </c>
    </row>
    <row r="24" spans="3:5" x14ac:dyDescent="0.25">
      <c r="C24" t="s">
        <v>191</v>
      </c>
      <c r="D24" s="10">
        <f>D8*(D9*(D11^2)/10-D9*D11*(D10/100)/2+D9*((D10/100)^2)/2)</f>
        <v>7.9638500000000015E-2</v>
      </c>
      <c r="E24" s="2" t="s">
        <v>25</v>
      </c>
    </row>
    <row r="25" spans="3:5" x14ac:dyDescent="0.25">
      <c r="C25" t="s">
        <v>142</v>
      </c>
      <c r="D25" s="10">
        <f>D24+D23</f>
        <v>2.9703105707734037</v>
      </c>
      <c r="E25" s="2" t="s">
        <v>25</v>
      </c>
    </row>
    <row r="26" spans="3:5" x14ac:dyDescent="0.25">
      <c r="C26" s="19" t="s">
        <v>213</v>
      </c>
      <c r="D26" s="2" t="str">
        <f>IF(D25&lt;=D6,"si","no")</f>
        <v>si</v>
      </c>
    </row>
    <row r="27" spans="3:5" x14ac:dyDescent="0.25">
      <c r="D27" s="2"/>
      <c r="E27" s="2"/>
    </row>
    <row r="28" spans="3:5" x14ac:dyDescent="0.25">
      <c r="C28" t="s">
        <v>192</v>
      </c>
      <c r="D28" s="2">
        <f>main!C132</f>
        <v>72</v>
      </c>
      <c r="E28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Long. de corte, tramo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2023-04-14T02:23:44Z</cp:lastPrinted>
  <dcterms:created xsi:type="dcterms:W3CDTF">2019-03-30T12:39:02Z</dcterms:created>
  <dcterms:modified xsi:type="dcterms:W3CDTF">2023-04-14T11:02:05Z</dcterms:modified>
</cp:coreProperties>
</file>