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esktop\repositorio GC\EXCEL hormigon\"/>
    </mc:Choice>
  </mc:AlternateContent>
  <xr:revisionPtr revIDLastSave="0" documentId="13_ncr:1_{2C0B6079-6EAE-4078-907D-0F47AFBD3E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lanceado" sheetId="1" r:id="rId1"/>
    <sheet name="pmaxc" sheetId="13" r:id="rId2"/>
    <sheet name="m0c" sheetId="14" r:id="rId3"/>
    <sheet name="p1c" sheetId="15" r:id="rId4"/>
    <sheet name="p2c " sheetId="16" r:id="rId5"/>
    <sheet name="p3c" sheetId="17" r:id="rId6"/>
    <sheet name="p4c" sheetId="18" r:id="rId7"/>
    <sheet name="diagramas 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8" l="1"/>
  <c r="D11" i="17"/>
  <c r="D11" i="16"/>
  <c r="D11" i="15"/>
  <c r="D11" i="14"/>
  <c r="D11" i="13"/>
  <c r="D11" i="1"/>
  <c r="E28" i="18" l="1"/>
  <c r="L27" i="18"/>
  <c r="K27" i="18"/>
  <c r="J27" i="18"/>
  <c r="I27" i="18"/>
  <c r="H27" i="18"/>
  <c r="G27" i="18"/>
  <c r="F27" i="18"/>
  <c r="E27" i="18"/>
  <c r="B27" i="18"/>
  <c r="L26" i="18"/>
  <c r="K26" i="18"/>
  <c r="J26" i="18"/>
  <c r="I26" i="18"/>
  <c r="H26" i="18"/>
  <c r="G26" i="18"/>
  <c r="F26" i="18"/>
  <c r="E26" i="18"/>
  <c r="B26" i="18"/>
  <c r="L25" i="18"/>
  <c r="K25" i="18"/>
  <c r="J25" i="18"/>
  <c r="I25" i="18"/>
  <c r="H25" i="18"/>
  <c r="G25" i="18"/>
  <c r="F25" i="18"/>
  <c r="E25" i="18"/>
  <c r="B25" i="18"/>
  <c r="L24" i="18"/>
  <c r="K24" i="18"/>
  <c r="J24" i="18"/>
  <c r="I24" i="18"/>
  <c r="H24" i="18"/>
  <c r="G24" i="18"/>
  <c r="F24" i="18"/>
  <c r="E24" i="18"/>
  <c r="B24" i="18"/>
  <c r="D23" i="18"/>
  <c r="G23" i="18" s="1"/>
  <c r="B23" i="18"/>
  <c r="G22" i="18"/>
  <c r="D22" i="18"/>
  <c r="E22" i="18" s="1"/>
  <c r="B22" i="18"/>
  <c r="D21" i="18"/>
  <c r="G21" i="18" s="1"/>
  <c r="B21" i="18"/>
  <c r="G20" i="18"/>
  <c r="D20" i="18"/>
  <c r="E20" i="18" s="1"/>
  <c r="B20" i="18"/>
  <c r="D19" i="18"/>
  <c r="G19" i="18" s="1"/>
  <c r="B19" i="18"/>
  <c r="D18" i="18"/>
  <c r="E18" i="18" s="1"/>
  <c r="B18" i="18"/>
  <c r="D12" i="18"/>
  <c r="G3" i="18" s="1"/>
  <c r="G7" i="18" s="1"/>
  <c r="D9" i="18"/>
  <c r="F23" i="18" s="1"/>
  <c r="E28" i="17"/>
  <c r="L27" i="17"/>
  <c r="K27" i="17"/>
  <c r="J27" i="17"/>
  <c r="I27" i="17"/>
  <c r="H27" i="17"/>
  <c r="G27" i="17"/>
  <c r="F27" i="17"/>
  <c r="E27" i="17"/>
  <c r="B27" i="17"/>
  <c r="L26" i="17"/>
  <c r="K26" i="17"/>
  <c r="J26" i="17"/>
  <c r="I26" i="17"/>
  <c r="H26" i="17"/>
  <c r="G26" i="17"/>
  <c r="F26" i="17"/>
  <c r="E26" i="17"/>
  <c r="B26" i="17"/>
  <c r="L25" i="17"/>
  <c r="K25" i="17"/>
  <c r="J25" i="17"/>
  <c r="I25" i="17"/>
  <c r="H25" i="17"/>
  <c r="G25" i="17"/>
  <c r="F25" i="17"/>
  <c r="E25" i="17"/>
  <c r="B25" i="17"/>
  <c r="L24" i="17"/>
  <c r="K24" i="17"/>
  <c r="J24" i="17"/>
  <c r="I24" i="17"/>
  <c r="H24" i="17"/>
  <c r="G24" i="17"/>
  <c r="F24" i="17"/>
  <c r="E24" i="17"/>
  <c r="B24" i="17"/>
  <c r="D23" i="17"/>
  <c r="G23" i="17" s="1"/>
  <c r="B23" i="17"/>
  <c r="D22" i="17"/>
  <c r="E22" i="17" s="1"/>
  <c r="B22" i="17"/>
  <c r="D21" i="17"/>
  <c r="G21" i="17" s="1"/>
  <c r="B21" i="17"/>
  <c r="D20" i="17"/>
  <c r="E20" i="17" s="1"/>
  <c r="B20" i="17"/>
  <c r="D19" i="17"/>
  <c r="G19" i="17" s="1"/>
  <c r="B19" i="17"/>
  <c r="D18" i="17"/>
  <c r="E18" i="17" s="1"/>
  <c r="B18" i="17"/>
  <c r="D12" i="17"/>
  <c r="G3" i="17" s="1"/>
  <c r="G7" i="17" s="1"/>
  <c r="D9" i="17"/>
  <c r="F23" i="17" s="1"/>
  <c r="E28" i="16"/>
  <c r="L27" i="16"/>
  <c r="K27" i="16"/>
  <c r="J27" i="16"/>
  <c r="I27" i="16"/>
  <c r="H27" i="16"/>
  <c r="G27" i="16"/>
  <c r="F27" i="16"/>
  <c r="E27" i="16"/>
  <c r="B27" i="16"/>
  <c r="L26" i="16"/>
  <c r="K26" i="16"/>
  <c r="J26" i="16"/>
  <c r="I26" i="16"/>
  <c r="H26" i="16"/>
  <c r="G26" i="16"/>
  <c r="F26" i="16"/>
  <c r="E26" i="16"/>
  <c r="B26" i="16"/>
  <c r="L25" i="16"/>
  <c r="K25" i="16"/>
  <c r="J25" i="16"/>
  <c r="I25" i="16"/>
  <c r="H25" i="16"/>
  <c r="G25" i="16"/>
  <c r="F25" i="16"/>
  <c r="E25" i="16"/>
  <c r="B25" i="16"/>
  <c r="L24" i="16"/>
  <c r="K24" i="16"/>
  <c r="J24" i="16"/>
  <c r="I24" i="16"/>
  <c r="H24" i="16"/>
  <c r="G24" i="16"/>
  <c r="F24" i="16"/>
  <c r="E24" i="16"/>
  <c r="B24" i="16"/>
  <c r="D23" i="16"/>
  <c r="G23" i="16" s="1"/>
  <c r="B23" i="16"/>
  <c r="D22" i="16"/>
  <c r="E22" i="16" s="1"/>
  <c r="B22" i="16"/>
  <c r="D21" i="16"/>
  <c r="G21" i="16" s="1"/>
  <c r="B21" i="16"/>
  <c r="G20" i="16"/>
  <c r="D20" i="16"/>
  <c r="E20" i="16" s="1"/>
  <c r="B20" i="16"/>
  <c r="D19" i="16"/>
  <c r="G19" i="16" s="1"/>
  <c r="B19" i="16"/>
  <c r="D18" i="16"/>
  <c r="G18" i="16" s="1"/>
  <c r="B18" i="16"/>
  <c r="D12" i="16"/>
  <c r="G3" i="16" s="1"/>
  <c r="G7" i="16" s="1"/>
  <c r="D9" i="16"/>
  <c r="F23" i="16" s="1"/>
  <c r="E28" i="15"/>
  <c r="L27" i="15"/>
  <c r="K27" i="15"/>
  <c r="J27" i="15"/>
  <c r="I27" i="15"/>
  <c r="H27" i="15"/>
  <c r="G27" i="15"/>
  <c r="F27" i="15"/>
  <c r="E27" i="15"/>
  <c r="B27" i="15"/>
  <c r="L26" i="15"/>
  <c r="K26" i="15"/>
  <c r="J26" i="15"/>
  <c r="I26" i="15"/>
  <c r="H26" i="15"/>
  <c r="G26" i="15"/>
  <c r="F26" i="15"/>
  <c r="E26" i="15"/>
  <c r="B26" i="15"/>
  <c r="L25" i="15"/>
  <c r="K25" i="15"/>
  <c r="J25" i="15"/>
  <c r="I25" i="15"/>
  <c r="H25" i="15"/>
  <c r="G25" i="15"/>
  <c r="F25" i="15"/>
  <c r="E25" i="15"/>
  <c r="B25" i="15"/>
  <c r="L24" i="15"/>
  <c r="K24" i="15"/>
  <c r="J24" i="15"/>
  <c r="I24" i="15"/>
  <c r="H24" i="15"/>
  <c r="G24" i="15"/>
  <c r="F24" i="15"/>
  <c r="E24" i="15"/>
  <c r="B24" i="15"/>
  <c r="D23" i="15"/>
  <c r="G23" i="15" s="1"/>
  <c r="B23" i="15"/>
  <c r="D22" i="15"/>
  <c r="E22" i="15" s="1"/>
  <c r="B22" i="15"/>
  <c r="D21" i="15"/>
  <c r="G21" i="15" s="1"/>
  <c r="B21" i="15"/>
  <c r="D20" i="15"/>
  <c r="E20" i="15" s="1"/>
  <c r="B20" i="15"/>
  <c r="D19" i="15"/>
  <c r="G19" i="15" s="1"/>
  <c r="B19" i="15"/>
  <c r="D18" i="15"/>
  <c r="E18" i="15" s="1"/>
  <c r="B18" i="15"/>
  <c r="D12" i="15"/>
  <c r="D9" i="15"/>
  <c r="F23" i="15" s="1"/>
  <c r="G22" i="16" l="1"/>
  <c r="B28" i="18"/>
  <c r="B28" i="16"/>
  <c r="G18" i="18"/>
  <c r="E18" i="16"/>
  <c r="B28" i="17"/>
  <c r="B28" i="15"/>
  <c r="K23" i="18"/>
  <c r="H23" i="18"/>
  <c r="I23" i="18" s="1"/>
  <c r="J23" i="18" s="1"/>
  <c r="F18" i="18"/>
  <c r="F20" i="18"/>
  <c r="F22" i="18"/>
  <c r="E19" i="18"/>
  <c r="E21" i="18"/>
  <c r="E23" i="18"/>
  <c r="F19" i="18"/>
  <c r="F21" i="18"/>
  <c r="K23" i="17"/>
  <c r="H23" i="17"/>
  <c r="I23" i="17" s="1"/>
  <c r="J23" i="17" s="1"/>
  <c r="F20" i="17"/>
  <c r="F22" i="17"/>
  <c r="G18" i="17"/>
  <c r="E19" i="17"/>
  <c r="G4" i="17" s="1"/>
  <c r="G20" i="17"/>
  <c r="E21" i="17"/>
  <c r="G22" i="17"/>
  <c r="E23" i="17"/>
  <c r="F19" i="17"/>
  <c r="F21" i="17"/>
  <c r="F18" i="17"/>
  <c r="K23" i="16"/>
  <c r="H23" i="16"/>
  <c r="I23" i="16" s="1"/>
  <c r="J23" i="16" s="1"/>
  <c r="F18" i="16"/>
  <c r="F20" i="16"/>
  <c r="F22" i="16"/>
  <c r="E19" i="16"/>
  <c r="E21" i="16"/>
  <c r="E23" i="16"/>
  <c r="F19" i="16"/>
  <c r="F21" i="16"/>
  <c r="K23" i="15"/>
  <c r="H23" i="15"/>
  <c r="I23" i="15" s="1"/>
  <c r="J23" i="15" s="1"/>
  <c r="F22" i="15"/>
  <c r="G18" i="15"/>
  <c r="E19" i="15"/>
  <c r="G20" i="15"/>
  <c r="E21" i="15"/>
  <c r="G4" i="15" s="1"/>
  <c r="G22" i="15"/>
  <c r="E23" i="15"/>
  <c r="F21" i="15"/>
  <c r="F18" i="15"/>
  <c r="F20" i="15"/>
  <c r="G3" i="15"/>
  <c r="G7" i="15" s="1"/>
  <c r="F19" i="15"/>
  <c r="E28" i="14"/>
  <c r="L27" i="14"/>
  <c r="K27" i="14"/>
  <c r="J27" i="14"/>
  <c r="I27" i="14"/>
  <c r="H27" i="14"/>
  <c r="G27" i="14"/>
  <c r="F27" i="14"/>
  <c r="E27" i="14"/>
  <c r="B27" i="14"/>
  <c r="L26" i="14"/>
  <c r="K26" i="14"/>
  <c r="J26" i="14"/>
  <c r="I26" i="14"/>
  <c r="H26" i="14"/>
  <c r="G26" i="14"/>
  <c r="F26" i="14"/>
  <c r="E26" i="14"/>
  <c r="B26" i="14"/>
  <c r="L25" i="14"/>
  <c r="K25" i="14"/>
  <c r="J25" i="14"/>
  <c r="I25" i="14"/>
  <c r="H25" i="14"/>
  <c r="G25" i="14"/>
  <c r="F25" i="14"/>
  <c r="E25" i="14"/>
  <c r="B25" i="14"/>
  <c r="L24" i="14"/>
  <c r="K24" i="14"/>
  <c r="J24" i="14"/>
  <c r="I24" i="14"/>
  <c r="H24" i="14"/>
  <c r="G24" i="14"/>
  <c r="F24" i="14"/>
  <c r="E24" i="14"/>
  <c r="B24" i="14"/>
  <c r="D23" i="14"/>
  <c r="G23" i="14" s="1"/>
  <c r="B23" i="14"/>
  <c r="D22" i="14"/>
  <c r="E22" i="14" s="1"/>
  <c r="B22" i="14"/>
  <c r="D21" i="14"/>
  <c r="G21" i="14" s="1"/>
  <c r="B21" i="14"/>
  <c r="D20" i="14"/>
  <c r="E20" i="14" s="1"/>
  <c r="B20" i="14"/>
  <c r="D19" i="14"/>
  <c r="G19" i="14" s="1"/>
  <c r="B19" i="14"/>
  <c r="D18" i="14"/>
  <c r="E18" i="14" s="1"/>
  <c r="B18" i="14"/>
  <c r="D12" i="14"/>
  <c r="G3" i="14" s="1"/>
  <c r="G7" i="14" s="1"/>
  <c r="D9" i="14"/>
  <c r="B28" i="14" l="1"/>
  <c r="G4" i="18"/>
  <c r="F23" i="14"/>
  <c r="L23" i="17"/>
  <c r="K19" i="18"/>
  <c r="H19" i="18"/>
  <c r="I19" i="18" s="1"/>
  <c r="J19" i="18" s="1"/>
  <c r="H22" i="18"/>
  <c r="I22" i="18" s="1"/>
  <c r="J22" i="18" s="1"/>
  <c r="K22" i="18"/>
  <c r="H20" i="18"/>
  <c r="I20" i="18" s="1"/>
  <c r="J20" i="18" s="1"/>
  <c r="K20" i="18"/>
  <c r="K21" i="18"/>
  <c r="H21" i="18"/>
  <c r="I21" i="18" s="1"/>
  <c r="J21" i="18" s="1"/>
  <c r="F31" i="18"/>
  <c r="H18" i="18"/>
  <c r="I18" i="18" s="1"/>
  <c r="J18" i="18" s="1"/>
  <c r="D31" i="18"/>
  <c r="D32" i="18" s="1"/>
  <c r="K18" i="18"/>
  <c r="L23" i="18"/>
  <c r="H18" i="17"/>
  <c r="I18" i="17" s="1"/>
  <c r="J18" i="17" s="1"/>
  <c r="F31" i="17"/>
  <c r="D31" i="17"/>
  <c r="D32" i="17" s="1"/>
  <c r="K18" i="17"/>
  <c r="K21" i="17"/>
  <c r="H21" i="17"/>
  <c r="I21" i="17" s="1"/>
  <c r="J21" i="17" s="1"/>
  <c r="K19" i="17"/>
  <c r="H19" i="17"/>
  <c r="I19" i="17" s="1"/>
  <c r="J19" i="17" s="1"/>
  <c r="H22" i="17"/>
  <c r="I22" i="17" s="1"/>
  <c r="J22" i="17" s="1"/>
  <c r="K22" i="17"/>
  <c r="H20" i="17"/>
  <c r="I20" i="17" s="1"/>
  <c r="J20" i="17" s="1"/>
  <c r="K20" i="17"/>
  <c r="K21" i="16"/>
  <c r="H21" i="16"/>
  <c r="I21" i="16" s="1"/>
  <c r="J21" i="16" s="1"/>
  <c r="K18" i="16"/>
  <c r="F31" i="16"/>
  <c r="H18" i="16"/>
  <c r="I18" i="16" s="1"/>
  <c r="J18" i="16" s="1"/>
  <c r="D31" i="16"/>
  <c r="D32" i="16" s="1"/>
  <c r="K19" i="16"/>
  <c r="H19" i="16"/>
  <c r="I19" i="16" s="1"/>
  <c r="J19" i="16" s="1"/>
  <c r="G4" i="16"/>
  <c r="H22" i="16"/>
  <c r="I22" i="16" s="1"/>
  <c r="J22" i="16" s="1"/>
  <c r="K22" i="16"/>
  <c r="L23" i="16"/>
  <c r="K20" i="16"/>
  <c r="H20" i="16"/>
  <c r="I20" i="16" s="1"/>
  <c r="J20" i="16" s="1"/>
  <c r="H20" i="15"/>
  <c r="I20" i="15" s="1"/>
  <c r="J20" i="15" s="1"/>
  <c r="K20" i="15"/>
  <c r="H18" i="15"/>
  <c r="I18" i="15" s="1"/>
  <c r="J18" i="15" s="1"/>
  <c r="F31" i="15"/>
  <c r="D31" i="15"/>
  <c r="D32" i="15" s="1"/>
  <c r="K18" i="15"/>
  <c r="H22" i="15"/>
  <c r="I22" i="15" s="1"/>
  <c r="J22" i="15" s="1"/>
  <c r="K22" i="15"/>
  <c r="L22" i="15" s="1"/>
  <c r="K19" i="15"/>
  <c r="H19" i="15"/>
  <c r="I19" i="15" s="1"/>
  <c r="J19" i="15" s="1"/>
  <c r="K21" i="15"/>
  <c r="H21" i="15"/>
  <c r="I21" i="15" s="1"/>
  <c r="J21" i="15" s="1"/>
  <c r="L23" i="15"/>
  <c r="K23" i="14"/>
  <c r="H23" i="14"/>
  <c r="I23" i="14" s="1"/>
  <c r="J23" i="14" s="1"/>
  <c r="F20" i="14"/>
  <c r="F22" i="14"/>
  <c r="G18" i="14"/>
  <c r="E19" i="14"/>
  <c r="G4" i="14" s="1"/>
  <c r="G20" i="14"/>
  <c r="E21" i="14"/>
  <c r="G22" i="14"/>
  <c r="E23" i="14"/>
  <c r="F18" i="14"/>
  <c r="F19" i="14"/>
  <c r="F21" i="14"/>
  <c r="E28" i="13"/>
  <c r="L27" i="13"/>
  <c r="K27" i="13"/>
  <c r="J27" i="13"/>
  <c r="I27" i="13"/>
  <c r="H27" i="13"/>
  <c r="G27" i="13"/>
  <c r="F27" i="13"/>
  <c r="E27" i="13"/>
  <c r="B27" i="13"/>
  <c r="L26" i="13"/>
  <c r="K26" i="13"/>
  <c r="J26" i="13"/>
  <c r="I26" i="13"/>
  <c r="H26" i="13"/>
  <c r="G26" i="13"/>
  <c r="F26" i="13"/>
  <c r="E26" i="13"/>
  <c r="B26" i="13"/>
  <c r="L25" i="13"/>
  <c r="K25" i="13"/>
  <c r="J25" i="13"/>
  <c r="I25" i="13"/>
  <c r="H25" i="13"/>
  <c r="G25" i="13"/>
  <c r="F25" i="13"/>
  <c r="E25" i="13"/>
  <c r="B25" i="13"/>
  <c r="L24" i="13"/>
  <c r="K24" i="13"/>
  <c r="J24" i="13"/>
  <c r="I24" i="13"/>
  <c r="H24" i="13"/>
  <c r="G24" i="13"/>
  <c r="F24" i="13"/>
  <c r="E24" i="13"/>
  <c r="B24" i="13"/>
  <c r="D23" i="13"/>
  <c r="G23" i="13" s="1"/>
  <c r="B23" i="13"/>
  <c r="D22" i="13"/>
  <c r="G22" i="13" s="1"/>
  <c r="B22" i="13"/>
  <c r="D21" i="13"/>
  <c r="G21" i="13" s="1"/>
  <c r="B21" i="13"/>
  <c r="E20" i="13"/>
  <c r="D20" i="13"/>
  <c r="G20" i="13" s="1"/>
  <c r="B20" i="13"/>
  <c r="D19" i="13"/>
  <c r="G19" i="13" s="1"/>
  <c r="B19" i="13"/>
  <c r="G18" i="13"/>
  <c r="D18" i="13"/>
  <c r="E18" i="13" s="1"/>
  <c r="B18" i="13"/>
  <c r="D9" i="13"/>
  <c r="L24" i="1"/>
  <c r="L25" i="1"/>
  <c r="L26" i="1"/>
  <c r="L27" i="1"/>
  <c r="K24" i="1"/>
  <c r="K25" i="1"/>
  <c r="K26" i="1"/>
  <c r="K27" i="1"/>
  <c r="L22" i="17" l="1"/>
  <c r="I9" i="15"/>
  <c r="E7" i="12"/>
  <c r="L22" i="16"/>
  <c r="L18" i="16"/>
  <c r="F22" i="13"/>
  <c r="K22" i="13" s="1"/>
  <c r="E22" i="13"/>
  <c r="L19" i="15"/>
  <c r="I9" i="17"/>
  <c r="E9" i="12"/>
  <c r="B28" i="13"/>
  <c r="I9" i="16"/>
  <c r="E8" i="12"/>
  <c r="I9" i="18"/>
  <c r="E10" i="12"/>
  <c r="L20" i="18"/>
  <c r="J28" i="18"/>
  <c r="G9" i="18" s="1"/>
  <c r="D10" i="12" s="1"/>
  <c r="L22" i="18"/>
  <c r="L20" i="17"/>
  <c r="L18" i="17"/>
  <c r="L19" i="18"/>
  <c r="L18" i="18"/>
  <c r="L21" i="18"/>
  <c r="L19" i="17"/>
  <c r="L21" i="17"/>
  <c r="J28" i="17"/>
  <c r="G9" i="17" s="1"/>
  <c r="D9" i="12" s="1"/>
  <c r="L19" i="16"/>
  <c r="L20" i="16"/>
  <c r="J28" i="16"/>
  <c r="G9" i="16" s="1"/>
  <c r="D8" i="12" s="1"/>
  <c r="L21" i="16"/>
  <c r="L21" i="15"/>
  <c r="J28" i="15"/>
  <c r="G9" i="15" s="1"/>
  <c r="D7" i="12" s="1"/>
  <c r="L18" i="15"/>
  <c r="L20" i="15"/>
  <c r="K21" i="14"/>
  <c r="H21" i="14"/>
  <c r="I21" i="14" s="1"/>
  <c r="J21" i="14" s="1"/>
  <c r="K19" i="14"/>
  <c r="H19" i="14"/>
  <c r="I19" i="14" s="1"/>
  <c r="J19" i="14" s="1"/>
  <c r="H22" i="14"/>
  <c r="I22" i="14" s="1"/>
  <c r="J22" i="14" s="1"/>
  <c r="K22" i="14"/>
  <c r="L23" i="14"/>
  <c r="H18" i="14"/>
  <c r="I18" i="14" s="1"/>
  <c r="J18" i="14" s="1"/>
  <c r="F31" i="14"/>
  <c r="D31" i="14"/>
  <c r="D32" i="14" s="1"/>
  <c r="K18" i="14"/>
  <c r="H20" i="14"/>
  <c r="I20" i="14" s="1"/>
  <c r="J20" i="14" s="1"/>
  <c r="K20" i="14"/>
  <c r="E19" i="13"/>
  <c r="E21" i="13"/>
  <c r="E23" i="13"/>
  <c r="F20" i="13"/>
  <c r="K20" i="13" s="1"/>
  <c r="F19" i="13"/>
  <c r="K19" i="13" s="1"/>
  <c r="F21" i="13"/>
  <c r="K21" i="13" s="1"/>
  <c r="F23" i="13"/>
  <c r="K23" i="13" s="1"/>
  <c r="F18" i="13"/>
  <c r="G4" i="13" l="1"/>
  <c r="L28" i="17"/>
  <c r="G8" i="17" s="1"/>
  <c r="I9" i="14"/>
  <c r="E6" i="12"/>
  <c r="L28" i="16"/>
  <c r="G8" i="16" s="1"/>
  <c r="L28" i="18"/>
  <c r="G8" i="18" s="1"/>
  <c r="L28" i="15"/>
  <c r="G8" i="15" s="1"/>
  <c r="L22" i="14"/>
  <c r="L20" i="14"/>
  <c r="J28" i="14"/>
  <c r="G9" i="14" s="1"/>
  <c r="D6" i="12" s="1"/>
  <c r="L18" i="14"/>
  <c r="L19" i="14"/>
  <c r="L21" i="14"/>
  <c r="K18" i="13"/>
  <c r="I8" i="15" l="1"/>
  <c r="C7" i="12"/>
  <c r="I8" i="16"/>
  <c r="C8" i="12"/>
  <c r="I8" i="17"/>
  <c r="C9" i="12"/>
  <c r="I8" i="18"/>
  <c r="C10" i="12"/>
  <c r="L28" i="14"/>
  <c r="G8" i="14" s="1"/>
  <c r="H23" i="13"/>
  <c r="I23" i="13" s="1"/>
  <c r="J23" i="13" s="1"/>
  <c r="L23" i="13" s="1"/>
  <c r="F31" i="13"/>
  <c r="H22" i="13"/>
  <c r="I22" i="13" s="1"/>
  <c r="J22" i="13" s="1"/>
  <c r="L22" i="13" s="1"/>
  <c r="H20" i="13"/>
  <c r="I20" i="13" s="1"/>
  <c r="J20" i="13" s="1"/>
  <c r="L20" i="13" s="1"/>
  <c r="H18" i="13"/>
  <c r="I18" i="13" s="1"/>
  <c r="J18" i="13" s="1"/>
  <c r="H21" i="13"/>
  <c r="I21" i="13" s="1"/>
  <c r="J21" i="13" s="1"/>
  <c r="L21" i="13" s="1"/>
  <c r="D31" i="13"/>
  <c r="D32" i="13" s="1"/>
  <c r="G5" i="13" s="1"/>
  <c r="H19" i="13"/>
  <c r="I19" i="13" s="1"/>
  <c r="J19" i="13" s="1"/>
  <c r="L19" i="13" s="1"/>
  <c r="D12" i="13"/>
  <c r="I9" i="13" l="1"/>
  <c r="E5" i="12"/>
  <c r="I8" i="14"/>
  <c r="C6" i="12"/>
  <c r="G3" i="13"/>
  <c r="G7" i="13" s="1"/>
  <c r="J28" i="13"/>
  <c r="L18" i="13"/>
  <c r="L28" i="13" s="1"/>
  <c r="G8" i="13" s="1"/>
  <c r="I8" i="13" l="1"/>
  <c r="C5" i="12"/>
  <c r="G9" i="13"/>
  <c r="D5" i="12" s="1"/>
  <c r="J24" i="1"/>
  <c r="J25" i="1"/>
  <c r="J26" i="1"/>
  <c r="J27" i="1"/>
  <c r="I24" i="1"/>
  <c r="I25" i="1"/>
  <c r="I26" i="1"/>
  <c r="I27" i="1"/>
  <c r="H24" i="1"/>
  <c r="H25" i="1"/>
  <c r="H26" i="1"/>
  <c r="H27" i="1"/>
  <c r="F24" i="1"/>
  <c r="F25" i="1"/>
  <c r="F26" i="1"/>
  <c r="F27" i="1"/>
  <c r="G24" i="1"/>
  <c r="G25" i="1"/>
  <c r="G26" i="1"/>
  <c r="G27" i="1"/>
  <c r="D19" i="1"/>
  <c r="G19" i="1" s="1"/>
  <c r="D20" i="1"/>
  <c r="G20" i="1" s="1"/>
  <c r="D21" i="1"/>
  <c r="G21" i="1" s="1"/>
  <c r="D22" i="1"/>
  <c r="G22" i="1" s="1"/>
  <c r="D23" i="1"/>
  <c r="G23" i="1" s="1"/>
  <c r="D18" i="1"/>
  <c r="D9" i="1"/>
  <c r="F19" i="1" l="1"/>
  <c r="K19" i="1" s="1"/>
  <c r="F23" i="1"/>
  <c r="K23" i="1" s="1"/>
  <c r="F22" i="1"/>
  <c r="K22" i="1" s="1"/>
  <c r="F20" i="1"/>
  <c r="K20" i="1" s="1"/>
  <c r="F18" i="1"/>
  <c r="F21" i="1"/>
  <c r="K21" i="1" s="1"/>
  <c r="G6" i="1" l="1"/>
  <c r="H21" i="1" s="1"/>
  <c r="I21" i="1" s="1"/>
  <c r="J21" i="1" s="1"/>
  <c r="L21" i="1" s="1"/>
  <c r="K18" i="1"/>
  <c r="G18" i="1"/>
  <c r="D12" i="1" l="1"/>
  <c r="F31" i="1"/>
  <c r="D31" i="1"/>
  <c r="D32" i="1" s="1"/>
  <c r="H20" i="1"/>
  <c r="I20" i="1" s="1"/>
  <c r="J20" i="1" s="1"/>
  <c r="L20" i="1" s="1"/>
  <c r="H19" i="1"/>
  <c r="I19" i="1" s="1"/>
  <c r="J19" i="1" s="1"/>
  <c r="L19" i="1" s="1"/>
  <c r="H23" i="1"/>
  <c r="I23" i="1" s="1"/>
  <c r="J23" i="1" s="1"/>
  <c r="L23" i="1" s="1"/>
  <c r="H18" i="1"/>
  <c r="H22" i="1"/>
  <c r="I22" i="1" s="1"/>
  <c r="J22" i="1" s="1"/>
  <c r="L22" i="1" s="1"/>
  <c r="E11" i="12"/>
  <c r="F11" i="12" s="1"/>
  <c r="B23" i="1"/>
  <c r="B24" i="1"/>
  <c r="B25" i="1"/>
  <c r="B26" i="1"/>
  <c r="B27" i="1"/>
  <c r="B22" i="1"/>
  <c r="E19" i="1"/>
  <c r="E20" i="1"/>
  <c r="E21" i="1"/>
  <c r="E22" i="1"/>
  <c r="E23" i="1"/>
  <c r="E24" i="1"/>
  <c r="E25" i="1"/>
  <c r="E26" i="1"/>
  <c r="E27" i="1"/>
  <c r="E28" i="1"/>
  <c r="E18" i="1"/>
  <c r="B19" i="1"/>
  <c r="B20" i="1"/>
  <c r="B21" i="1"/>
  <c r="B18" i="1"/>
  <c r="E4" i="12" l="1"/>
  <c r="I9" i="1"/>
  <c r="G3" i="1"/>
  <c r="G7" i="1" s="1"/>
  <c r="G4" i="1"/>
  <c r="G5" i="1" s="1"/>
  <c r="B28" i="1"/>
  <c r="G5" i="14" l="1"/>
  <c r="G10" i="12"/>
  <c r="G6" i="12"/>
  <c r="I18" i="1"/>
  <c r="J18" i="1" l="1"/>
  <c r="L18" i="1" s="1"/>
  <c r="F10" i="12"/>
  <c r="G9" i="12"/>
  <c r="G8" i="12"/>
  <c r="G7" i="12"/>
  <c r="F6" i="12"/>
  <c r="J28" i="1" l="1"/>
  <c r="G9" i="1" s="1"/>
  <c r="D4" i="12" s="1"/>
  <c r="F9" i="12"/>
  <c r="F8" i="12"/>
  <c r="F7" i="12"/>
  <c r="L28" i="1"/>
  <c r="G8" i="1" s="1"/>
  <c r="C4" i="12" l="1"/>
  <c r="F4" i="12" s="1"/>
  <c r="I8" i="1"/>
  <c r="G4" i="12"/>
  <c r="F5" i="12"/>
  <c r="D11" i="12" l="1"/>
  <c r="G11" i="12" s="1"/>
  <c r="G5" i="12"/>
</calcChain>
</file>

<file path=xl/sharedStrings.xml><?xml version="1.0" encoding="utf-8"?>
<sst xmlns="http://schemas.openxmlformats.org/spreadsheetml/2006/main" count="271" uniqueCount="53">
  <si>
    <t>Características de la columna</t>
  </si>
  <si>
    <t>fy(kg/cm2)</t>
  </si>
  <si>
    <t>f'c(kg/cm2)</t>
  </si>
  <si>
    <t>Distribucion de las varillas</t>
  </si>
  <si>
    <t>Capa</t>
  </si>
  <si>
    <t># varillas</t>
  </si>
  <si>
    <t>ø varillas(mm)</t>
  </si>
  <si>
    <t>recub (cm)</t>
  </si>
  <si>
    <t>A. acero(cm2)</t>
  </si>
  <si>
    <t>Fuerzas y momentos de las capas</t>
  </si>
  <si>
    <t>c bal (cm)</t>
  </si>
  <si>
    <t>di (cm)</t>
  </si>
  <si>
    <t>Asi (cm)</t>
  </si>
  <si>
    <t>fsi(kg/cm2)</t>
  </si>
  <si>
    <t>fsi correg.</t>
  </si>
  <si>
    <t>Asi*fsi correg</t>
  </si>
  <si>
    <t>Σ</t>
  </si>
  <si>
    <t>h/2-di</t>
  </si>
  <si>
    <t>Asi*fsi correg*(h/2-di)</t>
  </si>
  <si>
    <t>M</t>
  </si>
  <si>
    <t>P</t>
  </si>
  <si>
    <t>balanc</t>
  </si>
  <si>
    <t>pmax</t>
  </si>
  <si>
    <t>m0</t>
  </si>
  <si>
    <t>p1</t>
  </si>
  <si>
    <t>p2</t>
  </si>
  <si>
    <t>p3</t>
  </si>
  <si>
    <t>p4</t>
  </si>
  <si>
    <t>pmax'</t>
  </si>
  <si>
    <t xml:space="preserve">Cálculo del factor de reducción de resistencia </t>
  </si>
  <si>
    <t>εt</t>
  </si>
  <si>
    <t>ø</t>
  </si>
  <si>
    <t xml:space="preserve"> </t>
  </si>
  <si>
    <t>øM</t>
  </si>
  <si>
    <t>øP</t>
  </si>
  <si>
    <t>øP (t)</t>
  </si>
  <si>
    <t>M (tm)</t>
  </si>
  <si>
    <t>P (t)</t>
  </si>
  <si>
    <t>øM (tm.)</t>
  </si>
  <si>
    <t>zuncho (mm)</t>
  </si>
  <si>
    <t>diametro col(cm)</t>
  </si>
  <si>
    <t>diametro var(mm)</t>
  </si>
  <si>
    <t>r(cm)</t>
  </si>
  <si>
    <t># capas</t>
  </si>
  <si>
    <r>
      <t> </t>
    </r>
    <r>
      <rPr>
        <b/>
        <sz val="11"/>
        <color rgb="FF222222"/>
        <rFont val="Arial"/>
        <family val="2"/>
      </rPr>
      <t>θ</t>
    </r>
    <r>
      <rPr>
        <sz val="11"/>
        <color rgb="FF222222"/>
        <rFont val="Arial"/>
        <family val="2"/>
      </rPr>
      <t> (º)</t>
    </r>
  </si>
  <si>
    <t>Po (t)</t>
  </si>
  <si>
    <t>α (rad)</t>
  </si>
  <si>
    <t>Ac (cm2)</t>
  </si>
  <si>
    <t>Cc (kg)</t>
  </si>
  <si>
    <t>Pmax (t)</t>
  </si>
  <si>
    <t>*cambiamos c hasta que P coincida con Pmax</t>
  </si>
  <si>
    <t>P0 (t)</t>
  </si>
  <si>
    <t>*cambiar c hasta q  P sea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</si>
</sst>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545454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Border="1"/>
    <xf numFmtId="0" fontId="1" fillId="0" borderId="0" xfId="0" applyFont="1"/>
    <xf numFmtId="0" fontId="0" fillId="3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2" fillId="4" borderId="1" xfId="1" applyBorder="1"/>
    <xf numFmtId="2" fontId="2" fillId="4" borderId="1" xfId="1" applyNumberFormat="1" applyBorder="1" applyAlignment="1">
      <alignment horizontal="center"/>
    </xf>
    <xf numFmtId="2" fontId="2" fillId="4" borderId="1" xfId="1" applyNumberFormat="1" applyBorder="1"/>
    <xf numFmtId="0" fontId="0" fillId="0" borderId="0" xfId="0" applyFill="1" applyBorder="1"/>
    <xf numFmtId="0" fontId="3" fillId="0" borderId="1" xfId="0" applyFont="1" applyBorder="1"/>
    <xf numFmtId="0" fontId="1" fillId="0" borderId="1" xfId="0" applyFont="1" applyBorder="1"/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Diagrama de interacción (nominal)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'diagramas '!$C$4:$C$11</c:f>
              <c:numCache>
                <c:formatCode>0.00</c:formatCode>
                <c:ptCount val="8"/>
                <c:pt idx="0">
                  <c:v>26.594296720519996</c:v>
                </c:pt>
                <c:pt idx="1">
                  <c:v>14.950189894619236</c:v>
                </c:pt>
                <c:pt idx="2">
                  <c:v>21.652771123092243</c:v>
                </c:pt>
                <c:pt idx="3">
                  <c:v>25.740349974259537</c:v>
                </c:pt>
                <c:pt idx="4">
                  <c:v>19.597958339383815</c:v>
                </c:pt>
                <c:pt idx="5">
                  <c:v>10.539207932635525</c:v>
                </c:pt>
                <c:pt idx="6">
                  <c:v>23.735566731681811</c:v>
                </c:pt>
                <c:pt idx="7" formatCode="General">
                  <c:v>0</c:v>
                </c:pt>
              </c:numCache>
            </c:numRef>
          </c:xVal>
          <c:yVal>
            <c:numRef>
              <c:f>'diagramas '!$D$4:$D$11</c:f>
              <c:numCache>
                <c:formatCode>0.00</c:formatCode>
                <c:ptCount val="8"/>
                <c:pt idx="0">
                  <c:v>123.3700159999253</c:v>
                </c:pt>
                <c:pt idx="1">
                  <c:v>327.6107205196052</c:v>
                </c:pt>
                <c:pt idx="2">
                  <c:v>-0.11446663095753319</c:v>
                </c:pt>
                <c:pt idx="3">
                  <c:v>153.55255375651583</c:v>
                </c:pt>
                <c:pt idx="4">
                  <c:v>276.67566129866753</c:v>
                </c:pt>
                <c:pt idx="5">
                  <c:v>364.31324578616812</c:v>
                </c:pt>
                <c:pt idx="6">
                  <c:v>22.450665866019232</c:v>
                </c:pt>
                <c:pt idx="7">
                  <c:v>327.6107205196052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6-4F53-9BF2-8455386A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99088"/>
        <c:axId val="271899648"/>
      </c:scatterChart>
      <c:valAx>
        <c:axId val="2718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899648"/>
        <c:crosses val="autoZero"/>
        <c:crossBetween val="midCat"/>
      </c:valAx>
      <c:valAx>
        <c:axId val="2718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8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Diagrama de interacción (diseño)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'diagramas '!$F$4:$F$11</c:f>
              <c:numCache>
                <c:formatCode>0.00</c:formatCode>
                <c:ptCount val="8"/>
                <c:pt idx="0">
                  <c:v>20.023941060156233</c:v>
                </c:pt>
                <c:pt idx="1">
                  <c:v>11.212642420964427</c:v>
                </c:pt>
                <c:pt idx="2">
                  <c:v>19.487494010783021</c:v>
                </c:pt>
                <c:pt idx="3">
                  <c:v>19.305262480694651</c:v>
                </c:pt>
                <c:pt idx="4">
                  <c:v>14.698468754537862</c:v>
                </c:pt>
                <c:pt idx="5">
                  <c:v>7.9044059494766437</c:v>
                </c:pt>
                <c:pt idx="6">
                  <c:v>20.523847858301114</c:v>
                </c:pt>
                <c:pt idx="7">
                  <c:v>0</c:v>
                </c:pt>
              </c:numCache>
            </c:numRef>
          </c:xVal>
          <c:yVal>
            <c:numRef>
              <c:f>'diagramas '!$G$4:$G$11</c:f>
              <c:numCache>
                <c:formatCode>0.00</c:formatCode>
                <c:ptCount val="8"/>
                <c:pt idx="0">
                  <c:v>92.890364988179044</c:v>
                </c:pt>
                <c:pt idx="1">
                  <c:v>245.70804038970391</c:v>
                </c:pt>
                <c:pt idx="2">
                  <c:v>-0.10301996786177987</c:v>
                </c:pt>
                <c:pt idx="3">
                  <c:v>115.16441531738687</c:v>
                </c:pt>
                <c:pt idx="4">
                  <c:v>207.50674597400064</c:v>
                </c:pt>
                <c:pt idx="5">
                  <c:v>273.23493433962608</c:v>
                </c:pt>
                <c:pt idx="6">
                  <c:v>19.412810141023503</c:v>
                </c:pt>
                <c:pt idx="7">
                  <c:v>245.70804038970391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4-492B-BC10-37AEE3E0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01888"/>
        <c:axId val="271902448"/>
      </c:scatterChart>
      <c:valAx>
        <c:axId val="2719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902448"/>
        <c:crosses val="autoZero"/>
        <c:crossBetween val="midCat"/>
      </c:valAx>
      <c:valAx>
        <c:axId val="271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9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329544</xdr:colOff>
      <xdr:row>36</xdr:row>
      <xdr:rowOff>58466</xdr:rowOff>
    </xdr:from>
    <xdr:to>
      <xdr:col>14</xdr:col>
      <xdr:colOff>355592</xdr:colOff>
      <xdr:row>56</xdr:row>
      <xdr:rowOff>27826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7" t="53948" r="4862" b="8436"/>
        <a:stretch/>
      </xdr:blipFill>
      <xdr:spPr>
        <a:xfrm>
          <a:off x="4677914" y="6038509"/>
          <a:ext cx="5281681" cy="3779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215347</xdr:colOff>
      <xdr:row>30</xdr:row>
      <xdr:rowOff>74544</xdr:rowOff>
    </xdr:from>
    <xdr:to>
      <xdr:col>11</xdr:col>
      <xdr:colOff>1271889</xdr:colOff>
      <xdr:row>35</xdr:row>
      <xdr:rowOff>41414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87" t="30633" b="60145"/>
        <a:stretch/>
      </xdr:blipFill>
      <xdr:spPr>
        <a:xfrm>
          <a:off x="4563717" y="4903305"/>
          <a:ext cx="3446392" cy="927652"/>
        </a:xfrm>
        <a:prstGeom prst="rect">
          <a:avLst/>
        </a:prstGeom>
      </xdr:spPr>
    </xdr:pic>
    <xdr:clientData/>
  </xdr:twoCellAnchor>
  <xdr:oneCellAnchor>
    <xdr:from>
      <xdr:col>3</xdr:col>
      <xdr:colOff>40572</xdr:colOff>
      <xdr:row>33</xdr:row>
      <xdr:rowOff>72399</xdr:rowOff>
    </xdr:from>
    <xdr:ext cx="2005870" cy="5232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586553" y="6439495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7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5+0,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586553" y="6439495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5+0,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329544</xdr:colOff>
      <xdr:row>36</xdr:row>
      <xdr:rowOff>58466</xdr:rowOff>
    </xdr:from>
    <xdr:to>
      <xdr:col>14</xdr:col>
      <xdr:colOff>355592</xdr:colOff>
      <xdr:row>56</xdr:row>
      <xdr:rowOff>27826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7" t="53948" r="4862" b="8436"/>
        <a:stretch/>
      </xdr:blipFill>
      <xdr:spPr>
        <a:xfrm>
          <a:off x="5082519" y="7011716"/>
          <a:ext cx="5283848" cy="3779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215347</xdr:colOff>
      <xdr:row>30</xdr:row>
      <xdr:rowOff>74544</xdr:rowOff>
    </xdr:from>
    <xdr:to>
      <xdr:col>11</xdr:col>
      <xdr:colOff>1271889</xdr:colOff>
      <xdr:row>35</xdr:row>
      <xdr:rowOff>41414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87" t="30633" b="60145"/>
        <a:stretch/>
      </xdr:blipFill>
      <xdr:spPr>
        <a:xfrm>
          <a:off x="4968322" y="5875269"/>
          <a:ext cx="3447317" cy="928895"/>
        </a:xfrm>
        <a:prstGeom prst="rect">
          <a:avLst/>
        </a:prstGeom>
      </xdr:spPr>
    </xdr:pic>
    <xdr:clientData/>
  </xdr:twoCellAnchor>
  <xdr:oneCellAnchor>
    <xdr:from>
      <xdr:col>3</xdr:col>
      <xdr:colOff>40572</xdr:colOff>
      <xdr:row>33</xdr:row>
      <xdr:rowOff>72399</xdr:rowOff>
    </xdr:from>
    <xdr:ext cx="2005870" cy="5232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7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5+0,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5+0,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329544</xdr:colOff>
      <xdr:row>36</xdr:row>
      <xdr:rowOff>58466</xdr:rowOff>
    </xdr:from>
    <xdr:to>
      <xdr:col>14</xdr:col>
      <xdr:colOff>355592</xdr:colOff>
      <xdr:row>56</xdr:row>
      <xdr:rowOff>27826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7" t="53948" r="4862" b="8436"/>
        <a:stretch/>
      </xdr:blipFill>
      <xdr:spPr>
        <a:xfrm>
          <a:off x="5082519" y="7011716"/>
          <a:ext cx="5283848" cy="3779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215347</xdr:colOff>
      <xdr:row>30</xdr:row>
      <xdr:rowOff>74544</xdr:rowOff>
    </xdr:from>
    <xdr:to>
      <xdr:col>11</xdr:col>
      <xdr:colOff>1271889</xdr:colOff>
      <xdr:row>35</xdr:row>
      <xdr:rowOff>41414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87" t="30633" b="60145"/>
        <a:stretch/>
      </xdr:blipFill>
      <xdr:spPr>
        <a:xfrm>
          <a:off x="4968322" y="5875269"/>
          <a:ext cx="3447317" cy="928895"/>
        </a:xfrm>
        <a:prstGeom prst="rect">
          <a:avLst/>
        </a:prstGeom>
      </xdr:spPr>
    </xdr:pic>
    <xdr:clientData/>
  </xdr:twoCellAnchor>
  <xdr:oneCellAnchor>
    <xdr:from>
      <xdr:col>3</xdr:col>
      <xdr:colOff>40572</xdr:colOff>
      <xdr:row>33</xdr:row>
      <xdr:rowOff>72399</xdr:rowOff>
    </xdr:from>
    <xdr:ext cx="2005870" cy="5232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7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5+0,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5+0,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329544</xdr:colOff>
      <xdr:row>36</xdr:row>
      <xdr:rowOff>58466</xdr:rowOff>
    </xdr:from>
    <xdr:to>
      <xdr:col>14</xdr:col>
      <xdr:colOff>355592</xdr:colOff>
      <xdr:row>56</xdr:row>
      <xdr:rowOff>27826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7" t="53948" r="4862" b="8436"/>
        <a:stretch/>
      </xdr:blipFill>
      <xdr:spPr>
        <a:xfrm>
          <a:off x="5082519" y="7011716"/>
          <a:ext cx="5283848" cy="3779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215347</xdr:colOff>
      <xdr:row>30</xdr:row>
      <xdr:rowOff>74544</xdr:rowOff>
    </xdr:from>
    <xdr:to>
      <xdr:col>11</xdr:col>
      <xdr:colOff>1271889</xdr:colOff>
      <xdr:row>35</xdr:row>
      <xdr:rowOff>41414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87" t="30633" b="60145"/>
        <a:stretch/>
      </xdr:blipFill>
      <xdr:spPr>
        <a:xfrm>
          <a:off x="4968322" y="5875269"/>
          <a:ext cx="3447317" cy="928895"/>
        </a:xfrm>
        <a:prstGeom prst="rect">
          <a:avLst/>
        </a:prstGeom>
      </xdr:spPr>
    </xdr:pic>
    <xdr:clientData/>
  </xdr:twoCellAnchor>
  <xdr:oneCellAnchor>
    <xdr:from>
      <xdr:col>3</xdr:col>
      <xdr:colOff>40572</xdr:colOff>
      <xdr:row>33</xdr:row>
      <xdr:rowOff>72399</xdr:rowOff>
    </xdr:from>
    <xdr:ext cx="2005870" cy="5232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7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5+0,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5+0,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329544</xdr:colOff>
      <xdr:row>36</xdr:row>
      <xdr:rowOff>58466</xdr:rowOff>
    </xdr:from>
    <xdr:to>
      <xdr:col>14</xdr:col>
      <xdr:colOff>355592</xdr:colOff>
      <xdr:row>56</xdr:row>
      <xdr:rowOff>27826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7" t="53948" r="4862" b="8436"/>
        <a:stretch/>
      </xdr:blipFill>
      <xdr:spPr>
        <a:xfrm>
          <a:off x="5082519" y="7011716"/>
          <a:ext cx="5283848" cy="3779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215347</xdr:colOff>
      <xdr:row>30</xdr:row>
      <xdr:rowOff>74544</xdr:rowOff>
    </xdr:from>
    <xdr:to>
      <xdr:col>11</xdr:col>
      <xdr:colOff>1271889</xdr:colOff>
      <xdr:row>35</xdr:row>
      <xdr:rowOff>41414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87" t="30633" b="60145"/>
        <a:stretch/>
      </xdr:blipFill>
      <xdr:spPr>
        <a:xfrm>
          <a:off x="4968322" y="5875269"/>
          <a:ext cx="3447317" cy="928895"/>
        </a:xfrm>
        <a:prstGeom prst="rect">
          <a:avLst/>
        </a:prstGeom>
      </xdr:spPr>
    </xdr:pic>
    <xdr:clientData/>
  </xdr:twoCellAnchor>
  <xdr:oneCellAnchor>
    <xdr:from>
      <xdr:col>3</xdr:col>
      <xdr:colOff>40572</xdr:colOff>
      <xdr:row>33</xdr:row>
      <xdr:rowOff>72399</xdr:rowOff>
    </xdr:from>
    <xdr:ext cx="2005870" cy="5232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7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5+0,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5+0,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329544</xdr:colOff>
      <xdr:row>36</xdr:row>
      <xdr:rowOff>58466</xdr:rowOff>
    </xdr:from>
    <xdr:to>
      <xdr:col>14</xdr:col>
      <xdr:colOff>355592</xdr:colOff>
      <xdr:row>56</xdr:row>
      <xdr:rowOff>27826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7" t="53948" r="4862" b="8436"/>
        <a:stretch/>
      </xdr:blipFill>
      <xdr:spPr>
        <a:xfrm>
          <a:off x="5082519" y="7011716"/>
          <a:ext cx="5283848" cy="3779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215347</xdr:colOff>
      <xdr:row>30</xdr:row>
      <xdr:rowOff>74544</xdr:rowOff>
    </xdr:from>
    <xdr:to>
      <xdr:col>11</xdr:col>
      <xdr:colOff>1271889</xdr:colOff>
      <xdr:row>35</xdr:row>
      <xdr:rowOff>41414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87" t="30633" b="60145"/>
        <a:stretch/>
      </xdr:blipFill>
      <xdr:spPr>
        <a:xfrm>
          <a:off x="4968322" y="5875269"/>
          <a:ext cx="3447317" cy="928895"/>
        </a:xfrm>
        <a:prstGeom prst="rect">
          <a:avLst/>
        </a:prstGeom>
      </xdr:spPr>
    </xdr:pic>
    <xdr:clientData/>
  </xdr:twoCellAnchor>
  <xdr:oneCellAnchor>
    <xdr:from>
      <xdr:col>3</xdr:col>
      <xdr:colOff>40572</xdr:colOff>
      <xdr:row>33</xdr:row>
      <xdr:rowOff>72399</xdr:rowOff>
    </xdr:from>
    <xdr:ext cx="2005870" cy="5232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7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5+0,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5+0,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329544</xdr:colOff>
      <xdr:row>36</xdr:row>
      <xdr:rowOff>58466</xdr:rowOff>
    </xdr:from>
    <xdr:to>
      <xdr:col>14</xdr:col>
      <xdr:colOff>355592</xdr:colOff>
      <xdr:row>56</xdr:row>
      <xdr:rowOff>27826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7" t="53948" r="4862" b="8436"/>
        <a:stretch/>
      </xdr:blipFill>
      <xdr:spPr>
        <a:xfrm>
          <a:off x="5082519" y="7011716"/>
          <a:ext cx="5283848" cy="3779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215347</xdr:colOff>
      <xdr:row>30</xdr:row>
      <xdr:rowOff>74544</xdr:rowOff>
    </xdr:from>
    <xdr:to>
      <xdr:col>11</xdr:col>
      <xdr:colOff>1271889</xdr:colOff>
      <xdr:row>35</xdr:row>
      <xdr:rowOff>41414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87" t="30633" b="60145"/>
        <a:stretch/>
      </xdr:blipFill>
      <xdr:spPr>
        <a:xfrm>
          <a:off x="4968322" y="5875269"/>
          <a:ext cx="3447317" cy="928895"/>
        </a:xfrm>
        <a:prstGeom prst="rect">
          <a:avLst/>
        </a:prstGeom>
      </xdr:spPr>
    </xdr:pic>
    <xdr:clientData/>
  </xdr:twoCellAnchor>
  <xdr:oneCellAnchor>
    <xdr:from>
      <xdr:col>3</xdr:col>
      <xdr:colOff>40572</xdr:colOff>
      <xdr:row>33</xdr:row>
      <xdr:rowOff>72399</xdr:rowOff>
    </xdr:from>
    <xdr:ext cx="2005870" cy="5232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7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5+0,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5∗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0,005−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0,002</m:t>
                        </m:r>
                      </m:den>
                    </m:f>
                  </m:oMath>
                </m:oMathPara>
              </a14:m>
              <a:endParaRPr lang="es-ES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𝑡𝑦</m:t>
                      </m:r>
                    </m:sub>
                  </m:sSub>
                </m:oMath>
              </a14:m>
              <a:r>
                <a:rPr lang="es-ES" sz="1100"/>
                <a:t>=0,002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583622" y="6454149"/>
              <a:ext cx="2005870" cy="5232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5+0,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5∗((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0,005−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ES" sz="1100"/>
            </a:p>
            <a:p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𝜀_𝑡𝑦</a:t>
              </a:r>
              <a:r>
                <a:rPr lang="es-ES" sz="1100"/>
                <a:t>=0,002</a:t>
              </a: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233570</xdr:colOff>
      <xdr:row>13</xdr:row>
      <xdr:rowOff>113265</xdr:rowOff>
    </xdr:from>
    <xdr:to>
      <xdr:col>7</xdr:col>
      <xdr:colOff>585995</xdr:colOff>
      <xdr:row>27</xdr:row>
      <xdr:rowOff>189465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142461</xdr:colOff>
      <xdr:row>13</xdr:row>
      <xdr:rowOff>168965</xdr:rowOff>
    </xdr:from>
    <xdr:to>
      <xdr:col>12</xdr:col>
      <xdr:colOff>494886</xdr:colOff>
      <xdr:row>28</xdr:row>
      <xdr:rowOff>54665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130" zoomScaleNormal="130" workbookViewId="0">
      <selection activeCell="F18" sqref="F18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6.42578125" customWidth="1"/>
    <col min="4" max="4" width="12.85546875" customWidth="1"/>
    <col min="5" max="5" width="12.85546875" hidden="1" customWidth="1"/>
    <col min="6" max="6" width="12" customWidth="1"/>
    <col min="7" max="7" width="11.85546875" bestFit="1" customWidth="1"/>
    <col min="10" max="10" width="12.5703125" customWidth="1"/>
    <col min="11" max="11" width="11.85546875" bestFit="1" customWidth="1"/>
    <col min="12" max="12" width="20.140625" customWidth="1"/>
  </cols>
  <sheetData>
    <row r="1" spans="3:12" ht="15.75" thickBot="1" x14ac:dyDescent="0.3"/>
    <row r="2" spans="3:12" ht="15.75" thickBot="1" x14ac:dyDescent="0.3">
      <c r="C2" s="48" t="s">
        <v>0</v>
      </c>
      <c r="D2" s="49"/>
      <c r="E2" s="50"/>
      <c r="F2" s="49"/>
      <c r="G2" s="51"/>
    </row>
    <row r="3" spans="3:12" x14ac:dyDescent="0.25">
      <c r="C3" s="4" t="s">
        <v>2</v>
      </c>
      <c r="D3" s="3">
        <v>210</v>
      </c>
      <c r="E3" s="11"/>
      <c r="F3" s="43" t="s">
        <v>47</v>
      </c>
      <c r="G3" s="38">
        <f>(D7^2)*(D12-SIN(D12)*COS(D12))/4</f>
        <v>665.44888099279888</v>
      </c>
    </row>
    <row r="4" spans="3:12" x14ac:dyDescent="0.25">
      <c r="C4" s="4" t="s">
        <v>1</v>
      </c>
      <c r="D4" s="3">
        <v>4200</v>
      </c>
      <c r="E4" s="11"/>
      <c r="F4" s="2" t="s">
        <v>8</v>
      </c>
      <c r="G4" s="15">
        <f>SUM(E18:E27)</f>
        <v>38.013271108436506</v>
      </c>
    </row>
    <row r="5" spans="3:12" x14ac:dyDescent="0.25">
      <c r="C5" s="5" t="s">
        <v>39</v>
      </c>
      <c r="D5" s="6">
        <v>10</v>
      </c>
      <c r="E5" s="11"/>
      <c r="F5" s="2" t="s">
        <v>45</v>
      </c>
      <c r="G5" s="15">
        <f>(0.85*D3*((PI()/4)*(D7^2)-G4)+G4*D4)/1000</f>
        <v>436.7623533996275</v>
      </c>
    </row>
    <row r="6" spans="3:12" x14ac:dyDescent="0.25">
      <c r="C6" s="5" t="s">
        <v>7</v>
      </c>
      <c r="D6" s="6">
        <v>4</v>
      </c>
      <c r="E6" s="11"/>
      <c r="F6" s="2" t="s">
        <v>10</v>
      </c>
      <c r="G6" s="15">
        <f>6120/(6120+4200)*F18</f>
        <v>23.068604651162794</v>
      </c>
    </row>
    <row r="7" spans="3:12" x14ac:dyDescent="0.25">
      <c r="C7" s="5" t="s">
        <v>40</v>
      </c>
      <c r="D7" s="6">
        <v>45</v>
      </c>
      <c r="E7" s="7"/>
      <c r="F7" s="2" t="s">
        <v>48</v>
      </c>
      <c r="G7" s="3">
        <f>0.85*D3*G3</f>
        <v>118782.6252572146</v>
      </c>
    </row>
    <row r="8" spans="3:12" x14ac:dyDescent="0.25">
      <c r="C8" s="5" t="s">
        <v>41</v>
      </c>
      <c r="D8" s="6">
        <v>22</v>
      </c>
      <c r="E8" s="7"/>
      <c r="F8" s="40" t="s">
        <v>36</v>
      </c>
      <c r="G8" s="41">
        <f>(0.85*D3*(D7^3)*(SIN(D12)^3)/12+L28)/100000</f>
        <v>26.594296720519996</v>
      </c>
      <c r="H8" s="40" t="s">
        <v>38</v>
      </c>
      <c r="I8" s="42">
        <f>G8*D32</f>
        <v>20.023941060156233</v>
      </c>
    </row>
    <row r="9" spans="3:12" x14ac:dyDescent="0.25">
      <c r="C9" s="5" t="s">
        <v>42</v>
      </c>
      <c r="D9" s="6">
        <f>D7/2-D6-D5/10-0.5*D8/10</f>
        <v>16.399999999999999</v>
      </c>
      <c r="E9" s="7"/>
      <c r="F9" s="40" t="s">
        <v>37</v>
      </c>
      <c r="G9" s="41">
        <f>(G7+J28)/(10^3)</f>
        <v>123.3700159999253</v>
      </c>
      <c r="H9" s="40" t="s">
        <v>35</v>
      </c>
      <c r="I9" s="42">
        <f>D32</f>
        <v>0.75294117647058822</v>
      </c>
    </row>
    <row r="10" spans="3:12" x14ac:dyDescent="0.25">
      <c r="C10" s="5" t="s">
        <v>43</v>
      </c>
      <c r="D10" s="6">
        <v>6</v>
      </c>
      <c r="E10" s="7"/>
      <c r="F10" s="13"/>
      <c r="G10" s="38"/>
      <c r="H10" s="13"/>
      <c r="I10" s="39"/>
    </row>
    <row r="11" spans="3:12" x14ac:dyDescent="0.25">
      <c r="C11" s="44" t="s">
        <v>44</v>
      </c>
      <c r="D11" s="6">
        <f>360/SUM(C18:C23)</f>
        <v>36</v>
      </c>
      <c r="E11" s="7"/>
      <c r="H11" s="13"/>
      <c r="I11" s="39"/>
      <c r="L11" s="1"/>
    </row>
    <row r="12" spans="3:12" ht="15.75" x14ac:dyDescent="0.25">
      <c r="C12" s="45" t="s">
        <v>46</v>
      </c>
      <c r="D12" s="46">
        <f>ACOS(1-2*0.85*G6/D7)</f>
        <v>1.4419204937318568</v>
      </c>
      <c r="E12" s="7"/>
      <c r="F12" s="13"/>
      <c r="G12" s="38"/>
      <c r="H12" s="13"/>
      <c r="I12" s="39"/>
    </row>
    <row r="13" spans="3:12" x14ac:dyDescent="0.25">
      <c r="E13" s="7"/>
      <c r="F13" s="13"/>
      <c r="G13" s="38"/>
      <c r="H13" s="13"/>
      <c r="I13" s="39"/>
      <c r="K13" s="1"/>
      <c r="L13" s="1"/>
    </row>
    <row r="14" spans="3:12" x14ac:dyDescent="0.25">
      <c r="E14" s="7"/>
      <c r="F14" s="13"/>
      <c r="H14" s="13"/>
      <c r="I14" s="39"/>
    </row>
    <row r="15" spans="3:12" ht="15.75" thickBot="1" x14ac:dyDescent="0.3">
      <c r="K15" s="1"/>
      <c r="L15" s="1"/>
    </row>
    <row r="16" spans="3:12" ht="15.75" thickBot="1" x14ac:dyDescent="0.3">
      <c r="C16" s="52" t="s">
        <v>3</v>
      </c>
      <c r="D16" s="53"/>
      <c r="E16" s="12"/>
      <c r="F16" s="54" t="s">
        <v>9</v>
      </c>
      <c r="G16" s="55"/>
      <c r="H16" s="55"/>
      <c r="I16" s="55"/>
      <c r="J16" s="55"/>
      <c r="K16" s="55"/>
      <c r="L16" s="56"/>
    </row>
    <row r="17" spans="1:12" ht="15.75" thickBot="1" x14ac:dyDescent="0.3">
      <c r="A17" s="10" t="s">
        <v>4</v>
      </c>
      <c r="B17" s="24"/>
      <c r="C17" s="30" t="s">
        <v>5</v>
      </c>
      <c r="D17" s="31" t="s">
        <v>6</v>
      </c>
      <c r="E17" s="32"/>
      <c r="F17" s="33" t="s">
        <v>11</v>
      </c>
      <c r="G17" s="34" t="s">
        <v>12</v>
      </c>
      <c r="H17" s="34" t="s">
        <v>13</v>
      </c>
      <c r="I17" s="34" t="s">
        <v>14</v>
      </c>
      <c r="J17" s="34" t="s">
        <v>15</v>
      </c>
      <c r="K17" s="34" t="s">
        <v>17</v>
      </c>
      <c r="L17" s="35" t="s">
        <v>18</v>
      </c>
    </row>
    <row r="18" spans="1:12" x14ac:dyDescent="0.25">
      <c r="A18" s="9">
        <v>1</v>
      </c>
      <c r="B18" s="24">
        <f>IF(C18&lt;&gt;0,1,0)</f>
        <v>1</v>
      </c>
      <c r="C18" s="25">
        <v>1</v>
      </c>
      <c r="D18" s="25">
        <f t="shared" ref="D18:D23" si="0">$D$8</f>
        <v>22</v>
      </c>
      <c r="E18" s="11">
        <f>C18*PI()*((D18/10)^2)/4</f>
        <v>3.8013271108436504</v>
      </c>
      <c r="F18" s="38">
        <f t="shared" ref="F18:F23" si="1">$D$7/2-$D$9*COS(RADIANS($D$11*($D$10-A18)))</f>
        <v>38.9</v>
      </c>
      <c r="G18" s="16">
        <f>IF(C18&lt;&gt;"",C18*PI()*((D18/10)^2)/4,"")</f>
        <v>3.8013271108436504</v>
      </c>
      <c r="H18" s="16">
        <f>IF(C18&lt;&gt;"",6120*($G$6-F18)/$G$6,"")</f>
        <v>-4199.9999999999982</v>
      </c>
      <c r="I18" s="16">
        <f>IF(C18&lt;&gt;"",IF(ABS(H18)&lt;=4200,H18,(ABS(H18)/H18)*4200),"")</f>
        <v>-4199.9999999999982</v>
      </c>
      <c r="J18" s="16">
        <f>IF(C18&lt;&gt;"",I18*G18,"")</f>
        <v>-15965.573865543325</v>
      </c>
      <c r="K18" s="16">
        <f t="shared" ref="K18:K27" si="2">IF(C18&lt;&gt;"",$D$7/2-F18,"")</f>
        <v>-16.399999999999999</v>
      </c>
      <c r="L18" s="29">
        <f>IF(C18&lt;&gt;"",K18*J18,"")</f>
        <v>261835.41139491051</v>
      </c>
    </row>
    <row r="19" spans="1:12" x14ac:dyDescent="0.25">
      <c r="A19" s="8">
        <v>2</v>
      </c>
      <c r="B19" s="24">
        <f t="shared" ref="B19:B21" si="3">IF(C19&lt;&gt;0,1,0)</f>
        <v>1</v>
      </c>
      <c r="C19" s="25">
        <v>2</v>
      </c>
      <c r="D19" s="25">
        <f t="shared" si="0"/>
        <v>22</v>
      </c>
      <c r="E19" s="11">
        <f t="shared" ref="E19:E28" si="4">C19*PI()*((D19/10)^2)/4</f>
        <v>7.6026542216873008</v>
      </c>
      <c r="F19" s="38">
        <f t="shared" si="1"/>
        <v>35.767878707749134</v>
      </c>
      <c r="G19" s="16">
        <f t="shared" ref="G19:G27" si="5">IF(C19&lt;&gt;"",C19*PI()*((D19/10)^2)/4,"")</f>
        <v>7.6026542216873008</v>
      </c>
      <c r="H19" s="16">
        <f t="shared" ref="H19:H27" si="6">IF(C19&lt;&gt;"",6120*($G$6-F19)/$G$6,"")</f>
        <v>-3369.0619090995119</v>
      </c>
      <c r="I19" s="16">
        <f t="shared" ref="I19:I27" si="7">IF(C19&lt;&gt;"",IF(ABS(H19)&lt;=4200,H19,(ABS(H19)/H19)*4200),"")</f>
        <v>-3369.0619090995119</v>
      </c>
      <c r="J19" s="16">
        <f t="shared" ref="J19:J27" si="8">IF(C19&lt;&gt;"",I19*G19,"")</f>
        <v>-25613.812746341282</v>
      </c>
      <c r="K19" s="16">
        <f t="shared" si="2"/>
        <v>-13.267878707749134</v>
      </c>
      <c r="L19" s="29">
        <f t="shared" ref="L19:L27" si="9">IF(C19&lt;&gt;"",K19*J19,"")</f>
        <v>339840.96076145483</v>
      </c>
    </row>
    <row r="20" spans="1:12" x14ac:dyDescent="0.25">
      <c r="A20" s="8">
        <v>3</v>
      </c>
      <c r="B20" s="24">
        <f t="shared" si="3"/>
        <v>1</v>
      </c>
      <c r="C20" s="25">
        <v>2</v>
      </c>
      <c r="D20" s="25">
        <f t="shared" si="0"/>
        <v>22</v>
      </c>
      <c r="E20" s="11">
        <f t="shared" si="4"/>
        <v>7.6026542216873008</v>
      </c>
      <c r="F20" s="38">
        <f t="shared" si="1"/>
        <v>27.567878707749138</v>
      </c>
      <c r="G20" s="16">
        <f t="shared" si="5"/>
        <v>7.6026542216873008</v>
      </c>
      <c r="H20" s="16">
        <f t="shared" si="6"/>
        <v>-1193.6377445750918</v>
      </c>
      <c r="I20" s="16">
        <f t="shared" si="7"/>
        <v>-1193.6377445750918</v>
      </c>
      <c r="J20" s="16">
        <f t="shared" si="8"/>
        <v>-9074.8150379591298</v>
      </c>
      <c r="K20" s="16">
        <f t="shared" si="2"/>
        <v>-5.0678787077491378</v>
      </c>
      <c r="L20" s="29">
        <f t="shared" si="9"/>
        <v>45990.061907634758</v>
      </c>
    </row>
    <row r="21" spans="1:12" x14ac:dyDescent="0.25">
      <c r="A21" s="8">
        <v>4</v>
      </c>
      <c r="B21" s="24">
        <f t="shared" si="3"/>
        <v>1</v>
      </c>
      <c r="C21" s="25">
        <v>2</v>
      </c>
      <c r="D21" s="25">
        <f t="shared" si="0"/>
        <v>22</v>
      </c>
      <c r="E21" s="11">
        <f t="shared" si="4"/>
        <v>7.6026542216873008</v>
      </c>
      <c r="F21" s="38">
        <f t="shared" si="1"/>
        <v>17.432121292250862</v>
      </c>
      <c r="G21" s="16">
        <f t="shared" si="5"/>
        <v>7.6026542216873008</v>
      </c>
      <c r="H21" s="16">
        <f t="shared" si="6"/>
        <v>1495.3344026727796</v>
      </c>
      <c r="I21" s="16">
        <f t="shared" si="7"/>
        <v>1495.3344026727796</v>
      </c>
      <c r="J21" s="16">
        <f t="shared" si="8"/>
        <v>11368.510409314466</v>
      </c>
      <c r="K21" s="16">
        <f t="shared" si="2"/>
        <v>5.0678787077491378</v>
      </c>
      <c r="L21" s="29">
        <f t="shared" si="9"/>
        <v>57614.231842189212</v>
      </c>
    </row>
    <row r="22" spans="1:12" x14ac:dyDescent="0.25">
      <c r="A22" s="8">
        <v>5</v>
      </c>
      <c r="B22" s="24">
        <f>IF(C22&lt;&gt;"",1,"")</f>
        <v>1</v>
      </c>
      <c r="C22" s="17">
        <v>2</v>
      </c>
      <c r="D22" s="25">
        <f t="shared" si="0"/>
        <v>22</v>
      </c>
      <c r="E22" s="11">
        <f t="shared" si="4"/>
        <v>7.6026542216873008</v>
      </c>
      <c r="F22" s="38">
        <f t="shared" si="1"/>
        <v>9.2321212922508629</v>
      </c>
      <c r="G22" s="16">
        <f t="shared" si="5"/>
        <v>7.6026542216873008</v>
      </c>
      <c r="H22" s="16">
        <f t="shared" si="6"/>
        <v>3670.7585671972006</v>
      </c>
      <c r="I22" s="16">
        <f t="shared" si="7"/>
        <v>3670.7585671972006</v>
      </c>
      <c r="J22" s="16">
        <f t="shared" si="8"/>
        <v>27907.508117696623</v>
      </c>
      <c r="K22" s="16">
        <f t="shared" si="2"/>
        <v>13.267878707749137</v>
      </c>
      <c r="L22" s="29">
        <f t="shared" si="9"/>
        <v>370273.43274112325</v>
      </c>
    </row>
    <row r="23" spans="1:12" x14ac:dyDescent="0.25">
      <c r="A23" s="8">
        <v>6</v>
      </c>
      <c r="B23" s="24">
        <f t="shared" ref="B23:B27" si="10">IF(C23&lt;&gt;"",1,"")</f>
        <v>1</v>
      </c>
      <c r="C23" s="17">
        <v>1</v>
      </c>
      <c r="D23" s="25">
        <f t="shared" si="0"/>
        <v>22</v>
      </c>
      <c r="E23" s="11">
        <f t="shared" si="4"/>
        <v>3.8013271108436504</v>
      </c>
      <c r="F23" s="38">
        <f t="shared" si="1"/>
        <v>6.1000000000000014</v>
      </c>
      <c r="G23" s="16">
        <f t="shared" si="5"/>
        <v>3.8013271108436504</v>
      </c>
      <c r="H23" s="16">
        <f t="shared" si="6"/>
        <v>4501.6966580976859</v>
      </c>
      <c r="I23" s="16">
        <f t="shared" si="7"/>
        <v>4200</v>
      </c>
      <c r="J23" s="16">
        <f t="shared" si="8"/>
        <v>15965.573865543332</v>
      </c>
      <c r="K23" s="16">
        <f t="shared" si="2"/>
        <v>16.399999999999999</v>
      </c>
      <c r="L23" s="29">
        <f t="shared" si="9"/>
        <v>261835.41139491062</v>
      </c>
    </row>
    <row r="24" spans="1:12" x14ac:dyDescent="0.25">
      <c r="A24" s="8">
        <v>7</v>
      </c>
      <c r="B24" s="24" t="str">
        <f t="shared" si="10"/>
        <v/>
      </c>
      <c r="C24" s="17"/>
      <c r="D24" s="26"/>
      <c r="E24" s="11">
        <f t="shared" si="4"/>
        <v>0</v>
      </c>
      <c r="F24" s="18" t="str">
        <f>IF(C24&lt;&gt;"",F23-D23/20-#REF!-D24/20,"")</f>
        <v/>
      </c>
      <c r="G24" s="16" t="str">
        <f t="shared" si="5"/>
        <v/>
      </c>
      <c r="H24" s="16" t="str">
        <f t="shared" si="6"/>
        <v/>
      </c>
      <c r="I24" s="16" t="str">
        <f t="shared" si="7"/>
        <v/>
      </c>
      <c r="J24" s="16" t="str">
        <f t="shared" si="8"/>
        <v/>
      </c>
      <c r="K24" s="16" t="str">
        <f t="shared" si="2"/>
        <v/>
      </c>
      <c r="L24" s="29" t="str">
        <f t="shared" si="9"/>
        <v/>
      </c>
    </row>
    <row r="25" spans="1:12" x14ac:dyDescent="0.25">
      <c r="A25" s="8">
        <v>8</v>
      </c>
      <c r="B25" s="24" t="str">
        <f t="shared" si="10"/>
        <v/>
      </c>
      <c r="C25" s="17"/>
      <c r="D25" s="26"/>
      <c r="E25" s="11">
        <f t="shared" si="4"/>
        <v>0</v>
      </c>
      <c r="F25" s="18" t="str">
        <f>IF(C25&lt;&gt;"",F24-D24/20-#REF!-D25/20,"")</f>
        <v/>
      </c>
      <c r="G25" s="16" t="str">
        <f t="shared" si="5"/>
        <v/>
      </c>
      <c r="H25" s="16" t="str">
        <f t="shared" si="6"/>
        <v/>
      </c>
      <c r="I25" s="16" t="str">
        <f t="shared" si="7"/>
        <v/>
      </c>
      <c r="J25" s="16" t="str">
        <f t="shared" si="8"/>
        <v/>
      </c>
      <c r="K25" s="16" t="str">
        <f t="shared" si="2"/>
        <v/>
      </c>
      <c r="L25" s="29" t="str">
        <f t="shared" si="9"/>
        <v/>
      </c>
    </row>
    <row r="26" spans="1:12" x14ac:dyDescent="0.25">
      <c r="A26" s="8">
        <v>9</v>
      </c>
      <c r="B26" s="24" t="str">
        <f t="shared" si="10"/>
        <v/>
      </c>
      <c r="C26" s="17"/>
      <c r="D26" s="26"/>
      <c r="E26" s="11">
        <f t="shared" si="4"/>
        <v>0</v>
      </c>
      <c r="F26" s="18" t="str">
        <f>IF(C26&lt;&gt;"",F25-D25/20-#REF!-D26/20,"")</f>
        <v/>
      </c>
      <c r="G26" s="16" t="str">
        <f t="shared" si="5"/>
        <v/>
      </c>
      <c r="H26" s="16" t="str">
        <f t="shared" si="6"/>
        <v/>
      </c>
      <c r="I26" s="16" t="str">
        <f t="shared" si="7"/>
        <v/>
      </c>
      <c r="J26" s="16" t="str">
        <f t="shared" si="8"/>
        <v/>
      </c>
      <c r="K26" s="16" t="str">
        <f t="shared" si="2"/>
        <v/>
      </c>
      <c r="L26" s="29" t="str">
        <f t="shared" si="9"/>
        <v/>
      </c>
    </row>
    <row r="27" spans="1:12" ht="15.75" thickBot="1" x14ac:dyDescent="0.3">
      <c r="A27" s="8">
        <v>10</v>
      </c>
      <c r="B27" s="24" t="str">
        <f t="shared" si="10"/>
        <v/>
      </c>
      <c r="C27" s="27"/>
      <c r="D27" s="28"/>
      <c r="E27" s="11">
        <f t="shared" si="4"/>
        <v>0</v>
      </c>
      <c r="F27" s="19" t="str">
        <f>IF(C27&lt;&gt;"",F26-D26/20-#REF!-D27/20,"")</f>
        <v/>
      </c>
      <c r="G27" s="16" t="str">
        <f t="shared" si="5"/>
        <v/>
      </c>
      <c r="H27" s="16" t="str">
        <f t="shared" si="6"/>
        <v/>
      </c>
      <c r="I27" s="16" t="str">
        <f t="shared" si="7"/>
        <v/>
      </c>
      <c r="J27" s="16" t="str">
        <f t="shared" si="8"/>
        <v/>
      </c>
      <c r="K27" s="16" t="str">
        <f t="shared" si="2"/>
        <v/>
      </c>
      <c r="L27" s="29" t="str">
        <f t="shared" si="9"/>
        <v/>
      </c>
    </row>
    <row r="28" spans="1:12" ht="16.5" thickBot="1" x14ac:dyDescent="0.3">
      <c r="A28"/>
      <c r="B28">
        <f>SUM(B18:B27)</f>
        <v>6</v>
      </c>
      <c r="E28" s="13">
        <f t="shared" si="4"/>
        <v>0</v>
      </c>
      <c r="I28" s="20" t="s">
        <v>16</v>
      </c>
      <c r="J28" s="21">
        <f>SUM(J18:J27)</f>
        <v>4587.3907427106878</v>
      </c>
      <c r="K28" s="22" t="s">
        <v>16</v>
      </c>
      <c r="L28" s="23">
        <f>SUM(L18:L27)</f>
        <v>1337389.5100422231</v>
      </c>
    </row>
    <row r="29" spans="1:12" x14ac:dyDescent="0.25">
      <c r="A29"/>
      <c r="B29"/>
    </row>
    <row r="30" spans="1:12" x14ac:dyDescent="0.25">
      <c r="A30"/>
      <c r="B30"/>
      <c r="C30" s="57" t="s">
        <v>29</v>
      </c>
      <c r="D30" s="58"/>
      <c r="E30" s="58"/>
      <c r="F30" s="58"/>
      <c r="G30" s="58"/>
    </row>
    <row r="31" spans="1:12" ht="15.75" x14ac:dyDescent="0.25">
      <c r="C31" s="36" t="s">
        <v>30</v>
      </c>
      <c r="D31">
        <f>ABS(0.003*(G6-F18)/G6)</f>
        <v>2.058823529411764E-3</v>
      </c>
      <c r="F31" t="str">
        <f>IF((0.003*(G6-F18)/G6)&lt;0,"tracción","compresión")</f>
        <v>tracción</v>
      </c>
    </row>
    <row r="32" spans="1:12" x14ac:dyDescent="0.25">
      <c r="C32" t="s">
        <v>31</v>
      </c>
      <c r="D32">
        <f>IF(D31&lt;0.002,0.75,IF(D31&gt;0.005,0.9,0.75+0.15*(D31-0.002)/(0.005-0.002)))</f>
        <v>0.75294117647058822</v>
      </c>
    </row>
  </sheetData>
  <mergeCells count="4">
    <mergeCell ref="C2:G2"/>
    <mergeCell ref="C16:D16"/>
    <mergeCell ref="F16:L16"/>
    <mergeCell ref="C30:G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="130" zoomScaleNormal="130" workbookViewId="0">
      <selection activeCell="D11" sqref="D11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6.42578125" customWidth="1"/>
    <col min="4" max="4" width="12.85546875" customWidth="1"/>
    <col min="5" max="5" width="12.85546875" hidden="1" customWidth="1"/>
    <col min="6" max="6" width="12" customWidth="1"/>
    <col min="7" max="7" width="11.85546875" bestFit="1" customWidth="1"/>
    <col min="10" max="10" width="12.5703125" customWidth="1"/>
    <col min="11" max="11" width="11.85546875" bestFit="1" customWidth="1"/>
    <col min="12" max="12" width="20.140625" customWidth="1"/>
  </cols>
  <sheetData>
    <row r="1" spans="3:12" ht="15.75" thickBot="1" x14ac:dyDescent="0.3"/>
    <row r="2" spans="3:12" ht="15.75" thickBot="1" x14ac:dyDescent="0.3">
      <c r="C2" s="48" t="s">
        <v>0</v>
      </c>
      <c r="D2" s="49"/>
      <c r="E2" s="50"/>
      <c r="F2" s="49"/>
      <c r="G2" s="51"/>
    </row>
    <row r="3" spans="3:12" x14ac:dyDescent="0.25">
      <c r="C3" s="4" t="s">
        <v>2</v>
      </c>
      <c r="D3" s="3">
        <v>210</v>
      </c>
      <c r="E3" s="11"/>
      <c r="F3" s="43" t="s">
        <v>47</v>
      </c>
      <c r="G3" s="38">
        <f>(D7^2)*(D12-SIN(D12)*COS(D12))/4</f>
        <v>1301.6367578562235</v>
      </c>
    </row>
    <row r="4" spans="3:12" x14ac:dyDescent="0.25">
      <c r="C4" s="4" t="s">
        <v>1</v>
      </c>
      <c r="D4" s="3">
        <v>4200</v>
      </c>
      <c r="E4" s="11"/>
      <c r="F4" s="2" t="s">
        <v>8</v>
      </c>
      <c r="G4" s="15">
        <f>SUM(E18:E27)</f>
        <v>38.013271108436506</v>
      </c>
    </row>
    <row r="5" spans="3:12" x14ac:dyDescent="0.25">
      <c r="C5" s="5" t="s">
        <v>39</v>
      </c>
      <c r="D5" s="6">
        <v>10</v>
      </c>
      <c r="E5" s="11"/>
      <c r="F5" s="2" t="s">
        <v>49</v>
      </c>
      <c r="G5" s="15">
        <f>D32*Balanceado!G5</f>
        <v>327.57176504972063</v>
      </c>
    </row>
    <row r="6" spans="3:12" x14ac:dyDescent="0.25">
      <c r="C6" s="5" t="s">
        <v>7</v>
      </c>
      <c r="D6" s="6">
        <v>4</v>
      </c>
      <c r="E6" s="11"/>
      <c r="F6" s="2" t="s">
        <v>10</v>
      </c>
      <c r="G6" s="15">
        <v>40.380000000000003</v>
      </c>
    </row>
    <row r="7" spans="3:12" x14ac:dyDescent="0.25">
      <c r="C7" s="5" t="s">
        <v>40</v>
      </c>
      <c r="D7" s="6">
        <v>45</v>
      </c>
      <c r="E7" s="7"/>
      <c r="F7" s="2" t="s">
        <v>48</v>
      </c>
      <c r="G7" s="3">
        <f>0.85*D3*G3</f>
        <v>232342.16127733589</v>
      </c>
    </row>
    <row r="8" spans="3:12" x14ac:dyDescent="0.25">
      <c r="C8" s="5" t="s">
        <v>41</v>
      </c>
      <c r="D8" s="6">
        <v>22</v>
      </c>
      <c r="E8" s="7"/>
      <c r="F8" s="40" t="s">
        <v>36</v>
      </c>
      <c r="G8" s="41">
        <f>(0.85*D3*(D7^3)*(SIN(D12)^3)/12+L28)/100000</f>
        <v>14.950189894619236</v>
      </c>
      <c r="H8" s="40" t="s">
        <v>38</v>
      </c>
      <c r="I8" s="42">
        <f>G8*D32</f>
        <v>11.212642420964427</v>
      </c>
    </row>
    <row r="9" spans="3:12" x14ac:dyDescent="0.25">
      <c r="C9" s="5" t="s">
        <v>42</v>
      </c>
      <c r="D9" s="6">
        <f>D7/2-D6-D5/10-0.5*D8/10</f>
        <v>16.399999999999999</v>
      </c>
      <c r="E9" s="7"/>
      <c r="F9" s="40" t="s">
        <v>37</v>
      </c>
      <c r="G9" s="41">
        <f>(G7+J28)/(10^3)</f>
        <v>327.6107205196052</v>
      </c>
      <c r="H9" s="40" t="s">
        <v>35</v>
      </c>
      <c r="I9" s="42">
        <f>D32</f>
        <v>0.75</v>
      </c>
    </row>
    <row r="10" spans="3:12" x14ac:dyDescent="0.25">
      <c r="C10" s="5" t="s">
        <v>43</v>
      </c>
      <c r="D10" s="6">
        <v>6</v>
      </c>
      <c r="E10" s="7"/>
      <c r="F10" s="13"/>
      <c r="G10" s="47" t="s">
        <v>50</v>
      </c>
      <c r="H10" s="13"/>
      <c r="I10" s="39"/>
    </row>
    <row r="11" spans="3:12" x14ac:dyDescent="0.25">
      <c r="C11" s="44" t="s">
        <v>44</v>
      </c>
      <c r="D11" s="6">
        <f>Balanceado!D11</f>
        <v>36</v>
      </c>
      <c r="E11" s="7"/>
      <c r="H11" s="13"/>
      <c r="I11" s="39"/>
      <c r="L11" s="1"/>
    </row>
    <row r="12" spans="3:12" ht="15.75" x14ac:dyDescent="0.25">
      <c r="C12" s="45" t="s">
        <v>46</v>
      </c>
      <c r="D12" s="46">
        <f>ACOS(1-2*0.85*G6/D7)</f>
        <v>2.1240598412714804</v>
      </c>
      <c r="E12" s="7"/>
      <c r="F12" s="13"/>
      <c r="G12" s="38"/>
      <c r="H12" s="13"/>
      <c r="I12" s="39"/>
    </row>
    <row r="13" spans="3:12" x14ac:dyDescent="0.25">
      <c r="E13" s="7"/>
      <c r="F13" s="13"/>
      <c r="G13" s="38"/>
      <c r="H13" s="13"/>
      <c r="I13" s="39"/>
      <c r="K13" s="1"/>
      <c r="L13" s="1"/>
    </row>
    <row r="14" spans="3:12" x14ac:dyDescent="0.25">
      <c r="E14" s="7"/>
      <c r="F14" s="13"/>
      <c r="H14" s="13"/>
      <c r="I14" s="39"/>
    </row>
    <row r="15" spans="3:12" ht="15.75" thickBot="1" x14ac:dyDescent="0.3">
      <c r="K15" s="1"/>
      <c r="L15" s="1"/>
    </row>
    <row r="16" spans="3:12" ht="15.75" thickBot="1" x14ac:dyDescent="0.3">
      <c r="C16" s="52" t="s">
        <v>3</v>
      </c>
      <c r="D16" s="53"/>
      <c r="E16" s="37"/>
      <c r="F16" s="54" t="s">
        <v>9</v>
      </c>
      <c r="G16" s="55"/>
      <c r="H16" s="55"/>
      <c r="I16" s="55"/>
      <c r="J16" s="55"/>
      <c r="K16" s="55"/>
      <c r="L16" s="56"/>
    </row>
    <row r="17" spans="1:12" ht="15.75" thickBot="1" x14ac:dyDescent="0.3">
      <c r="A17" s="10" t="s">
        <v>4</v>
      </c>
      <c r="B17" s="24"/>
      <c r="C17" s="30" t="s">
        <v>5</v>
      </c>
      <c r="D17" s="31" t="s">
        <v>6</v>
      </c>
      <c r="E17" s="32"/>
      <c r="F17" s="33" t="s">
        <v>11</v>
      </c>
      <c r="G17" s="34" t="s">
        <v>12</v>
      </c>
      <c r="H17" s="34" t="s">
        <v>13</v>
      </c>
      <c r="I17" s="34" t="s">
        <v>14</v>
      </c>
      <c r="J17" s="34" t="s">
        <v>15</v>
      </c>
      <c r="K17" s="34" t="s">
        <v>17</v>
      </c>
      <c r="L17" s="35" t="s">
        <v>18</v>
      </c>
    </row>
    <row r="18" spans="1:12" x14ac:dyDescent="0.25">
      <c r="A18" s="9">
        <v>1</v>
      </c>
      <c r="B18" s="24">
        <f>IF(C18&lt;&gt;0,1,0)</f>
        <v>1</v>
      </c>
      <c r="C18" s="25">
        <v>1</v>
      </c>
      <c r="D18" s="25">
        <f t="shared" ref="D18:D23" si="0">$D$8</f>
        <v>22</v>
      </c>
      <c r="E18" s="11">
        <f>C18*PI()*((D18/10)^2)/4</f>
        <v>3.8013271108436504</v>
      </c>
      <c r="F18" s="38">
        <f t="shared" ref="F18:F23" si="1">$D$7/2-$D$9*COS(RADIANS($D$11*($D$10-A18)))</f>
        <v>38.9</v>
      </c>
      <c r="G18" s="16">
        <f>IF(C18&lt;&gt;"",C18*PI()*((D18/10)^2)/4,"")</f>
        <v>3.8013271108436504</v>
      </c>
      <c r="H18" s="16">
        <f>IF(C18&lt;&gt;"",6120*($G$6-F18)/$G$6,"")</f>
        <v>224.30906389301691</v>
      </c>
      <c r="I18" s="16">
        <f>IF(C18&lt;&gt;"",IF(ABS(H18)&lt;=4200,H18,(ABS(H18)/H18)*4200),"")</f>
        <v>224.30906389301691</v>
      </c>
      <c r="J18" s="16">
        <f>IF(C18&lt;&gt;"",I18*G18,"")</f>
        <v>852.67212578448573</v>
      </c>
      <c r="K18" s="16">
        <f t="shared" ref="K18:K27" si="2">IF(C18&lt;&gt;"",$D$7/2-F18,"")</f>
        <v>-16.399999999999999</v>
      </c>
      <c r="L18" s="29">
        <f>IF(C18&lt;&gt;"",K18*J18,"")</f>
        <v>-13983.822862865565</v>
      </c>
    </row>
    <row r="19" spans="1:12" x14ac:dyDescent="0.25">
      <c r="A19" s="8">
        <v>2</v>
      </c>
      <c r="B19" s="24">
        <f t="shared" ref="B19:B21" si="3">IF(C19&lt;&gt;0,1,0)</f>
        <v>1</v>
      </c>
      <c r="C19" s="25">
        <v>2</v>
      </c>
      <c r="D19" s="25">
        <f t="shared" si="0"/>
        <v>22</v>
      </c>
      <c r="E19" s="11">
        <f t="shared" ref="E19:E28" si="4">C19*PI()*((D19/10)^2)/4</f>
        <v>7.6026542216873008</v>
      </c>
      <c r="F19" s="38">
        <f t="shared" si="1"/>
        <v>35.767878707749134</v>
      </c>
      <c r="G19" s="16">
        <f t="shared" ref="G19:G27" si="5">IF(C19&lt;&gt;"",C19*PI()*((D19/10)^2)/4,"")</f>
        <v>7.6026542216873008</v>
      </c>
      <c r="H19" s="16">
        <f t="shared" ref="H19:H27" si="6">IF(C19&lt;&gt;"",6120*($G$6-F19)/$G$6,"")</f>
        <v>699.01392542286567</v>
      </c>
      <c r="I19" s="16">
        <f t="shared" ref="I19:I27" si="7">IF(C19&lt;&gt;"",IF(ABS(H19)&lt;=4200,H19,(ABS(H19)/H19)*4200),"")</f>
        <v>699.01392542286567</v>
      </c>
      <c r="J19" s="16">
        <f t="shared" ref="J19:J27" si="8">IF(C19&lt;&gt;"",I19*G19,"")</f>
        <v>5314.3611711343619</v>
      </c>
      <c r="K19" s="16">
        <f t="shared" si="2"/>
        <v>-13.267878707749134</v>
      </c>
      <c r="L19" s="29">
        <f t="shared" ref="L19:L27" si="9">IF(C19&lt;&gt;"",K19*J19,"")</f>
        <v>-70510.299427782345</v>
      </c>
    </row>
    <row r="20" spans="1:12" x14ac:dyDescent="0.25">
      <c r="A20" s="8">
        <v>3</v>
      </c>
      <c r="B20" s="24">
        <f t="shared" si="3"/>
        <v>1</v>
      </c>
      <c r="C20" s="25">
        <v>2</v>
      </c>
      <c r="D20" s="25">
        <f t="shared" si="0"/>
        <v>22</v>
      </c>
      <c r="E20" s="11">
        <f t="shared" si="4"/>
        <v>7.6026542216873008</v>
      </c>
      <c r="F20" s="38">
        <f t="shared" si="1"/>
        <v>27.567878707749138</v>
      </c>
      <c r="G20" s="16">
        <f t="shared" si="5"/>
        <v>7.6026542216873008</v>
      </c>
      <c r="H20" s="16">
        <f t="shared" si="6"/>
        <v>1941.8073875328205</v>
      </c>
      <c r="I20" s="16">
        <f t="shared" si="7"/>
        <v>1941.8073875328205</v>
      </c>
      <c r="J20" s="16">
        <f t="shared" si="8"/>
        <v>14762.890132529987</v>
      </c>
      <c r="K20" s="16">
        <f t="shared" si="2"/>
        <v>-5.0678787077491378</v>
      </c>
      <c r="L20" s="29">
        <f t="shared" si="9"/>
        <v>-74816.536567488569</v>
      </c>
    </row>
    <row r="21" spans="1:12" x14ac:dyDescent="0.25">
      <c r="A21" s="8">
        <v>4</v>
      </c>
      <c r="B21" s="24">
        <f t="shared" si="3"/>
        <v>1</v>
      </c>
      <c r="C21" s="25">
        <v>2</v>
      </c>
      <c r="D21" s="25">
        <f t="shared" si="0"/>
        <v>22</v>
      </c>
      <c r="E21" s="11">
        <f t="shared" si="4"/>
        <v>7.6026542216873008</v>
      </c>
      <c r="F21" s="38">
        <f t="shared" si="1"/>
        <v>17.432121292250862</v>
      </c>
      <c r="G21" s="16">
        <f t="shared" si="5"/>
        <v>7.6026542216873008</v>
      </c>
      <c r="H21" s="16">
        <f t="shared" si="6"/>
        <v>3477.9845886930343</v>
      </c>
      <c r="I21" s="16">
        <f t="shared" si="7"/>
        <v>3477.9845886930343</v>
      </c>
      <c r="J21" s="16">
        <f t="shared" si="8"/>
        <v>26441.914216190467</v>
      </c>
      <c r="K21" s="16">
        <f t="shared" si="2"/>
        <v>5.0678787077491378</v>
      </c>
      <c r="L21" s="29">
        <f t="shared" si="9"/>
        <v>134004.41404836089</v>
      </c>
    </row>
    <row r="22" spans="1:12" x14ac:dyDescent="0.25">
      <c r="A22" s="8">
        <v>5</v>
      </c>
      <c r="B22" s="24">
        <f>IF(C22&lt;&gt;"",1,"")</f>
        <v>1</v>
      </c>
      <c r="C22" s="17">
        <v>2</v>
      </c>
      <c r="D22" s="25">
        <f t="shared" si="0"/>
        <v>22</v>
      </c>
      <c r="E22" s="11">
        <f t="shared" si="4"/>
        <v>7.6026542216873008</v>
      </c>
      <c r="F22" s="38">
        <f t="shared" si="1"/>
        <v>9.2321212922508629</v>
      </c>
      <c r="G22" s="16">
        <f t="shared" si="5"/>
        <v>7.6026542216873008</v>
      </c>
      <c r="H22" s="16">
        <f t="shared" si="6"/>
        <v>4720.7780508029891</v>
      </c>
      <c r="I22" s="16">
        <f t="shared" si="7"/>
        <v>4200</v>
      </c>
      <c r="J22" s="16">
        <f t="shared" si="8"/>
        <v>31931.147731086665</v>
      </c>
      <c r="K22" s="16">
        <f t="shared" si="2"/>
        <v>13.267878707749137</v>
      </c>
      <c r="L22" s="29">
        <f t="shared" si="9"/>
        <v>423658.59509527695</v>
      </c>
    </row>
    <row r="23" spans="1:12" x14ac:dyDescent="0.25">
      <c r="A23" s="8">
        <v>6</v>
      </c>
      <c r="B23" s="24">
        <f t="shared" ref="B23:B27" si="10">IF(C23&lt;&gt;"",1,"")</f>
        <v>1</v>
      </c>
      <c r="C23" s="17">
        <v>1</v>
      </c>
      <c r="D23" s="25">
        <f t="shared" si="0"/>
        <v>22</v>
      </c>
      <c r="E23" s="11">
        <f t="shared" si="4"/>
        <v>3.8013271108436504</v>
      </c>
      <c r="F23" s="38">
        <f t="shared" si="1"/>
        <v>6.1000000000000014</v>
      </c>
      <c r="G23" s="16">
        <f t="shared" si="5"/>
        <v>3.8013271108436504</v>
      </c>
      <c r="H23" s="16">
        <f t="shared" si="6"/>
        <v>5195.4829123328382</v>
      </c>
      <c r="I23" s="16">
        <f t="shared" si="7"/>
        <v>4200</v>
      </c>
      <c r="J23" s="16">
        <f t="shared" si="8"/>
        <v>15965.573865543332</v>
      </c>
      <c r="K23" s="16">
        <f t="shared" si="2"/>
        <v>16.399999999999999</v>
      </c>
      <c r="L23" s="29">
        <f t="shared" si="9"/>
        <v>261835.41139491062</v>
      </c>
    </row>
    <row r="24" spans="1:12" x14ac:dyDescent="0.25">
      <c r="A24" s="8">
        <v>7</v>
      </c>
      <c r="B24" s="24" t="str">
        <f t="shared" si="10"/>
        <v/>
      </c>
      <c r="C24" s="17"/>
      <c r="D24" s="26"/>
      <c r="E24" s="11">
        <f t="shared" si="4"/>
        <v>0</v>
      </c>
      <c r="F24" s="18" t="str">
        <f>IF(C24&lt;&gt;"",F23-D23/20-#REF!-D24/20,"")</f>
        <v/>
      </c>
      <c r="G24" s="16" t="str">
        <f t="shared" si="5"/>
        <v/>
      </c>
      <c r="H24" s="16" t="str">
        <f t="shared" si="6"/>
        <v/>
      </c>
      <c r="I24" s="16" t="str">
        <f t="shared" si="7"/>
        <v/>
      </c>
      <c r="J24" s="16" t="str">
        <f t="shared" si="8"/>
        <v/>
      </c>
      <c r="K24" s="16" t="str">
        <f t="shared" si="2"/>
        <v/>
      </c>
      <c r="L24" s="29" t="str">
        <f t="shared" si="9"/>
        <v/>
      </c>
    </row>
    <row r="25" spans="1:12" x14ac:dyDescent="0.25">
      <c r="A25" s="8">
        <v>8</v>
      </c>
      <c r="B25" s="24" t="str">
        <f t="shared" si="10"/>
        <v/>
      </c>
      <c r="C25" s="17"/>
      <c r="D25" s="26"/>
      <c r="E25" s="11">
        <f t="shared" si="4"/>
        <v>0</v>
      </c>
      <c r="F25" s="18" t="str">
        <f>IF(C25&lt;&gt;"",F24-D24/20-#REF!-D25/20,"")</f>
        <v/>
      </c>
      <c r="G25" s="16" t="str">
        <f t="shared" si="5"/>
        <v/>
      </c>
      <c r="H25" s="16" t="str">
        <f t="shared" si="6"/>
        <v/>
      </c>
      <c r="I25" s="16" t="str">
        <f t="shared" si="7"/>
        <v/>
      </c>
      <c r="J25" s="16" t="str">
        <f t="shared" si="8"/>
        <v/>
      </c>
      <c r="K25" s="16" t="str">
        <f t="shared" si="2"/>
        <v/>
      </c>
      <c r="L25" s="29" t="str">
        <f t="shared" si="9"/>
        <v/>
      </c>
    </row>
    <row r="26" spans="1:12" x14ac:dyDescent="0.25">
      <c r="A26" s="8">
        <v>9</v>
      </c>
      <c r="B26" s="24" t="str">
        <f t="shared" si="10"/>
        <v/>
      </c>
      <c r="C26" s="17"/>
      <c r="D26" s="26"/>
      <c r="E26" s="11">
        <f t="shared" si="4"/>
        <v>0</v>
      </c>
      <c r="F26" s="18" t="str">
        <f>IF(C26&lt;&gt;"",F25-D25/20-#REF!-D26/20,"")</f>
        <v/>
      </c>
      <c r="G26" s="16" t="str">
        <f t="shared" si="5"/>
        <v/>
      </c>
      <c r="H26" s="16" t="str">
        <f t="shared" si="6"/>
        <v/>
      </c>
      <c r="I26" s="16" t="str">
        <f t="shared" si="7"/>
        <v/>
      </c>
      <c r="J26" s="16" t="str">
        <f t="shared" si="8"/>
        <v/>
      </c>
      <c r="K26" s="16" t="str">
        <f t="shared" si="2"/>
        <v/>
      </c>
      <c r="L26" s="29" t="str">
        <f t="shared" si="9"/>
        <v/>
      </c>
    </row>
    <row r="27" spans="1:12" ht="15.75" thickBot="1" x14ac:dyDescent="0.3">
      <c r="A27" s="8">
        <v>10</v>
      </c>
      <c r="B27" s="24" t="str">
        <f t="shared" si="10"/>
        <v/>
      </c>
      <c r="C27" s="27"/>
      <c r="D27" s="28"/>
      <c r="E27" s="11">
        <f t="shared" si="4"/>
        <v>0</v>
      </c>
      <c r="F27" s="19" t="str">
        <f>IF(C27&lt;&gt;"",F26-D26/20-#REF!-D27/20,"")</f>
        <v/>
      </c>
      <c r="G27" s="16" t="str">
        <f t="shared" si="5"/>
        <v/>
      </c>
      <c r="H27" s="16" t="str">
        <f t="shared" si="6"/>
        <v/>
      </c>
      <c r="I27" s="16" t="str">
        <f t="shared" si="7"/>
        <v/>
      </c>
      <c r="J27" s="16" t="str">
        <f t="shared" si="8"/>
        <v/>
      </c>
      <c r="K27" s="16" t="str">
        <f t="shared" si="2"/>
        <v/>
      </c>
      <c r="L27" s="29" t="str">
        <f t="shared" si="9"/>
        <v/>
      </c>
    </row>
    <row r="28" spans="1:12" ht="16.5" thickBot="1" x14ac:dyDescent="0.3">
      <c r="A28"/>
      <c r="B28">
        <f>SUM(B18:B27)</f>
        <v>6</v>
      </c>
      <c r="E28" s="13">
        <f t="shared" si="4"/>
        <v>0</v>
      </c>
      <c r="I28" s="20" t="s">
        <v>16</v>
      </c>
      <c r="J28" s="21">
        <f>SUM(J18:J27)</f>
        <v>95268.559242269301</v>
      </c>
      <c r="K28" s="22" t="s">
        <v>16</v>
      </c>
      <c r="L28" s="23">
        <f>SUM(L18:L27)</f>
        <v>660187.76168041199</v>
      </c>
    </row>
    <row r="29" spans="1:12" x14ac:dyDescent="0.25">
      <c r="A29"/>
      <c r="B29"/>
    </row>
    <row r="30" spans="1:12" x14ac:dyDescent="0.25">
      <c r="A30"/>
      <c r="B30"/>
      <c r="C30" s="57" t="s">
        <v>29</v>
      </c>
      <c r="D30" s="58"/>
      <c r="E30" s="58"/>
      <c r="F30" s="58"/>
      <c r="G30" s="58"/>
    </row>
    <row r="31" spans="1:12" ht="15.75" x14ac:dyDescent="0.25">
      <c r="C31" s="36" t="s">
        <v>30</v>
      </c>
      <c r="D31">
        <f>ABS(0.003*(G6-F18)/G6)</f>
        <v>1.0995542347696908E-4</v>
      </c>
      <c r="F31" t="str">
        <f>IF((0.003*(G6-F18)/G6)&lt;0,"tracción","compresión")</f>
        <v>compresión</v>
      </c>
    </row>
    <row r="32" spans="1:12" x14ac:dyDescent="0.25">
      <c r="C32" t="s">
        <v>31</v>
      </c>
      <c r="D32">
        <f>IF(D31&lt;0.002,0.75,IF(D31&gt;0.005,0.9,0.75+0.15*(D31-0.002)/(0.005-0.002)))</f>
        <v>0.75</v>
      </c>
    </row>
  </sheetData>
  <mergeCells count="4">
    <mergeCell ref="C2:G2"/>
    <mergeCell ref="C16:D16"/>
    <mergeCell ref="F16:L16"/>
    <mergeCell ref="C30:G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zoomScale="130" zoomScaleNormal="130" workbookViewId="0">
      <selection activeCell="F13" sqref="F13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6.42578125" customWidth="1"/>
    <col min="4" max="4" width="12.85546875" customWidth="1"/>
    <col min="5" max="5" width="12.85546875" hidden="1" customWidth="1"/>
    <col min="6" max="6" width="12" customWidth="1"/>
    <col min="7" max="7" width="11.85546875" bestFit="1" customWidth="1"/>
    <col min="10" max="10" width="12.5703125" customWidth="1"/>
    <col min="11" max="11" width="11.85546875" bestFit="1" customWidth="1"/>
    <col min="12" max="12" width="20.140625" customWidth="1"/>
  </cols>
  <sheetData>
    <row r="1" spans="3:12" ht="15.75" thickBot="1" x14ac:dyDescent="0.3"/>
    <row r="2" spans="3:12" ht="15.75" thickBot="1" x14ac:dyDescent="0.3">
      <c r="C2" s="48" t="s">
        <v>0</v>
      </c>
      <c r="D2" s="49"/>
      <c r="E2" s="50"/>
      <c r="F2" s="49"/>
      <c r="G2" s="51"/>
    </row>
    <row r="3" spans="3:12" x14ac:dyDescent="0.25">
      <c r="C3" s="4" t="s">
        <v>2</v>
      </c>
      <c r="D3" s="3">
        <v>210</v>
      </c>
      <c r="E3" s="11"/>
      <c r="F3" s="43" t="s">
        <v>47</v>
      </c>
      <c r="G3" s="38">
        <f>(D7^2)*(D12-SIN(D12)*COS(D12))/4</f>
        <v>341.90819397416118</v>
      </c>
    </row>
    <row r="4" spans="3:12" x14ac:dyDescent="0.25">
      <c r="C4" s="4" t="s">
        <v>1</v>
      </c>
      <c r="D4" s="3">
        <v>4200</v>
      </c>
      <c r="E4" s="11"/>
      <c r="F4" s="2" t="s">
        <v>8</v>
      </c>
      <c r="G4" s="15">
        <f>SUM(E18:E27)</f>
        <v>38.013271108436506</v>
      </c>
    </row>
    <row r="5" spans="3:12" x14ac:dyDescent="0.25">
      <c r="C5" s="5" t="s">
        <v>39</v>
      </c>
      <c r="D5" s="6">
        <v>10</v>
      </c>
      <c r="E5" s="11"/>
      <c r="F5" s="2" t="s">
        <v>51</v>
      </c>
      <c r="G5" s="15">
        <f>0.85*Balanceado!G5</f>
        <v>371.24800038968334</v>
      </c>
    </row>
    <row r="6" spans="3:12" x14ac:dyDescent="0.25">
      <c r="C6" s="5" t="s">
        <v>7</v>
      </c>
      <c r="D6" s="6">
        <v>4</v>
      </c>
      <c r="E6" s="11"/>
      <c r="F6" s="2" t="s">
        <v>10</v>
      </c>
      <c r="G6" s="15">
        <v>14.16</v>
      </c>
    </row>
    <row r="7" spans="3:12" x14ac:dyDescent="0.25">
      <c r="C7" s="5" t="s">
        <v>40</v>
      </c>
      <c r="D7" s="6">
        <v>45</v>
      </c>
      <c r="E7" s="7"/>
      <c r="F7" s="2" t="s">
        <v>48</v>
      </c>
      <c r="G7" s="3">
        <f>0.85*D3*G3</f>
        <v>61030.612624387773</v>
      </c>
    </row>
    <row r="8" spans="3:12" x14ac:dyDescent="0.25">
      <c r="C8" s="5" t="s">
        <v>41</v>
      </c>
      <c r="D8" s="6">
        <v>22</v>
      </c>
      <c r="E8" s="7"/>
      <c r="F8" s="40" t="s">
        <v>36</v>
      </c>
      <c r="G8" s="41">
        <f>(0.85*D3*(D7^3)*(SIN(D12)^3)/12+L28)/100000</f>
        <v>21.652771123092243</v>
      </c>
      <c r="H8" s="40" t="s">
        <v>38</v>
      </c>
      <c r="I8" s="42">
        <f>G8*D32</f>
        <v>19.487494010783021</v>
      </c>
    </row>
    <row r="9" spans="3:12" x14ac:dyDescent="0.25">
      <c r="C9" s="5" t="s">
        <v>42</v>
      </c>
      <c r="D9" s="6">
        <f>D7/2-D6-D5/10-0.5*D8/10</f>
        <v>16.399999999999999</v>
      </c>
      <c r="E9" s="7"/>
      <c r="F9" s="40" t="s">
        <v>37</v>
      </c>
      <c r="G9" s="41">
        <f>(G7+J28)/(10^3)</f>
        <v>-0.11446663095753319</v>
      </c>
      <c r="H9" s="40" t="s">
        <v>35</v>
      </c>
      <c r="I9" s="42">
        <f>D32</f>
        <v>0.9</v>
      </c>
    </row>
    <row r="10" spans="3:12" x14ac:dyDescent="0.25">
      <c r="C10" s="5" t="s">
        <v>43</v>
      </c>
      <c r="D10" s="6">
        <v>6</v>
      </c>
      <c r="E10" s="7"/>
      <c r="F10" s="13"/>
      <c r="G10" s="47"/>
      <c r="H10" s="13"/>
      <c r="I10" s="39"/>
    </row>
    <row r="11" spans="3:12" x14ac:dyDescent="0.25">
      <c r="C11" s="44" t="s">
        <v>44</v>
      </c>
      <c r="D11" s="6">
        <f>Balanceado!D11</f>
        <v>36</v>
      </c>
      <c r="E11" s="7"/>
      <c r="G11" t="s">
        <v>52</v>
      </c>
      <c r="H11" s="13"/>
      <c r="I11" s="39"/>
      <c r="L11" s="1"/>
    </row>
    <row r="12" spans="3:12" ht="15.75" x14ac:dyDescent="0.25">
      <c r="C12" s="45" t="s">
        <v>46</v>
      </c>
      <c r="D12" s="46">
        <f>ACOS(1-2*0.85*G6/D7)</f>
        <v>1.0870864109557625</v>
      </c>
      <c r="E12" s="7"/>
      <c r="F12" s="13"/>
      <c r="G12" s="38"/>
      <c r="H12" s="13"/>
      <c r="I12" s="39"/>
    </row>
    <row r="13" spans="3:12" x14ac:dyDescent="0.25">
      <c r="E13" s="7"/>
      <c r="G13" s="38"/>
      <c r="H13" s="13"/>
      <c r="I13" s="39"/>
      <c r="K13" s="1"/>
      <c r="L13" s="1"/>
    </row>
    <row r="14" spans="3:12" x14ac:dyDescent="0.25">
      <c r="E14" s="7"/>
      <c r="F14" s="13"/>
      <c r="H14" s="13"/>
      <c r="I14" s="39"/>
    </row>
    <row r="15" spans="3:12" ht="15.75" thickBot="1" x14ac:dyDescent="0.3">
      <c r="K15" s="1"/>
      <c r="L15" s="1"/>
    </row>
    <row r="16" spans="3:12" ht="15.75" thickBot="1" x14ac:dyDescent="0.3">
      <c r="C16" s="52" t="s">
        <v>3</v>
      </c>
      <c r="D16" s="53"/>
      <c r="E16" s="37"/>
      <c r="F16" s="54" t="s">
        <v>9</v>
      </c>
      <c r="G16" s="55"/>
      <c r="H16" s="55"/>
      <c r="I16" s="55"/>
      <c r="J16" s="55"/>
      <c r="K16" s="55"/>
      <c r="L16" s="56"/>
    </row>
    <row r="17" spans="1:12" ht="15.75" thickBot="1" x14ac:dyDescent="0.3">
      <c r="A17" s="10" t="s">
        <v>4</v>
      </c>
      <c r="B17" s="24"/>
      <c r="C17" s="30" t="s">
        <v>5</v>
      </c>
      <c r="D17" s="31" t="s">
        <v>6</v>
      </c>
      <c r="E17" s="32"/>
      <c r="F17" s="33" t="s">
        <v>11</v>
      </c>
      <c r="G17" s="34" t="s">
        <v>12</v>
      </c>
      <c r="H17" s="34" t="s">
        <v>13</v>
      </c>
      <c r="I17" s="34" t="s">
        <v>14</v>
      </c>
      <c r="J17" s="34" t="s">
        <v>15</v>
      </c>
      <c r="K17" s="34" t="s">
        <v>17</v>
      </c>
      <c r="L17" s="35" t="s">
        <v>18</v>
      </c>
    </row>
    <row r="18" spans="1:12" x14ac:dyDescent="0.25">
      <c r="A18" s="9">
        <v>1</v>
      </c>
      <c r="B18" s="24">
        <f>IF(C18&lt;&gt;0,1,0)</f>
        <v>1</v>
      </c>
      <c r="C18" s="25">
        <v>1</v>
      </c>
      <c r="D18" s="25">
        <f t="shared" ref="D18:D23" si="0">$D$8</f>
        <v>22</v>
      </c>
      <c r="E18" s="11">
        <f>C18*PI()*((D18/10)^2)/4</f>
        <v>3.8013271108436504</v>
      </c>
      <c r="F18" s="38">
        <f t="shared" ref="F18:F23" si="1">$D$7/2-$D$9*COS(RADIANS($D$11*($D$10-A18)))</f>
        <v>38.9</v>
      </c>
      <c r="G18" s="16">
        <f>IF(C18&lt;&gt;"",C18*PI()*((D18/10)^2)/4,"")</f>
        <v>3.8013271108436504</v>
      </c>
      <c r="H18" s="16">
        <f>IF(C18&lt;&gt;"",6120*($G$6-F18)/$G$6,"")</f>
        <v>-10692.71186440678</v>
      </c>
      <c r="I18" s="16">
        <f>IF(C18&lt;&gt;"",IF(ABS(H18)&lt;=4200,H18,(ABS(H18)/H18)*4200),"")</f>
        <v>-4200</v>
      </c>
      <c r="J18" s="16">
        <f>IF(C18&lt;&gt;"",I18*G18,"")</f>
        <v>-15965.573865543332</v>
      </c>
      <c r="K18" s="16">
        <f t="shared" ref="K18:K27" si="2">IF(C18&lt;&gt;"",$D$7/2-F18,"")</f>
        <v>-16.399999999999999</v>
      </c>
      <c r="L18" s="29">
        <f>IF(C18&lt;&gt;"",K18*J18,"")</f>
        <v>261835.41139491062</v>
      </c>
    </row>
    <row r="19" spans="1:12" x14ac:dyDescent="0.25">
      <c r="A19" s="8">
        <v>2</v>
      </c>
      <c r="B19" s="24">
        <f t="shared" ref="B19:B21" si="3">IF(C19&lt;&gt;0,1,0)</f>
        <v>1</v>
      </c>
      <c r="C19" s="25">
        <v>2</v>
      </c>
      <c r="D19" s="25">
        <f t="shared" si="0"/>
        <v>22</v>
      </c>
      <c r="E19" s="11">
        <f t="shared" ref="E19:E28" si="4">C19*PI()*((D19/10)^2)/4</f>
        <v>7.6026542216873008</v>
      </c>
      <c r="F19" s="38">
        <f t="shared" si="1"/>
        <v>35.767878707749134</v>
      </c>
      <c r="G19" s="16">
        <f t="shared" ref="G19:G27" si="5">IF(C19&lt;&gt;"",C19*PI()*((D19/10)^2)/4,"")</f>
        <v>7.6026542216873008</v>
      </c>
      <c r="H19" s="16">
        <f t="shared" ref="H19:H27" si="6">IF(C19&lt;&gt;"",6120*($G$6-F19)/$G$6,"")</f>
        <v>-9338.9984245356427</v>
      </c>
      <c r="I19" s="16">
        <f t="shared" ref="I19:I27" si="7">IF(C19&lt;&gt;"",IF(ABS(H19)&lt;=4200,H19,(ABS(H19)/H19)*4200),"")</f>
        <v>-4200</v>
      </c>
      <c r="J19" s="16">
        <f t="shared" ref="J19:J27" si="8">IF(C19&lt;&gt;"",I19*G19,"")</f>
        <v>-31931.147731086665</v>
      </c>
      <c r="K19" s="16">
        <f t="shared" si="2"/>
        <v>-13.267878707749134</v>
      </c>
      <c r="L19" s="29">
        <f t="shared" ref="L19:L27" si="9">IF(C19&lt;&gt;"",K19*J19,"")</f>
        <v>423658.59509527683</v>
      </c>
    </row>
    <row r="20" spans="1:12" x14ac:dyDescent="0.25">
      <c r="A20" s="8">
        <v>3</v>
      </c>
      <c r="B20" s="24">
        <f t="shared" si="3"/>
        <v>1</v>
      </c>
      <c r="C20" s="25">
        <v>2</v>
      </c>
      <c r="D20" s="25">
        <f t="shared" si="0"/>
        <v>22</v>
      </c>
      <c r="E20" s="11">
        <f t="shared" si="4"/>
        <v>7.6026542216873008</v>
      </c>
      <c r="F20" s="38">
        <f t="shared" si="1"/>
        <v>27.567878707749138</v>
      </c>
      <c r="G20" s="16">
        <f t="shared" si="5"/>
        <v>7.6026542216873008</v>
      </c>
      <c r="H20" s="16">
        <f t="shared" si="6"/>
        <v>-5794.9306279254752</v>
      </c>
      <c r="I20" s="16">
        <f t="shared" si="7"/>
        <v>-4200</v>
      </c>
      <c r="J20" s="16">
        <f t="shared" si="8"/>
        <v>-31931.147731086665</v>
      </c>
      <c r="K20" s="16">
        <f t="shared" si="2"/>
        <v>-5.0678787077491378</v>
      </c>
      <c r="L20" s="29">
        <f t="shared" si="9"/>
        <v>161823.18370036629</v>
      </c>
    </row>
    <row r="21" spans="1:12" x14ac:dyDescent="0.25">
      <c r="A21" s="8">
        <v>4</v>
      </c>
      <c r="B21" s="24">
        <f t="shared" si="3"/>
        <v>1</v>
      </c>
      <c r="C21" s="25">
        <v>2</v>
      </c>
      <c r="D21" s="25">
        <f t="shared" si="0"/>
        <v>22</v>
      </c>
      <c r="E21" s="11">
        <f t="shared" si="4"/>
        <v>7.6026542216873008</v>
      </c>
      <c r="F21" s="38">
        <f t="shared" si="1"/>
        <v>17.432121292250862</v>
      </c>
      <c r="G21" s="16">
        <f t="shared" si="5"/>
        <v>7.6026542216873008</v>
      </c>
      <c r="H21" s="16">
        <f t="shared" si="6"/>
        <v>-1414.2219144474063</v>
      </c>
      <c r="I21" s="16">
        <f t="shared" si="7"/>
        <v>-1414.2219144474063</v>
      </c>
      <c r="J21" s="16">
        <f t="shared" si="8"/>
        <v>-10751.84020827627</v>
      </c>
      <c r="K21" s="16">
        <f t="shared" si="2"/>
        <v>5.0678787077491378</v>
      </c>
      <c r="L21" s="29">
        <f t="shared" si="9"/>
        <v>-54489.022060644362</v>
      </c>
    </row>
    <row r="22" spans="1:12" x14ac:dyDescent="0.25">
      <c r="A22" s="8">
        <v>5</v>
      </c>
      <c r="B22" s="24">
        <f>IF(C22&lt;&gt;"",1,"")</f>
        <v>1</v>
      </c>
      <c r="C22" s="17">
        <v>2</v>
      </c>
      <c r="D22" s="25">
        <f t="shared" si="0"/>
        <v>22</v>
      </c>
      <c r="E22" s="11">
        <f t="shared" si="4"/>
        <v>7.6026542216873008</v>
      </c>
      <c r="F22" s="38">
        <f t="shared" si="1"/>
        <v>9.2321212922508629</v>
      </c>
      <c r="G22" s="16">
        <f t="shared" si="5"/>
        <v>7.6026542216873008</v>
      </c>
      <c r="H22" s="16">
        <f t="shared" si="6"/>
        <v>2129.8458821627628</v>
      </c>
      <c r="I22" s="16">
        <f t="shared" si="7"/>
        <v>2129.8458821627628</v>
      </c>
      <c r="J22" s="16">
        <f t="shared" si="8"/>
        <v>16192.481787568042</v>
      </c>
      <c r="K22" s="16">
        <f t="shared" si="2"/>
        <v>13.267878707749137</v>
      </c>
      <c r="L22" s="29">
        <f t="shared" si="9"/>
        <v>214839.88433488971</v>
      </c>
    </row>
    <row r="23" spans="1:12" x14ac:dyDescent="0.25">
      <c r="A23" s="8">
        <v>6</v>
      </c>
      <c r="B23" s="24">
        <f t="shared" ref="B23:B27" si="10">IF(C23&lt;&gt;"",1,"")</f>
        <v>1</v>
      </c>
      <c r="C23" s="17">
        <v>1</v>
      </c>
      <c r="D23" s="25">
        <f t="shared" si="0"/>
        <v>22</v>
      </c>
      <c r="E23" s="11">
        <f t="shared" si="4"/>
        <v>3.8013271108436504</v>
      </c>
      <c r="F23" s="38">
        <f t="shared" si="1"/>
        <v>6.1000000000000014</v>
      </c>
      <c r="G23" s="16">
        <f t="shared" si="5"/>
        <v>3.8013271108436504</v>
      </c>
      <c r="H23" s="16">
        <f t="shared" si="6"/>
        <v>3483.5593220338974</v>
      </c>
      <c r="I23" s="16">
        <f t="shared" si="7"/>
        <v>3483.5593220338974</v>
      </c>
      <c r="J23" s="16">
        <f t="shared" si="8"/>
        <v>13242.148493079581</v>
      </c>
      <c r="K23" s="16">
        <f t="shared" si="2"/>
        <v>16.399999999999999</v>
      </c>
      <c r="L23" s="29">
        <f t="shared" si="9"/>
        <v>217171.23528650511</v>
      </c>
    </row>
    <row r="24" spans="1:12" x14ac:dyDescent="0.25">
      <c r="A24" s="8">
        <v>7</v>
      </c>
      <c r="B24" s="24" t="str">
        <f t="shared" si="10"/>
        <v/>
      </c>
      <c r="C24" s="17"/>
      <c r="D24" s="26"/>
      <c r="E24" s="11">
        <f t="shared" si="4"/>
        <v>0</v>
      </c>
      <c r="F24" s="18" t="str">
        <f>IF(C24&lt;&gt;"",F23-D23/20-#REF!-D24/20,"")</f>
        <v/>
      </c>
      <c r="G24" s="16" t="str">
        <f t="shared" si="5"/>
        <v/>
      </c>
      <c r="H24" s="16" t="str">
        <f t="shared" si="6"/>
        <v/>
      </c>
      <c r="I24" s="16" t="str">
        <f t="shared" si="7"/>
        <v/>
      </c>
      <c r="J24" s="16" t="str">
        <f t="shared" si="8"/>
        <v/>
      </c>
      <c r="K24" s="16" t="str">
        <f t="shared" si="2"/>
        <v/>
      </c>
      <c r="L24" s="29" t="str">
        <f t="shared" si="9"/>
        <v/>
      </c>
    </row>
    <row r="25" spans="1:12" x14ac:dyDescent="0.25">
      <c r="A25" s="8">
        <v>8</v>
      </c>
      <c r="B25" s="24" t="str">
        <f t="shared" si="10"/>
        <v/>
      </c>
      <c r="C25" s="17"/>
      <c r="D25" s="26"/>
      <c r="E25" s="11">
        <f t="shared" si="4"/>
        <v>0</v>
      </c>
      <c r="F25" s="18" t="str">
        <f>IF(C25&lt;&gt;"",F24-D24/20-#REF!-D25/20,"")</f>
        <v/>
      </c>
      <c r="G25" s="16" t="str">
        <f t="shared" si="5"/>
        <v/>
      </c>
      <c r="H25" s="16" t="str">
        <f t="shared" si="6"/>
        <v/>
      </c>
      <c r="I25" s="16" t="str">
        <f t="shared" si="7"/>
        <v/>
      </c>
      <c r="J25" s="16" t="str">
        <f t="shared" si="8"/>
        <v/>
      </c>
      <c r="K25" s="16" t="str">
        <f t="shared" si="2"/>
        <v/>
      </c>
      <c r="L25" s="29" t="str">
        <f t="shared" si="9"/>
        <v/>
      </c>
    </row>
    <row r="26" spans="1:12" x14ac:dyDescent="0.25">
      <c r="A26" s="8">
        <v>9</v>
      </c>
      <c r="B26" s="24" t="str">
        <f t="shared" si="10"/>
        <v/>
      </c>
      <c r="C26" s="17"/>
      <c r="D26" s="26"/>
      <c r="E26" s="11">
        <f t="shared" si="4"/>
        <v>0</v>
      </c>
      <c r="F26" s="18" t="str">
        <f>IF(C26&lt;&gt;"",F25-D25/20-#REF!-D26/20,"")</f>
        <v/>
      </c>
      <c r="G26" s="16" t="str">
        <f t="shared" si="5"/>
        <v/>
      </c>
      <c r="H26" s="16" t="str">
        <f t="shared" si="6"/>
        <v/>
      </c>
      <c r="I26" s="16" t="str">
        <f t="shared" si="7"/>
        <v/>
      </c>
      <c r="J26" s="16" t="str">
        <f t="shared" si="8"/>
        <v/>
      </c>
      <c r="K26" s="16" t="str">
        <f t="shared" si="2"/>
        <v/>
      </c>
      <c r="L26" s="29" t="str">
        <f t="shared" si="9"/>
        <v/>
      </c>
    </row>
    <row r="27" spans="1:12" ht="15.75" thickBot="1" x14ac:dyDescent="0.3">
      <c r="A27" s="8">
        <v>10</v>
      </c>
      <c r="B27" s="24" t="str">
        <f t="shared" si="10"/>
        <v/>
      </c>
      <c r="C27" s="27"/>
      <c r="D27" s="28"/>
      <c r="E27" s="11">
        <f t="shared" si="4"/>
        <v>0</v>
      </c>
      <c r="F27" s="19" t="str">
        <f>IF(C27&lt;&gt;"",F26-D26/20-#REF!-D27/20,"")</f>
        <v/>
      </c>
      <c r="G27" s="16" t="str">
        <f t="shared" si="5"/>
        <v/>
      </c>
      <c r="H27" s="16" t="str">
        <f t="shared" si="6"/>
        <v/>
      </c>
      <c r="I27" s="16" t="str">
        <f t="shared" si="7"/>
        <v/>
      </c>
      <c r="J27" s="16" t="str">
        <f t="shared" si="8"/>
        <v/>
      </c>
      <c r="K27" s="16" t="str">
        <f t="shared" si="2"/>
        <v/>
      </c>
      <c r="L27" s="29" t="str">
        <f t="shared" si="9"/>
        <v/>
      </c>
    </row>
    <row r="28" spans="1:12" ht="16.5" thickBot="1" x14ac:dyDescent="0.3">
      <c r="A28"/>
      <c r="B28">
        <f>SUM(B18:B27)</f>
        <v>6</v>
      </c>
      <c r="E28" s="13">
        <f t="shared" si="4"/>
        <v>0</v>
      </c>
      <c r="I28" s="20" t="s">
        <v>16</v>
      </c>
      <c r="J28" s="21">
        <f>SUM(J18:J27)</f>
        <v>-61145.079255345307</v>
      </c>
      <c r="K28" s="22" t="s">
        <v>16</v>
      </c>
      <c r="L28" s="23">
        <f>SUM(L18:L27)</f>
        <v>1224839.2877513042</v>
      </c>
    </row>
    <row r="29" spans="1:12" x14ac:dyDescent="0.25">
      <c r="A29"/>
      <c r="B29"/>
    </row>
    <row r="30" spans="1:12" x14ac:dyDescent="0.25">
      <c r="A30"/>
      <c r="B30"/>
      <c r="C30" s="57" t="s">
        <v>29</v>
      </c>
      <c r="D30" s="58"/>
      <c r="E30" s="58"/>
      <c r="F30" s="58"/>
      <c r="G30" s="58"/>
    </row>
    <row r="31" spans="1:12" ht="15.75" x14ac:dyDescent="0.25">
      <c r="C31" s="36" t="s">
        <v>30</v>
      </c>
      <c r="D31">
        <f>ABS(0.003*(G6-F18)/G6)</f>
        <v>5.2415254237288128E-3</v>
      </c>
      <c r="F31" t="str">
        <f>IF((0.003*(G6-F18)/G6)&lt;0,"tracción","compresión")</f>
        <v>tracción</v>
      </c>
    </row>
    <row r="32" spans="1:12" x14ac:dyDescent="0.25">
      <c r="C32" t="s">
        <v>31</v>
      </c>
      <c r="D32">
        <f>IF(D31&lt;0.002,0.75,IF(D31&gt;0.005,0.9,0.75+0.15*(D31-0.002)/(0.005-0.002)))</f>
        <v>0.9</v>
      </c>
    </row>
  </sheetData>
  <mergeCells count="4">
    <mergeCell ref="C2:G2"/>
    <mergeCell ref="C16:D16"/>
    <mergeCell ref="F16:L16"/>
    <mergeCell ref="C30:G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zoomScale="130" zoomScaleNormal="130" workbookViewId="0">
      <selection activeCell="D11" sqref="D11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6.42578125" customWidth="1"/>
    <col min="4" max="4" width="12.85546875" customWidth="1"/>
    <col min="5" max="5" width="12.85546875" hidden="1" customWidth="1"/>
    <col min="6" max="6" width="12" customWidth="1"/>
    <col min="7" max="7" width="11.85546875" bestFit="1" customWidth="1"/>
    <col min="10" max="10" width="12.5703125" customWidth="1"/>
    <col min="11" max="11" width="11.85546875" bestFit="1" customWidth="1"/>
    <col min="12" max="12" width="20.140625" customWidth="1"/>
  </cols>
  <sheetData>
    <row r="1" spans="3:12" ht="15.75" thickBot="1" x14ac:dyDescent="0.3"/>
    <row r="2" spans="3:12" ht="15.75" thickBot="1" x14ac:dyDescent="0.3">
      <c r="C2" s="48" t="s">
        <v>0</v>
      </c>
      <c r="D2" s="49"/>
      <c r="E2" s="50"/>
      <c r="F2" s="49"/>
      <c r="G2" s="51"/>
    </row>
    <row r="3" spans="3:12" x14ac:dyDescent="0.25">
      <c r="C3" s="4" t="s">
        <v>2</v>
      </c>
      <c r="D3" s="3">
        <v>210</v>
      </c>
      <c r="E3" s="11"/>
      <c r="F3" s="43" t="s">
        <v>47</v>
      </c>
      <c r="G3" s="38">
        <f>(D7^2)*(D12-SIN(D12)*COS(D12))/4</f>
        <v>738.99458903580899</v>
      </c>
    </row>
    <row r="4" spans="3:12" x14ac:dyDescent="0.25">
      <c r="C4" s="4" t="s">
        <v>1</v>
      </c>
      <c r="D4" s="3">
        <v>4200</v>
      </c>
      <c r="E4" s="11"/>
      <c r="F4" s="2" t="s">
        <v>8</v>
      </c>
      <c r="G4" s="15">
        <f>SUM(E18:E27)</f>
        <v>38.013271108436506</v>
      </c>
    </row>
    <row r="5" spans="3:12" x14ac:dyDescent="0.25">
      <c r="C5" s="5" t="s">
        <v>39</v>
      </c>
      <c r="D5" s="6">
        <v>10</v>
      </c>
      <c r="E5" s="11"/>
    </row>
    <row r="6" spans="3:12" x14ac:dyDescent="0.25">
      <c r="C6" s="5" t="s">
        <v>7</v>
      </c>
      <c r="D6" s="6">
        <v>4</v>
      </c>
      <c r="E6" s="11"/>
      <c r="F6" s="2" t="s">
        <v>10</v>
      </c>
      <c r="G6" s="15">
        <v>25</v>
      </c>
    </row>
    <row r="7" spans="3:12" x14ac:dyDescent="0.25">
      <c r="C7" s="5" t="s">
        <v>40</v>
      </c>
      <c r="D7" s="6">
        <v>45</v>
      </c>
      <c r="E7" s="7"/>
      <c r="F7" s="2" t="s">
        <v>48</v>
      </c>
      <c r="G7" s="3">
        <f>0.85*D3*G3</f>
        <v>131910.53414289191</v>
      </c>
    </row>
    <row r="8" spans="3:12" x14ac:dyDescent="0.25">
      <c r="C8" s="5" t="s">
        <v>41</v>
      </c>
      <c r="D8" s="6">
        <v>22</v>
      </c>
      <c r="E8" s="7"/>
      <c r="F8" s="40" t="s">
        <v>36</v>
      </c>
      <c r="G8" s="41">
        <f>(0.85*D3*(D7^3)*(SIN(D12)^3)/12+L28)/100000</f>
        <v>25.740349974259537</v>
      </c>
      <c r="H8" s="40" t="s">
        <v>38</v>
      </c>
      <c r="I8" s="42">
        <f>G8*D32</f>
        <v>19.305262480694651</v>
      </c>
    </row>
    <row r="9" spans="3:12" x14ac:dyDescent="0.25">
      <c r="C9" s="5" t="s">
        <v>42</v>
      </c>
      <c r="D9" s="6">
        <f>D7/2-D6-D5/10-0.5*D8/10</f>
        <v>16.399999999999999</v>
      </c>
      <c r="E9" s="7"/>
      <c r="F9" s="40" t="s">
        <v>37</v>
      </c>
      <c r="G9" s="41">
        <f>(G7+J28)/(10^3)</f>
        <v>153.55255375651583</v>
      </c>
      <c r="H9" s="40" t="s">
        <v>35</v>
      </c>
      <c r="I9" s="42">
        <f>D32</f>
        <v>0.75</v>
      </c>
    </row>
    <row r="10" spans="3:12" x14ac:dyDescent="0.25">
      <c r="C10" s="5" t="s">
        <v>43</v>
      </c>
      <c r="D10" s="6">
        <v>6</v>
      </c>
      <c r="E10" s="7"/>
      <c r="F10" s="13"/>
      <c r="G10" s="47"/>
      <c r="H10" s="13"/>
      <c r="I10" s="39"/>
    </row>
    <row r="11" spans="3:12" x14ac:dyDescent="0.25">
      <c r="C11" s="44" t="s">
        <v>44</v>
      </c>
      <c r="D11" s="6">
        <f>Balanceado!D11</f>
        <v>36</v>
      </c>
      <c r="E11" s="7"/>
      <c r="H11" s="13"/>
      <c r="I11" s="39"/>
      <c r="L11" s="1"/>
    </row>
    <row r="12" spans="3:12" ht="15.75" x14ac:dyDescent="0.25">
      <c r="C12" s="45" t="s">
        <v>46</v>
      </c>
      <c r="D12" s="46">
        <f>ACOS(1-2*0.85*G6/D7)</f>
        <v>1.5152121535139791</v>
      </c>
      <c r="E12" s="7"/>
      <c r="F12" s="13"/>
      <c r="G12" s="38"/>
      <c r="H12" s="13"/>
      <c r="I12" s="39"/>
    </row>
    <row r="13" spans="3:12" x14ac:dyDescent="0.25">
      <c r="E13" s="7"/>
      <c r="G13" s="38"/>
      <c r="H13" s="13"/>
      <c r="I13" s="39"/>
      <c r="K13" s="1"/>
      <c r="L13" s="1"/>
    </row>
    <row r="14" spans="3:12" x14ac:dyDescent="0.25">
      <c r="E14" s="7"/>
      <c r="F14" s="13"/>
      <c r="H14" s="13"/>
      <c r="I14" s="39"/>
    </row>
    <row r="15" spans="3:12" ht="15.75" thickBot="1" x14ac:dyDescent="0.3">
      <c r="K15" s="1"/>
      <c r="L15" s="1"/>
    </row>
    <row r="16" spans="3:12" ht="15.75" thickBot="1" x14ac:dyDescent="0.3">
      <c r="C16" s="52" t="s">
        <v>3</v>
      </c>
      <c r="D16" s="53"/>
      <c r="E16" s="37"/>
      <c r="F16" s="54" t="s">
        <v>9</v>
      </c>
      <c r="G16" s="55"/>
      <c r="H16" s="55"/>
      <c r="I16" s="55"/>
      <c r="J16" s="55"/>
      <c r="K16" s="55"/>
      <c r="L16" s="56"/>
    </row>
    <row r="17" spans="1:12" ht="15.75" thickBot="1" x14ac:dyDescent="0.3">
      <c r="A17" s="10" t="s">
        <v>4</v>
      </c>
      <c r="B17" s="24"/>
      <c r="C17" s="30" t="s">
        <v>5</v>
      </c>
      <c r="D17" s="31" t="s">
        <v>6</v>
      </c>
      <c r="E17" s="32"/>
      <c r="F17" s="33" t="s">
        <v>11</v>
      </c>
      <c r="G17" s="34" t="s">
        <v>12</v>
      </c>
      <c r="H17" s="34" t="s">
        <v>13</v>
      </c>
      <c r="I17" s="34" t="s">
        <v>14</v>
      </c>
      <c r="J17" s="34" t="s">
        <v>15</v>
      </c>
      <c r="K17" s="34" t="s">
        <v>17</v>
      </c>
      <c r="L17" s="35" t="s">
        <v>18</v>
      </c>
    </row>
    <row r="18" spans="1:12" x14ac:dyDescent="0.25">
      <c r="A18" s="9">
        <v>1</v>
      </c>
      <c r="B18" s="24">
        <f>IF(C18&lt;&gt;0,1,0)</f>
        <v>1</v>
      </c>
      <c r="C18" s="25">
        <v>1</v>
      </c>
      <c r="D18" s="25">
        <f t="shared" ref="D18:D23" si="0">$D$8</f>
        <v>22</v>
      </c>
      <c r="E18" s="11">
        <f>C18*PI()*((D18/10)^2)/4</f>
        <v>3.8013271108436504</v>
      </c>
      <c r="F18" s="38">
        <f t="shared" ref="F18:F23" si="1">$D$7/2-$D$9*COS(RADIANS($D$11*($D$10-A18)))</f>
        <v>38.9</v>
      </c>
      <c r="G18" s="16">
        <f>IF(C18&lt;&gt;"",C18*PI()*((D18/10)^2)/4,"")</f>
        <v>3.8013271108436504</v>
      </c>
      <c r="H18" s="16">
        <f>IF(C18&lt;&gt;"",6120*($G$6-F18)/$G$6,"")</f>
        <v>-3402.7199999999993</v>
      </c>
      <c r="I18" s="16">
        <f>IF(C18&lt;&gt;"",IF(ABS(H18)&lt;=4200,H18,(ABS(H18)/H18)*4200),"")</f>
        <v>-3402.7199999999993</v>
      </c>
      <c r="J18" s="16">
        <f>IF(C18&lt;&gt;"",I18*G18,"")</f>
        <v>-12934.851786609903</v>
      </c>
      <c r="K18" s="16">
        <f t="shared" ref="K18:K27" si="2">IF(C18&lt;&gt;"",$D$7/2-F18,"")</f>
        <v>-16.399999999999999</v>
      </c>
      <c r="L18" s="29">
        <f>IF(C18&lt;&gt;"",K18*J18,"")</f>
        <v>212131.56930040239</v>
      </c>
    </row>
    <row r="19" spans="1:12" x14ac:dyDescent="0.25">
      <c r="A19" s="8">
        <v>2</v>
      </c>
      <c r="B19" s="24">
        <f t="shared" ref="B19:B21" si="3">IF(C19&lt;&gt;0,1,0)</f>
        <v>1</v>
      </c>
      <c r="C19" s="25">
        <v>2</v>
      </c>
      <c r="D19" s="25">
        <f t="shared" si="0"/>
        <v>22</v>
      </c>
      <c r="E19" s="11">
        <f t="shared" ref="E19:E28" si="4">C19*PI()*((D19/10)^2)/4</f>
        <v>7.6026542216873008</v>
      </c>
      <c r="F19" s="38">
        <f t="shared" si="1"/>
        <v>35.767878707749134</v>
      </c>
      <c r="G19" s="16">
        <f t="shared" ref="G19:G27" si="5">IF(C19&lt;&gt;"",C19*PI()*((D19/10)^2)/4,"")</f>
        <v>7.6026542216873008</v>
      </c>
      <c r="H19" s="16">
        <f t="shared" ref="H19:H27" si="6">IF(C19&lt;&gt;"",6120*($G$6-F19)/$G$6,"")</f>
        <v>-2635.9767076569879</v>
      </c>
      <c r="I19" s="16">
        <f t="shared" ref="I19:I27" si="7">IF(C19&lt;&gt;"",IF(ABS(H19)&lt;=4200,H19,(ABS(H19)/H19)*4200),"")</f>
        <v>-2635.9767076569879</v>
      </c>
      <c r="J19" s="16">
        <f t="shared" ref="J19:J27" si="8">IF(C19&lt;&gt;"",I19*G19,"")</f>
        <v>-20040.419444737792</v>
      </c>
      <c r="K19" s="16">
        <f t="shared" si="2"/>
        <v>-13.267878707749134</v>
      </c>
      <c r="L19" s="29">
        <f t="shared" ref="L19:L27" si="9">IF(C19&lt;&gt;"",K19*J19,"")</f>
        <v>265893.85444519826</v>
      </c>
    </row>
    <row r="20" spans="1:12" x14ac:dyDescent="0.25">
      <c r="A20" s="8">
        <v>3</v>
      </c>
      <c r="B20" s="24">
        <f t="shared" si="3"/>
        <v>1</v>
      </c>
      <c r="C20" s="25">
        <v>2</v>
      </c>
      <c r="D20" s="25">
        <f t="shared" si="0"/>
        <v>22</v>
      </c>
      <c r="E20" s="11">
        <f t="shared" si="4"/>
        <v>7.6026542216873008</v>
      </c>
      <c r="F20" s="38">
        <f t="shared" si="1"/>
        <v>27.567878707749138</v>
      </c>
      <c r="G20" s="16">
        <f t="shared" si="5"/>
        <v>7.6026542216873008</v>
      </c>
      <c r="H20" s="16">
        <f t="shared" si="6"/>
        <v>-628.61670765698898</v>
      </c>
      <c r="I20" s="16">
        <f t="shared" si="7"/>
        <v>-628.61670765698898</v>
      </c>
      <c r="J20" s="16">
        <f t="shared" si="8"/>
        <v>-4779.1554662915787</v>
      </c>
      <c r="K20" s="16">
        <f t="shared" si="2"/>
        <v>-5.0678787077491378</v>
      </c>
      <c r="L20" s="29">
        <f t="shared" si="9"/>
        <v>24220.180228641995</v>
      </c>
    </row>
    <row r="21" spans="1:12" x14ac:dyDescent="0.25">
      <c r="A21" s="8">
        <v>4</v>
      </c>
      <c r="B21" s="24">
        <f t="shared" si="3"/>
        <v>1</v>
      </c>
      <c r="C21" s="25">
        <v>2</v>
      </c>
      <c r="D21" s="25">
        <f t="shared" si="0"/>
        <v>22</v>
      </c>
      <c r="E21" s="11">
        <f t="shared" si="4"/>
        <v>7.6026542216873008</v>
      </c>
      <c r="F21" s="38">
        <f t="shared" si="1"/>
        <v>17.432121292250862</v>
      </c>
      <c r="G21" s="16">
        <f t="shared" si="5"/>
        <v>7.6026542216873008</v>
      </c>
      <c r="H21" s="16">
        <f t="shared" si="6"/>
        <v>1852.6167076569889</v>
      </c>
      <c r="I21" s="16">
        <f t="shared" si="7"/>
        <v>1852.6167076569889</v>
      </c>
      <c r="J21" s="16">
        <f t="shared" si="8"/>
        <v>14084.804233636834</v>
      </c>
      <c r="K21" s="16">
        <f t="shared" si="2"/>
        <v>5.0678787077491378</v>
      </c>
      <c r="L21" s="29">
        <f t="shared" si="9"/>
        <v>71380.079478463027</v>
      </c>
    </row>
    <row r="22" spans="1:12" x14ac:dyDescent="0.25">
      <c r="A22" s="8">
        <v>5</v>
      </c>
      <c r="B22" s="24">
        <f>IF(C22&lt;&gt;"",1,"")</f>
        <v>1</v>
      </c>
      <c r="C22" s="17">
        <v>2</v>
      </c>
      <c r="D22" s="25">
        <f t="shared" si="0"/>
        <v>22</v>
      </c>
      <c r="E22" s="11">
        <f t="shared" si="4"/>
        <v>7.6026542216873008</v>
      </c>
      <c r="F22" s="38">
        <f t="shared" si="1"/>
        <v>9.2321212922508629</v>
      </c>
      <c r="G22" s="16">
        <f t="shared" si="5"/>
        <v>7.6026542216873008</v>
      </c>
      <c r="H22" s="16">
        <f t="shared" si="6"/>
        <v>3859.9767076569888</v>
      </c>
      <c r="I22" s="16">
        <f t="shared" si="7"/>
        <v>3859.9767076569888</v>
      </c>
      <c r="J22" s="16">
        <f t="shared" si="8"/>
        <v>29346.068212083053</v>
      </c>
      <c r="K22" s="16">
        <f t="shared" si="2"/>
        <v>13.267878707749137</v>
      </c>
      <c r="L22" s="29">
        <f t="shared" si="9"/>
        <v>389360.07358725055</v>
      </c>
    </row>
    <row r="23" spans="1:12" x14ac:dyDescent="0.25">
      <c r="A23" s="8">
        <v>6</v>
      </c>
      <c r="B23" s="24">
        <f t="shared" ref="B23:B27" si="10">IF(C23&lt;&gt;"",1,"")</f>
        <v>1</v>
      </c>
      <c r="C23" s="17">
        <v>1</v>
      </c>
      <c r="D23" s="25">
        <f t="shared" si="0"/>
        <v>22</v>
      </c>
      <c r="E23" s="11">
        <f t="shared" si="4"/>
        <v>3.8013271108436504</v>
      </c>
      <c r="F23" s="38">
        <f t="shared" si="1"/>
        <v>6.1000000000000014</v>
      </c>
      <c r="G23" s="16">
        <f t="shared" si="5"/>
        <v>3.8013271108436504</v>
      </c>
      <c r="H23" s="16">
        <f t="shared" si="6"/>
        <v>4626.7199999999993</v>
      </c>
      <c r="I23" s="16">
        <f t="shared" si="7"/>
        <v>4200</v>
      </c>
      <c r="J23" s="16">
        <f t="shared" si="8"/>
        <v>15965.573865543332</v>
      </c>
      <c r="K23" s="16">
        <f t="shared" si="2"/>
        <v>16.399999999999999</v>
      </c>
      <c r="L23" s="29">
        <f t="shared" si="9"/>
        <v>261835.41139491062</v>
      </c>
    </row>
    <row r="24" spans="1:12" x14ac:dyDescent="0.25">
      <c r="A24" s="8">
        <v>7</v>
      </c>
      <c r="B24" s="24" t="str">
        <f t="shared" si="10"/>
        <v/>
      </c>
      <c r="C24" s="17"/>
      <c r="D24" s="26"/>
      <c r="E24" s="11">
        <f t="shared" si="4"/>
        <v>0</v>
      </c>
      <c r="F24" s="18" t="str">
        <f>IF(C24&lt;&gt;"",F23-D23/20-#REF!-D24/20,"")</f>
        <v/>
      </c>
      <c r="G24" s="16" t="str">
        <f t="shared" si="5"/>
        <v/>
      </c>
      <c r="H24" s="16" t="str">
        <f t="shared" si="6"/>
        <v/>
      </c>
      <c r="I24" s="16" t="str">
        <f t="shared" si="7"/>
        <v/>
      </c>
      <c r="J24" s="16" t="str">
        <f t="shared" si="8"/>
        <v/>
      </c>
      <c r="K24" s="16" t="str">
        <f t="shared" si="2"/>
        <v/>
      </c>
      <c r="L24" s="29" t="str">
        <f t="shared" si="9"/>
        <v/>
      </c>
    </row>
    <row r="25" spans="1:12" x14ac:dyDescent="0.25">
      <c r="A25" s="8">
        <v>8</v>
      </c>
      <c r="B25" s="24" t="str">
        <f t="shared" si="10"/>
        <v/>
      </c>
      <c r="C25" s="17"/>
      <c r="D25" s="26"/>
      <c r="E25" s="11">
        <f t="shared" si="4"/>
        <v>0</v>
      </c>
      <c r="F25" s="18" t="str">
        <f>IF(C25&lt;&gt;"",F24-D24/20-#REF!-D25/20,"")</f>
        <v/>
      </c>
      <c r="G25" s="16" t="str">
        <f t="shared" si="5"/>
        <v/>
      </c>
      <c r="H25" s="16" t="str">
        <f t="shared" si="6"/>
        <v/>
      </c>
      <c r="I25" s="16" t="str">
        <f t="shared" si="7"/>
        <v/>
      </c>
      <c r="J25" s="16" t="str">
        <f t="shared" si="8"/>
        <v/>
      </c>
      <c r="K25" s="16" t="str">
        <f t="shared" si="2"/>
        <v/>
      </c>
      <c r="L25" s="29" t="str">
        <f t="shared" si="9"/>
        <v/>
      </c>
    </row>
    <row r="26" spans="1:12" x14ac:dyDescent="0.25">
      <c r="A26" s="8">
        <v>9</v>
      </c>
      <c r="B26" s="24" t="str">
        <f t="shared" si="10"/>
        <v/>
      </c>
      <c r="C26" s="17"/>
      <c r="D26" s="26"/>
      <c r="E26" s="11">
        <f t="shared" si="4"/>
        <v>0</v>
      </c>
      <c r="F26" s="18" t="str">
        <f>IF(C26&lt;&gt;"",F25-D25/20-#REF!-D26/20,"")</f>
        <v/>
      </c>
      <c r="G26" s="16" t="str">
        <f t="shared" si="5"/>
        <v/>
      </c>
      <c r="H26" s="16" t="str">
        <f t="shared" si="6"/>
        <v/>
      </c>
      <c r="I26" s="16" t="str">
        <f t="shared" si="7"/>
        <v/>
      </c>
      <c r="J26" s="16" t="str">
        <f t="shared" si="8"/>
        <v/>
      </c>
      <c r="K26" s="16" t="str">
        <f t="shared" si="2"/>
        <v/>
      </c>
      <c r="L26" s="29" t="str">
        <f t="shared" si="9"/>
        <v/>
      </c>
    </row>
    <row r="27" spans="1:12" ht="15.75" thickBot="1" x14ac:dyDescent="0.3">
      <c r="A27" s="8">
        <v>10</v>
      </c>
      <c r="B27" s="24" t="str">
        <f t="shared" si="10"/>
        <v/>
      </c>
      <c r="C27" s="27"/>
      <c r="D27" s="28"/>
      <c r="E27" s="11">
        <f t="shared" si="4"/>
        <v>0</v>
      </c>
      <c r="F27" s="19" t="str">
        <f>IF(C27&lt;&gt;"",F26-D26/20-#REF!-D27/20,"")</f>
        <v/>
      </c>
      <c r="G27" s="16" t="str">
        <f t="shared" si="5"/>
        <v/>
      </c>
      <c r="H27" s="16" t="str">
        <f t="shared" si="6"/>
        <v/>
      </c>
      <c r="I27" s="16" t="str">
        <f t="shared" si="7"/>
        <v/>
      </c>
      <c r="J27" s="16" t="str">
        <f t="shared" si="8"/>
        <v/>
      </c>
      <c r="K27" s="16" t="str">
        <f t="shared" si="2"/>
        <v/>
      </c>
      <c r="L27" s="29" t="str">
        <f t="shared" si="9"/>
        <v/>
      </c>
    </row>
    <row r="28" spans="1:12" ht="16.5" thickBot="1" x14ac:dyDescent="0.3">
      <c r="A28"/>
      <c r="B28">
        <f>SUM(B18:B27)</f>
        <v>6</v>
      </c>
      <c r="E28" s="13">
        <f t="shared" si="4"/>
        <v>0</v>
      </c>
      <c r="I28" s="20" t="s">
        <v>16</v>
      </c>
      <c r="J28" s="21">
        <f>SUM(J18:J27)</f>
        <v>21642.019613623946</v>
      </c>
      <c r="K28" s="22" t="s">
        <v>16</v>
      </c>
      <c r="L28" s="23">
        <f>SUM(L18:L27)</f>
        <v>1224821.1684348667</v>
      </c>
    </row>
    <row r="29" spans="1:12" x14ac:dyDescent="0.25">
      <c r="A29"/>
      <c r="B29"/>
    </row>
    <row r="30" spans="1:12" x14ac:dyDescent="0.25">
      <c r="A30"/>
      <c r="B30"/>
      <c r="C30" s="57" t="s">
        <v>29</v>
      </c>
      <c r="D30" s="58"/>
      <c r="E30" s="58"/>
      <c r="F30" s="58"/>
      <c r="G30" s="58"/>
    </row>
    <row r="31" spans="1:12" ht="15.75" x14ac:dyDescent="0.25">
      <c r="C31" s="36" t="s">
        <v>30</v>
      </c>
      <c r="D31">
        <f>ABS(0.003*(G6-F18)/G6)</f>
        <v>1.6679999999999998E-3</v>
      </c>
      <c r="F31" t="str">
        <f>IF((0.003*(G6-F18)/G6)&lt;0,"tracción","compresión")</f>
        <v>tracción</v>
      </c>
    </row>
    <row r="32" spans="1:12" x14ac:dyDescent="0.25">
      <c r="C32" t="s">
        <v>31</v>
      </c>
      <c r="D32">
        <f>IF(D31&lt;0.002,0.75,IF(D31&gt;0.005,0.9,0.75+0.15*(D31-0.002)/(0.005-0.002)))</f>
        <v>0.75</v>
      </c>
    </row>
  </sheetData>
  <mergeCells count="4">
    <mergeCell ref="C2:G2"/>
    <mergeCell ref="C16:D16"/>
    <mergeCell ref="F16:L16"/>
    <mergeCell ref="C30:G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zoomScale="130" zoomScaleNormal="130" workbookViewId="0">
      <selection activeCell="D11" sqref="D11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6.42578125" customWidth="1"/>
    <col min="4" max="4" width="12.85546875" customWidth="1"/>
    <col min="5" max="5" width="12.85546875" hidden="1" customWidth="1"/>
    <col min="6" max="6" width="12" customWidth="1"/>
    <col min="7" max="7" width="11.85546875" bestFit="1" customWidth="1"/>
    <col min="10" max="10" width="12.5703125" customWidth="1"/>
    <col min="11" max="11" width="11.85546875" bestFit="1" customWidth="1"/>
    <col min="12" max="12" width="20.140625" customWidth="1"/>
  </cols>
  <sheetData>
    <row r="1" spans="3:12" ht="15.75" thickBot="1" x14ac:dyDescent="0.3"/>
    <row r="2" spans="3:12" ht="15.75" thickBot="1" x14ac:dyDescent="0.3">
      <c r="C2" s="48" t="s">
        <v>0</v>
      </c>
      <c r="D2" s="49"/>
      <c r="E2" s="50"/>
      <c r="F2" s="49"/>
      <c r="G2" s="51"/>
    </row>
    <row r="3" spans="3:12" x14ac:dyDescent="0.25">
      <c r="C3" s="4" t="s">
        <v>2</v>
      </c>
      <c r="D3" s="3">
        <v>210</v>
      </c>
      <c r="E3" s="11"/>
      <c r="F3" s="43" t="s">
        <v>47</v>
      </c>
      <c r="G3" s="38">
        <f>(D7^2)*(D12-SIN(D12)*COS(D12))/4</f>
        <v>1115.728678173022</v>
      </c>
    </row>
    <row r="4" spans="3:12" x14ac:dyDescent="0.25">
      <c r="C4" s="4" t="s">
        <v>1</v>
      </c>
      <c r="D4" s="3">
        <v>4200</v>
      </c>
      <c r="E4" s="11"/>
      <c r="F4" s="2" t="s">
        <v>8</v>
      </c>
      <c r="G4" s="15">
        <f>SUM(E18:E27)</f>
        <v>38.013271108436506</v>
      </c>
    </row>
    <row r="5" spans="3:12" x14ac:dyDescent="0.25">
      <c r="C5" s="5" t="s">
        <v>39</v>
      </c>
      <c r="D5" s="6">
        <v>10</v>
      </c>
      <c r="E5" s="11"/>
    </row>
    <row r="6" spans="3:12" x14ac:dyDescent="0.25">
      <c r="C6" s="5" t="s">
        <v>7</v>
      </c>
      <c r="D6" s="6">
        <v>4</v>
      </c>
      <c r="E6" s="11"/>
      <c r="F6" s="2" t="s">
        <v>10</v>
      </c>
      <c r="G6" s="15">
        <v>35</v>
      </c>
    </row>
    <row r="7" spans="3:12" x14ac:dyDescent="0.25">
      <c r="C7" s="5" t="s">
        <v>40</v>
      </c>
      <c r="D7" s="6">
        <v>45</v>
      </c>
      <c r="E7" s="7"/>
      <c r="F7" s="2" t="s">
        <v>48</v>
      </c>
      <c r="G7" s="3">
        <f>0.85*D3*G3</f>
        <v>199157.56905388442</v>
      </c>
    </row>
    <row r="8" spans="3:12" x14ac:dyDescent="0.25">
      <c r="C8" s="5" t="s">
        <v>41</v>
      </c>
      <c r="D8" s="6">
        <v>22</v>
      </c>
      <c r="E8" s="7"/>
      <c r="F8" s="40" t="s">
        <v>36</v>
      </c>
      <c r="G8" s="41">
        <f>(0.85*D3*(D7^3)*(SIN(D12)^3)/12+L28)/100000</f>
        <v>19.597958339383815</v>
      </c>
      <c r="H8" s="40" t="s">
        <v>38</v>
      </c>
      <c r="I8" s="42">
        <f>G8*D32</f>
        <v>14.698468754537862</v>
      </c>
    </row>
    <row r="9" spans="3:12" x14ac:dyDescent="0.25">
      <c r="C9" s="5" t="s">
        <v>42</v>
      </c>
      <c r="D9" s="6">
        <f>D7/2-D6-D5/10-0.5*D8/10</f>
        <v>16.399999999999999</v>
      </c>
      <c r="E9" s="7"/>
      <c r="F9" s="40" t="s">
        <v>37</v>
      </c>
      <c r="G9" s="41">
        <f>(G7+J28)/(10^3)</f>
        <v>276.67566129866753</v>
      </c>
      <c r="H9" s="40" t="s">
        <v>35</v>
      </c>
      <c r="I9" s="42">
        <f>D32</f>
        <v>0.75</v>
      </c>
    </row>
    <row r="10" spans="3:12" x14ac:dyDescent="0.25">
      <c r="C10" s="5" t="s">
        <v>43</v>
      </c>
      <c r="D10" s="6">
        <v>6</v>
      </c>
      <c r="E10" s="7"/>
      <c r="F10" s="13"/>
      <c r="G10" s="47"/>
      <c r="H10" s="13"/>
      <c r="I10" s="39"/>
    </row>
    <row r="11" spans="3:12" x14ac:dyDescent="0.25">
      <c r="C11" s="44" t="s">
        <v>44</v>
      </c>
      <c r="D11" s="6">
        <f>Balanceado!D11</f>
        <v>36</v>
      </c>
      <c r="E11" s="7"/>
      <c r="H11" s="13"/>
      <c r="I11" s="39"/>
      <c r="L11" s="1"/>
    </row>
    <row r="12" spans="3:12" ht="15.75" x14ac:dyDescent="0.25">
      <c r="C12" s="45" t="s">
        <v>46</v>
      </c>
      <c r="D12" s="46">
        <f>ACOS(1-2*0.85*G6/D7)</f>
        <v>1.8988723034925266</v>
      </c>
      <c r="E12" s="7"/>
      <c r="F12" s="13"/>
      <c r="G12" s="38"/>
      <c r="H12" s="13"/>
      <c r="I12" s="39"/>
    </row>
    <row r="13" spans="3:12" x14ac:dyDescent="0.25">
      <c r="E13" s="7"/>
      <c r="G13" s="38"/>
      <c r="H13" s="13"/>
      <c r="I13" s="39"/>
      <c r="K13" s="1"/>
      <c r="L13" s="1"/>
    </row>
    <row r="14" spans="3:12" x14ac:dyDescent="0.25">
      <c r="E14" s="7"/>
      <c r="F14" s="13"/>
      <c r="H14" s="13"/>
      <c r="I14" s="39"/>
    </row>
    <row r="15" spans="3:12" ht="15.75" thickBot="1" x14ac:dyDescent="0.3">
      <c r="K15" s="1"/>
      <c r="L15" s="1"/>
    </row>
    <row r="16" spans="3:12" ht="15.75" thickBot="1" x14ac:dyDescent="0.3">
      <c r="C16" s="52" t="s">
        <v>3</v>
      </c>
      <c r="D16" s="53"/>
      <c r="E16" s="37"/>
      <c r="F16" s="54" t="s">
        <v>9</v>
      </c>
      <c r="G16" s="55"/>
      <c r="H16" s="55"/>
      <c r="I16" s="55"/>
      <c r="J16" s="55"/>
      <c r="K16" s="55"/>
      <c r="L16" s="56"/>
    </row>
    <row r="17" spans="1:12" ht="15.75" thickBot="1" x14ac:dyDescent="0.3">
      <c r="A17" s="10" t="s">
        <v>4</v>
      </c>
      <c r="B17" s="24"/>
      <c r="C17" s="30" t="s">
        <v>5</v>
      </c>
      <c r="D17" s="31" t="s">
        <v>6</v>
      </c>
      <c r="E17" s="32"/>
      <c r="F17" s="33" t="s">
        <v>11</v>
      </c>
      <c r="G17" s="34" t="s">
        <v>12</v>
      </c>
      <c r="H17" s="34" t="s">
        <v>13</v>
      </c>
      <c r="I17" s="34" t="s">
        <v>14</v>
      </c>
      <c r="J17" s="34" t="s">
        <v>15</v>
      </c>
      <c r="K17" s="34" t="s">
        <v>17</v>
      </c>
      <c r="L17" s="35" t="s">
        <v>18</v>
      </c>
    </row>
    <row r="18" spans="1:12" x14ac:dyDescent="0.25">
      <c r="A18" s="9">
        <v>1</v>
      </c>
      <c r="B18" s="24">
        <f>IF(C18&lt;&gt;0,1,0)</f>
        <v>1</v>
      </c>
      <c r="C18" s="25">
        <v>1</v>
      </c>
      <c r="D18" s="25">
        <f t="shared" ref="D18:D23" si="0">$D$8</f>
        <v>22</v>
      </c>
      <c r="E18" s="11">
        <f>C18*PI()*((D18/10)^2)/4</f>
        <v>3.8013271108436504</v>
      </c>
      <c r="F18" s="38">
        <f t="shared" ref="F18:F23" si="1">$D$7/2-$D$9*COS(RADIANS($D$11*($D$10-A18)))</f>
        <v>38.9</v>
      </c>
      <c r="G18" s="16">
        <f>IF(C18&lt;&gt;"",C18*PI()*((D18/10)^2)/4,"")</f>
        <v>3.8013271108436504</v>
      </c>
      <c r="H18" s="16">
        <f>IF(C18&lt;&gt;"",6120*($G$6-F18)/$G$6,"")</f>
        <v>-681.94285714285695</v>
      </c>
      <c r="I18" s="16">
        <f>IF(C18&lt;&gt;"",IF(ABS(H18)&lt;=4200,H18,(ABS(H18)/H18)*4200),"")</f>
        <v>-681.94285714285695</v>
      </c>
      <c r="J18" s="16">
        <f>IF(C18&lt;&gt;"",I18*G18,"")</f>
        <v>-2592.2878709033207</v>
      </c>
      <c r="K18" s="16">
        <f t="shared" ref="K18:K27" si="2">IF(C18&lt;&gt;"",$D$7/2-F18,"")</f>
        <v>-16.399999999999999</v>
      </c>
      <c r="L18" s="29">
        <f>IF(C18&lt;&gt;"",K18*J18,"")</f>
        <v>42513.521082814455</v>
      </c>
    </row>
    <row r="19" spans="1:12" x14ac:dyDescent="0.25">
      <c r="A19" s="8">
        <v>2</v>
      </c>
      <c r="B19" s="24">
        <f t="shared" ref="B19:B21" si="3">IF(C19&lt;&gt;0,1,0)</f>
        <v>1</v>
      </c>
      <c r="C19" s="25">
        <v>2</v>
      </c>
      <c r="D19" s="25">
        <f t="shared" si="0"/>
        <v>22</v>
      </c>
      <c r="E19" s="11">
        <f t="shared" ref="E19:E28" si="4">C19*PI()*((D19/10)^2)/4</f>
        <v>7.6026542216873008</v>
      </c>
      <c r="F19" s="38">
        <f t="shared" si="1"/>
        <v>35.767878707749134</v>
      </c>
      <c r="G19" s="16">
        <f t="shared" ref="G19:G27" si="5">IF(C19&lt;&gt;"",C19*PI()*((D19/10)^2)/4,"")</f>
        <v>7.6026542216873008</v>
      </c>
      <c r="H19" s="16">
        <f t="shared" ref="H19:H27" si="6">IF(C19&lt;&gt;"",6120*($G$6-F19)/$G$6,"")</f>
        <v>-134.26907689784849</v>
      </c>
      <c r="I19" s="16">
        <f t="shared" ref="I19:I27" si="7">IF(C19&lt;&gt;"",IF(ABS(H19)&lt;=4200,H19,(ABS(H19)/H19)*4200),"")</f>
        <v>-134.26907689784849</v>
      </c>
      <c r="J19" s="16">
        <f t="shared" ref="J19:J27" si="8">IF(C19&lt;&gt;"",I19*G19,"")</f>
        <v>-1020.8013643194847</v>
      </c>
      <c r="K19" s="16">
        <f t="shared" si="2"/>
        <v>-13.267878707749134</v>
      </c>
      <c r="L19" s="29">
        <f t="shared" ref="L19:L27" si="9">IF(C19&lt;&gt;"",K19*J19,"")</f>
        <v>13543.868686495758</v>
      </c>
    </row>
    <row r="20" spans="1:12" x14ac:dyDescent="0.25">
      <c r="A20" s="8">
        <v>3</v>
      </c>
      <c r="B20" s="24">
        <f t="shared" si="3"/>
        <v>1</v>
      </c>
      <c r="C20" s="25">
        <v>2</v>
      </c>
      <c r="D20" s="25">
        <f t="shared" si="0"/>
        <v>22</v>
      </c>
      <c r="E20" s="11">
        <f t="shared" si="4"/>
        <v>7.6026542216873008</v>
      </c>
      <c r="F20" s="38">
        <f t="shared" si="1"/>
        <v>27.567878707749138</v>
      </c>
      <c r="G20" s="16">
        <f t="shared" si="5"/>
        <v>7.6026542216873008</v>
      </c>
      <c r="H20" s="16">
        <f t="shared" si="6"/>
        <v>1299.5594945307223</v>
      </c>
      <c r="I20" s="16">
        <f t="shared" si="7"/>
        <v>1299.5594945307223</v>
      </c>
      <c r="J20" s="16">
        <f t="shared" si="8"/>
        <v>9880.1014774278101</v>
      </c>
      <c r="K20" s="16">
        <f t="shared" si="2"/>
        <v>-5.0678787077491378</v>
      </c>
      <c r="L20" s="29">
        <f t="shared" si="9"/>
        <v>-50071.155907857195</v>
      </c>
    </row>
    <row r="21" spans="1:12" x14ac:dyDescent="0.25">
      <c r="A21" s="8">
        <v>4</v>
      </c>
      <c r="B21" s="24">
        <f t="shared" si="3"/>
        <v>1</v>
      </c>
      <c r="C21" s="25">
        <v>2</v>
      </c>
      <c r="D21" s="25">
        <f t="shared" si="0"/>
        <v>22</v>
      </c>
      <c r="E21" s="11">
        <f t="shared" si="4"/>
        <v>7.6026542216873008</v>
      </c>
      <c r="F21" s="38">
        <f t="shared" si="1"/>
        <v>17.432121292250862</v>
      </c>
      <c r="G21" s="16">
        <f t="shared" si="5"/>
        <v>7.6026542216873008</v>
      </c>
      <c r="H21" s="16">
        <f t="shared" si="6"/>
        <v>3071.869076897849</v>
      </c>
      <c r="I21" s="16">
        <f t="shared" si="7"/>
        <v>3071.869076897849</v>
      </c>
      <c r="J21" s="16">
        <f t="shared" si="8"/>
        <v>23354.358405948104</v>
      </c>
      <c r="K21" s="16">
        <f t="shared" si="2"/>
        <v>5.0678787077491378</v>
      </c>
      <c r="L21" s="29">
        <f t="shared" si="9"/>
        <v>118357.05569864649</v>
      </c>
    </row>
    <row r="22" spans="1:12" x14ac:dyDescent="0.25">
      <c r="A22" s="8">
        <v>5</v>
      </c>
      <c r="B22" s="24">
        <f>IF(C22&lt;&gt;"",1,"")</f>
        <v>1</v>
      </c>
      <c r="C22" s="17">
        <v>2</v>
      </c>
      <c r="D22" s="25">
        <f t="shared" si="0"/>
        <v>22</v>
      </c>
      <c r="E22" s="11">
        <f t="shared" si="4"/>
        <v>7.6026542216873008</v>
      </c>
      <c r="F22" s="38">
        <f t="shared" si="1"/>
        <v>9.2321212922508629</v>
      </c>
      <c r="G22" s="16">
        <f t="shared" si="5"/>
        <v>7.6026542216873008</v>
      </c>
      <c r="H22" s="16">
        <f t="shared" si="6"/>
        <v>4505.6976483264207</v>
      </c>
      <c r="I22" s="16">
        <f t="shared" si="7"/>
        <v>4200</v>
      </c>
      <c r="J22" s="16">
        <f t="shared" si="8"/>
        <v>31931.147731086665</v>
      </c>
      <c r="K22" s="16">
        <f t="shared" si="2"/>
        <v>13.267878707749137</v>
      </c>
      <c r="L22" s="29">
        <f t="shared" si="9"/>
        <v>423658.59509527695</v>
      </c>
    </row>
    <row r="23" spans="1:12" x14ac:dyDescent="0.25">
      <c r="A23" s="8">
        <v>6</v>
      </c>
      <c r="B23" s="24">
        <f t="shared" ref="B23:B27" si="10">IF(C23&lt;&gt;"",1,"")</f>
        <v>1</v>
      </c>
      <c r="C23" s="17">
        <v>1</v>
      </c>
      <c r="D23" s="25">
        <f t="shared" si="0"/>
        <v>22</v>
      </c>
      <c r="E23" s="11">
        <f t="shared" si="4"/>
        <v>3.8013271108436504</v>
      </c>
      <c r="F23" s="38">
        <f t="shared" si="1"/>
        <v>6.1000000000000014</v>
      </c>
      <c r="G23" s="16">
        <f t="shared" si="5"/>
        <v>3.8013271108436504</v>
      </c>
      <c r="H23" s="16">
        <f t="shared" si="6"/>
        <v>5053.3714285714286</v>
      </c>
      <c r="I23" s="16">
        <f t="shared" si="7"/>
        <v>4200</v>
      </c>
      <c r="J23" s="16">
        <f t="shared" si="8"/>
        <v>15965.573865543332</v>
      </c>
      <c r="K23" s="16">
        <f t="shared" si="2"/>
        <v>16.399999999999999</v>
      </c>
      <c r="L23" s="29">
        <f t="shared" si="9"/>
        <v>261835.41139491062</v>
      </c>
    </row>
    <row r="24" spans="1:12" x14ac:dyDescent="0.25">
      <c r="A24" s="8">
        <v>7</v>
      </c>
      <c r="B24" s="24" t="str">
        <f t="shared" si="10"/>
        <v/>
      </c>
      <c r="C24" s="17"/>
      <c r="D24" s="26"/>
      <c r="E24" s="11">
        <f t="shared" si="4"/>
        <v>0</v>
      </c>
      <c r="F24" s="18" t="str">
        <f>IF(C24&lt;&gt;"",F23-D23/20-#REF!-D24/20,"")</f>
        <v/>
      </c>
      <c r="G24" s="16" t="str">
        <f t="shared" si="5"/>
        <v/>
      </c>
      <c r="H24" s="16" t="str">
        <f t="shared" si="6"/>
        <v/>
      </c>
      <c r="I24" s="16" t="str">
        <f t="shared" si="7"/>
        <v/>
      </c>
      <c r="J24" s="16" t="str">
        <f t="shared" si="8"/>
        <v/>
      </c>
      <c r="K24" s="16" t="str">
        <f t="shared" si="2"/>
        <v/>
      </c>
      <c r="L24" s="29" t="str">
        <f t="shared" si="9"/>
        <v/>
      </c>
    </row>
    <row r="25" spans="1:12" x14ac:dyDescent="0.25">
      <c r="A25" s="8">
        <v>8</v>
      </c>
      <c r="B25" s="24" t="str">
        <f t="shared" si="10"/>
        <v/>
      </c>
      <c r="C25" s="17"/>
      <c r="D25" s="26"/>
      <c r="E25" s="11">
        <f t="shared" si="4"/>
        <v>0</v>
      </c>
      <c r="F25" s="18" t="str">
        <f>IF(C25&lt;&gt;"",F24-D24/20-#REF!-D25/20,"")</f>
        <v/>
      </c>
      <c r="G25" s="16" t="str">
        <f t="shared" si="5"/>
        <v/>
      </c>
      <c r="H25" s="16" t="str">
        <f t="shared" si="6"/>
        <v/>
      </c>
      <c r="I25" s="16" t="str">
        <f t="shared" si="7"/>
        <v/>
      </c>
      <c r="J25" s="16" t="str">
        <f t="shared" si="8"/>
        <v/>
      </c>
      <c r="K25" s="16" t="str">
        <f t="shared" si="2"/>
        <v/>
      </c>
      <c r="L25" s="29" t="str">
        <f t="shared" si="9"/>
        <v/>
      </c>
    </row>
    <row r="26" spans="1:12" x14ac:dyDescent="0.25">
      <c r="A26" s="8">
        <v>9</v>
      </c>
      <c r="B26" s="24" t="str">
        <f t="shared" si="10"/>
        <v/>
      </c>
      <c r="C26" s="17"/>
      <c r="D26" s="26"/>
      <c r="E26" s="11">
        <f t="shared" si="4"/>
        <v>0</v>
      </c>
      <c r="F26" s="18" t="str">
        <f>IF(C26&lt;&gt;"",F25-D25/20-#REF!-D26/20,"")</f>
        <v/>
      </c>
      <c r="G26" s="16" t="str">
        <f t="shared" si="5"/>
        <v/>
      </c>
      <c r="H26" s="16" t="str">
        <f t="shared" si="6"/>
        <v/>
      </c>
      <c r="I26" s="16" t="str">
        <f t="shared" si="7"/>
        <v/>
      </c>
      <c r="J26" s="16" t="str">
        <f t="shared" si="8"/>
        <v/>
      </c>
      <c r="K26" s="16" t="str">
        <f t="shared" si="2"/>
        <v/>
      </c>
      <c r="L26" s="29" t="str">
        <f t="shared" si="9"/>
        <v/>
      </c>
    </row>
    <row r="27" spans="1:12" ht="15.75" thickBot="1" x14ac:dyDescent="0.3">
      <c r="A27" s="8">
        <v>10</v>
      </c>
      <c r="B27" s="24" t="str">
        <f t="shared" si="10"/>
        <v/>
      </c>
      <c r="C27" s="27"/>
      <c r="D27" s="28"/>
      <c r="E27" s="11">
        <f t="shared" si="4"/>
        <v>0</v>
      </c>
      <c r="F27" s="19" t="str">
        <f>IF(C27&lt;&gt;"",F26-D26/20-#REF!-D27/20,"")</f>
        <v/>
      </c>
      <c r="G27" s="16" t="str">
        <f t="shared" si="5"/>
        <v/>
      </c>
      <c r="H27" s="16" t="str">
        <f t="shared" si="6"/>
        <v/>
      </c>
      <c r="I27" s="16" t="str">
        <f t="shared" si="7"/>
        <v/>
      </c>
      <c r="J27" s="16" t="str">
        <f t="shared" si="8"/>
        <v/>
      </c>
      <c r="K27" s="16" t="str">
        <f t="shared" si="2"/>
        <v/>
      </c>
      <c r="L27" s="29" t="str">
        <f t="shared" si="9"/>
        <v/>
      </c>
    </row>
    <row r="28" spans="1:12" ht="16.5" thickBot="1" x14ac:dyDescent="0.3">
      <c r="A28"/>
      <c r="B28">
        <f>SUM(B18:B27)</f>
        <v>6</v>
      </c>
      <c r="E28" s="13">
        <f t="shared" si="4"/>
        <v>0</v>
      </c>
      <c r="I28" s="20" t="s">
        <v>16</v>
      </c>
      <c r="J28" s="21">
        <f>SUM(J18:J27)</f>
        <v>77518.092244783111</v>
      </c>
      <c r="K28" s="22" t="s">
        <v>16</v>
      </c>
      <c r="L28" s="23">
        <f>SUM(L18:L27)</f>
        <v>809837.29605028708</v>
      </c>
    </row>
    <row r="29" spans="1:12" x14ac:dyDescent="0.25">
      <c r="A29"/>
      <c r="B29"/>
    </row>
    <row r="30" spans="1:12" x14ac:dyDescent="0.25">
      <c r="A30"/>
      <c r="B30"/>
      <c r="C30" s="57" t="s">
        <v>29</v>
      </c>
      <c r="D30" s="58"/>
      <c r="E30" s="58"/>
      <c r="F30" s="58"/>
      <c r="G30" s="58"/>
    </row>
    <row r="31" spans="1:12" ht="15.75" x14ac:dyDescent="0.25">
      <c r="C31" s="36" t="s">
        <v>30</v>
      </c>
      <c r="D31">
        <f>ABS(0.003*(G6-F18)/G6)</f>
        <v>3.3428571428571416E-4</v>
      </c>
      <c r="F31" t="str">
        <f>IF((0.003*(G6-F18)/G6)&lt;0,"tracción","compresión")</f>
        <v>tracción</v>
      </c>
    </row>
    <row r="32" spans="1:12" x14ac:dyDescent="0.25">
      <c r="C32" t="s">
        <v>31</v>
      </c>
      <c r="D32">
        <f>IF(D31&lt;0.002,0.75,IF(D31&gt;0.005,0.9,0.75+0.15*(D31-0.002)/(0.005-0.002)))</f>
        <v>0.75</v>
      </c>
    </row>
  </sheetData>
  <mergeCells count="4">
    <mergeCell ref="C2:G2"/>
    <mergeCell ref="C16:D16"/>
    <mergeCell ref="F16:L16"/>
    <mergeCell ref="C30:G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2"/>
  <sheetViews>
    <sheetView zoomScale="130" zoomScaleNormal="130" workbookViewId="0">
      <selection activeCell="D11" sqref="D11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6.42578125" customWidth="1"/>
    <col min="4" max="4" width="12.85546875" customWidth="1"/>
    <col min="5" max="5" width="12.85546875" hidden="1" customWidth="1"/>
    <col min="6" max="6" width="12" customWidth="1"/>
    <col min="7" max="7" width="11.85546875" bestFit="1" customWidth="1"/>
    <col min="10" max="10" width="12.5703125" customWidth="1"/>
    <col min="11" max="11" width="11.85546875" bestFit="1" customWidth="1"/>
    <col min="12" max="12" width="20.140625" customWidth="1"/>
  </cols>
  <sheetData>
    <row r="1" spans="3:12" ht="15.75" thickBot="1" x14ac:dyDescent="0.3"/>
    <row r="2" spans="3:12" ht="15.75" thickBot="1" x14ac:dyDescent="0.3">
      <c r="C2" s="48" t="s">
        <v>0</v>
      </c>
      <c r="D2" s="49"/>
      <c r="E2" s="50"/>
      <c r="F2" s="49"/>
      <c r="G2" s="51"/>
    </row>
    <row r="3" spans="3:12" x14ac:dyDescent="0.25">
      <c r="C3" s="4" t="s">
        <v>2</v>
      </c>
      <c r="D3" s="3">
        <v>210</v>
      </c>
      <c r="E3" s="11"/>
      <c r="F3" s="43" t="s">
        <v>47</v>
      </c>
      <c r="G3" s="38">
        <f>(D7^2)*(D12-SIN(D12)*COS(D12))/4</f>
        <v>1440.8349930355976</v>
      </c>
    </row>
    <row r="4" spans="3:12" x14ac:dyDescent="0.25">
      <c r="C4" s="4" t="s">
        <v>1</v>
      </c>
      <c r="D4" s="3">
        <v>4200</v>
      </c>
      <c r="E4" s="11"/>
      <c r="F4" s="2" t="s">
        <v>8</v>
      </c>
      <c r="G4" s="15">
        <f>SUM(E18:E27)</f>
        <v>38.013271108436506</v>
      </c>
    </row>
    <row r="5" spans="3:12" x14ac:dyDescent="0.25">
      <c r="C5" s="5" t="s">
        <v>39</v>
      </c>
      <c r="D5" s="6">
        <v>10</v>
      </c>
      <c r="E5" s="11"/>
    </row>
    <row r="6" spans="3:12" x14ac:dyDescent="0.25">
      <c r="C6" s="5" t="s">
        <v>7</v>
      </c>
      <c r="D6" s="6">
        <v>4</v>
      </c>
      <c r="E6" s="11"/>
      <c r="F6" s="2" t="s">
        <v>10</v>
      </c>
      <c r="G6" s="15">
        <v>45</v>
      </c>
    </row>
    <row r="7" spans="3:12" x14ac:dyDescent="0.25">
      <c r="C7" s="5" t="s">
        <v>40</v>
      </c>
      <c r="D7" s="6">
        <v>45</v>
      </c>
      <c r="E7" s="7"/>
      <c r="F7" s="2" t="s">
        <v>48</v>
      </c>
      <c r="G7" s="3">
        <f>0.85*D3*G3</f>
        <v>257189.04625685417</v>
      </c>
    </row>
    <row r="8" spans="3:12" x14ac:dyDescent="0.25">
      <c r="C8" s="5" t="s">
        <v>41</v>
      </c>
      <c r="D8" s="6">
        <v>22</v>
      </c>
      <c r="E8" s="7"/>
      <c r="F8" s="40" t="s">
        <v>36</v>
      </c>
      <c r="G8" s="41">
        <f>(0.85*D3*(D7^3)*(SIN(D12)^3)/12+L28)/100000</f>
        <v>10.539207932635525</v>
      </c>
      <c r="H8" s="40" t="s">
        <v>38</v>
      </c>
      <c r="I8" s="42">
        <f>G8*D32</f>
        <v>7.9044059494766437</v>
      </c>
    </row>
    <row r="9" spans="3:12" x14ac:dyDescent="0.25">
      <c r="C9" s="5" t="s">
        <v>42</v>
      </c>
      <c r="D9" s="6">
        <f>D7/2-D6-D5/10-0.5*D8/10</f>
        <v>16.399999999999999</v>
      </c>
      <c r="E9" s="7"/>
      <c r="F9" s="40" t="s">
        <v>37</v>
      </c>
      <c r="G9" s="41">
        <f>(G7+J28)/(10^3)</f>
        <v>364.31324578616812</v>
      </c>
      <c r="H9" s="40" t="s">
        <v>35</v>
      </c>
      <c r="I9" s="42">
        <f>D32</f>
        <v>0.75</v>
      </c>
    </row>
    <row r="10" spans="3:12" x14ac:dyDescent="0.25">
      <c r="C10" s="5" t="s">
        <v>43</v>
      </c>
      <c r="D10" s="6">
        <v>6</v>
      </c>
      <c r="E10" s="7"/>
      <c r="F10" s="13"/>
      <c r="G10" s="47"/>
      <c r="H10" s="13"/>
      <c r="I10" s="39"/>
    </row>
    <row r="11" spans="3:12" x14ac:dyDescent="0.25">
      <c r="C11" s="44" t="s">
        <v>44</v>
      </c>
      <c r="D11" s="6">
        <f>Balanceado!D11</f>
        <v>36</v>
      </c>
      <c r="E11" s="7"/>
      <c r="H11" s="13"/>
      <c r="I11" s="39"/>
      <c r="L11" s="1"/>
    </row>
    <row r="12" spans="3:12" ht="15.75" x14ac:dyDescent="0.25">
      <c r="C12" s="45" t="s">
        <v>46</v>
      </c>
      <c r="D12" s="46">
        <f>ACOS(1-2*0.85*G6/D7)</f>
        <v>2.3461938234056499</v>
      </c>
      <c r="E12" s="7"/>
      <c r="F12" s="13"/>
      <c r="G12" s="38"/>
      <c r="H12" s="13"/>
      <c r="I12" s="39"/>
    </row>
    <row r="13" spans="3:12" x14ac:dyDescent="0.25">
      <c r="E13" s="7"/>
      <c r="G13" s="38"/>
      <c r="H13" s="13"/>
      <c r="I13" s="39"/>
      <c r="K13" s="1"/>
      <c r="L13" s="1"/>
    </row>
    <row r="14" spans="3:12" x14ac:dyDescent="0.25">
      <c r="E14" s="7"/>
      <c r="F14" s="13"/>
      <c r="H14" s="13"/>
      <c r="I14" s="39"/>
    </row>
    <row r="15" spans="3:12" ht="15.75" thickBot="1" x14ac:dyDescent="0.3">
      <c r="K15" s="1"/>
      <c r="L15" s="1"/>
    </row>
    <row r="16" spans="3:12" ht="15.75" thickBot="1" x14ac:dyDescent="0.3">
      <c r="C16" s="52" t="s">
        <v>3</v>
      </c>
      <c r="D16" s="53"/>
      <c r="E16" s="37"/>
      <c r="F16" s="54" t="s">
        <v>9</v>
      </c>
      <c r="G16" s="55"/>
      <c r="H16" s="55"/>
      <c r="I16" s="55"/>
      <c r="J16" s="55"/>
      <c r="K16" s="55"/>
      <c r="L16" s="56"/>
    </row>
    <row r="17" spans="1:12" ht="15.75" thickBot="1" x14ac:dyDescent="0.3">
      <c r="A17" s="10" t="s">
        <v>4</v>
      </c>
      <c r="B17" s="24"/>
      <c r="C17" s="30" t="s">
        <v>5</v>
      </c>
      <c r="D17" s="31" t="s">
        <v>6</v>
      </c>
      <c r="E17" s="32"/>
      <c r="F17" s="33" t="s">
        <v>11</v>
      </c>
      <c r="G17" s="34" t="s">
        <v>12</v>
      </c>
      <c r="H17" s="34" t="s">
        <v>13</v>
      </c>
      <c r="I17" s="34" t="s">
        <v>14</v>
      </c>
      <c r="J17" s="34" t="s">
        <v>15</v>
      </c>
      <c r="K17" s="34" t="s">
        <v>17</v>
      </c>
      <c r="L17" s="35" t="s">
        <v>18</v>
      </c>
    </row>
    <row r="18" spans="1:12" x14ac:dyDescent="0.25">
      <c r="A18" s="9">
        <v>1</v>
      </c>
      <c r="B18" s="24">
        <f>IF(C18&lt;&gt;0,1,0)</f>
        <v>1</v>
      </c>
      <c r="C18" s="25">
        <v>1</v>
      </c>
      <c r="D18" s="25">
        <f t="shared" ref="D18:D23" si="0">$D$8</f>
        <v>22</v>
      </c>
      <c r="E18" s="11">
        <f>C18*PI()*((D18/10)^2)/4</f>
        <v>3.8013271108436504</v>
      </c>
      <c r="F18" s="38">
        <f t="shared" ref="F18:F23" si="1">$D$7/2-$D$9*COS(RADIANS($D$11*($D$10-A18)))</f>
        <v>38.9</v>
      </c>
      <c r="G18" s="16">
        <f>IF(C18&lt;&gt;"",C18*PI()*((D18/10)^2)/4,"")</f>
        <v>3.8013271108436504</v>
      </c>
      <c r="H18" s="16">
        <f>IF(C18&lt;&gt;"",6120*($G$6-F18)/$G$6,"")</f>
        <v>829.60000000000014</v>
      </c>
      <c r="I18" s="16">
        <f>IF(C18&lt;&gt;"",IF(ABS(H18)&lt;=4200,H18,(ABS(H18)/H18)*4200),"")</f>
        <v>829.60000000000014</v>
      </c>
      <c r="J18" s="16">
        <f>IF(C18&lt;&gt;"",I18*G18,"")</f>
        <v>3153.5809711558927</v>
      </c>
      <c r="K18" s="16">
        <f t="shared" ref="K18:K27" si="2">IF(C18&lt;&gt;"",$D$7/2-F18,"")</f>
        <v>-16.399999999999999</v>
      </c>
      <c r="L18" s="29">
        <f>IF(C18&lt;&gt;"",K18*J18,"")</f>
        <v>-51718.727926956635</v>
      </c>
    </row>
    <row r="19" spans="1:12" x14ac:dyDescent="0.25">
      <c r="A19" s="8">
        <v>2</v>
      </c>
      <c r="B19" s="24">
        <f t="shared" ref="B19:B21" si="3">IF(C19&lt;&gt;0,1,0)</f>
        <v>1</v>
      </c>
      <c r="C19" s="25">
        <v>2</v>
      </c>
      <c r="D19" s="25">
        <f t="shared" si="0"/>
        <v>22</v>
      </c>
      <c r="E19" s="11">
        <f t="shared" ref="E19:E28" si="4">C19*PI()*((D19/10)^2)/4</f>
        <v>7.6026542216873008</v>
      </c>
      <c r="F19" s="38">
        <f t="shared" si="1"/>
        <v>35.767878707749134</v>
      </c>
      <c r="G19" s="16">
        <f t="shared" ref="G19:G27" si="5">IF(C19&lt;&gt;"",C19*PI()*((D19/10)^2)/4,"")</f>
        <v>7.6026542216873008</v>
      </c>
      <c r="H19" s="16">
        <f t="shared" ref="H19:H27" si="6">IF(C19&lt;&gt;"",6120*($G$6-F19)/$G$6,"")</f>
        <v>1255.5684957461178</v>
      </c>
      <c r="I19" s="16">
        <f t="shared" ref="I19:I27" si="7">IF(C19&lt;&gt;"",IF(ABS(H19)&lt;=4200,H19,(ABS(H19)/H19)*4200),"")</f>
        <v>1255.5684957461178</v>
      </c>
      <c r="J19" s="16">
        <f t="shared" ref="J19:J27" si="8">IF(C19&lt;&gt;"",I19*G19,"")</f>
        <v>9545.6531248017964</v>
      </c>
      <c r="K19" s="16">
        <f t="shared" si="2"/>
        <v>-13.267878707749134</v>
      </c>
      <c r="L19" s="29">
        <f t="shared" ref="L19:L27" si="9">IF(C19&lt;&gt;"",K19*J19,"")</f>
        <v>-126650.56784611674</v>
      </c>
    </row>
    <row r="20" spans="1:12" x14ac:dyDescent="0.25">
      <c r="A20" s="8">
        <v>3</v>
      </c>
      <c r="B20" s="24">
        <f t="shared" si="3"/>
        <v>1</v>
      </c>
      <c r="C20" s="25">
        <v>2</v>
      </c>
      <c r="D20" s="25">
        <f t="shared" si="0"/>
        <v>22</v>
      </c>
      <c r="E20" s="11">
        <f t="shared" si="4"/>
        <v>7.6026542216873008</v>
      </c>
      <c r="F20" s="38">
        <f t="shared" si="1"/>
        <v>27.567878707749138</v>
      </c>
      <c r="G20" s="16">
        <f t="shared" si="5"/>
        <v>7.6026542216873008</v>
      </c>
      <c r="H20" s="16">
        <f t="shared" si="6"/>
        <v>2370.7684957461174</v>
      </c>
      <c r="I20" s="16">
        <f t="shared" si="7"/>
        <v>2370.7684957461174</v>
      </c>
      <c r="J20" s="16">
        <f t="shared" si="8"/>
        <v>18024.133112827472</v>
      </c>
      <c r="K20" s="16">
        <f t="shared" si="2"/>
        <v>-5.0678787077491378</v>
      </c>
      <c r="L20" s="29">
        <f t="shared" si="9"/>
        <v>-91344.120428134542</v>
      </c>
    </row>
    <row r="21" spans="1:12" x14ac:dyDescent="0.25">
      <c r="A21" s="8">
        <v>4</v>
      </c>
      <c r="B21" s="24">
        <f t="shared" si="3"/>
        <v>1</v>
      </c>
      <c r="C21" s="25">
        <v>2</v>
      </c>
      <c r="D21" s="25">
        <f t="shared" si="0"/>
        <v>22</v>
      </c>
      <c r="E21" s="11">
        <f t="shared" si="4"/>
        <v>7.6026542216873008</v>
      </c>
      <c r="F21" s="38">
        <f t="shared" si="1"/>
        <v>17.432121292250862</v>
      </c>
      <c r="G21" s="16">
        <f t="shared" si="5"/>
        <v>7.6026542216873008</v>
      </c>
      <c r="H21" s="16">
        <f t="shared" si="6"/>
        <v>3749.2315042538826</v>
      </c>
      <c r="I21" s="16">
        <f t="shared" si="7"/>
        <v>3749.2315042538826</v>
      </c>
      <c r="J21" s="16">
        <f t="shared" si="8"/>
        <v>28504.110723898808</v>
      </c>
      <c r="K21" s="16">
        <f t="shared" si="2"/>
        <v>5.0678787077491378</v>
      </c>
      <c r="L21" s="29">
        <f t="shared" si="9"/>
        <v>144455.37582097063</v>
      </c>
    </row>
    <row r="22" spans="1:12" x14ac:dyDescent="0.25">
      <c r="A22" s="8">
        <v>5</v>
      </c>
      <c r="B22" s="24">
        <f>IF(C22&lt;&gt;"",1,"")</f>
        <v>1</v>
      </c>
      <c r="C22" s="17">
        <v>2</v>
      </c>
      <c r="D22" s="25">
        <f t="shared" si="0"/>
        <v>22</v>
      </c>
      <c r="E22" s="11">
        <f t="shared" si="4"/>
        <v>7.6026542216873008</v>
      </c>
      <c r="F22" s="38">
        <f t="shared" si="1"/>
        <v>9.2321212922508629</v>
      </c>
      <c r="G22" s="16">
        <f t="shared" si="5"/>
        <v>7.6026542216873008</v>
      </c>
      <c r="H22" s="16">
        <f t="shared" si="6"/>
        <v>4864.4315042538819</v>
      </c>
      <c r="I22" s="16">
        <f t="shared" si="7"/>
        <v>4200</v>
      </c>
      <c r="J22" s="16">
        <f t="shared" si="8"/>
        <v>31931.147731086665</v>
      </c>
      <c r="K22" s="16">
        <f t="shared" si="2"/>
        <v>13.267878707749137</v>
      </c>
      <c r="L22" s="29">
        <f t="shared" si="9"/>
        <v>423658.59509527695</v>
      </c>
    </row>
    <row r="23" spans="1:12" x14ac:dyDescent="0.25">
      <c r="A23" s="8">
        <v>6</v>
      </c>
      <c r="B23" s="24">
        <f t="shared" ref="B23:B27" si="10">IF(C23&lt;&gt;"",1,"")</f>
        <v>1</v>
      </c>
      <c r="C23" s="17">
        <v>1</v>
      </c>
      <c r="D23" s="25">
        <f t="shared" si="0"/>
        <v>22</v>
      </c>
      <c r="E23" s="11">
        <f t="shared" si="4"/>
        <v>3.8013271108436504</v>
      </c>
      <c r="F23" s="38">
        <f t="shared" si="1"/>
        <v>6.1000000000000014</v>
      </c>
      <c r="G23" s="16">
        <f t="shared" si="5"/>
        <v>3.8013271108436504</v>
      </c>
      <c r="H23" s="16">
        <f t="shared" si="6"/>
        <v>5290.4</v>
      </c>
      <c r="I23" s="16">
        <f t="shared" si="7"/>
        <v>4200</v>
      </c>
      <c r="J23" s="16">
        <f t="shared" si="8"/>
        <v>15965.573865543332</v>
      </c>
      <c r="K23" s="16">
        <f t="shared" si="2"/>
        <v>16.399999999999999</v>
      </c>
      <c r="L23" s="29">
        <f t="shared" si="9"/>
        <v>261835.41139491062</v>
      </c>
    </row>
    <row r="24" spans="1:12" x14ac:dyDescent="0.25">
      <c r="A24" s="8">
        <v>7</v>
      </c>
      <c r="B24" s="24" t="str">
        <f t="shared" si="10"/>
        <v/>
      </c>
      <c r="C24" s="17"/>
      <c r="D24" s="26"/>
      <c r="E24" s="11">
        <f t="shared" si="4"/>
        <v>0</v>
      </c>
      <c r="F24" s="18" t="str">
        <f>IF(C24&lt;&gt;"",F23-D23/20-#REF!-D24/20,"")</f>
        <v/>
      </c>
      <c r="G24" s="16" t="str">
        <f t="shared" si="5"/>
        <v/>
      </c>
      <c r="H24" s="16" t="str">
        <f t="shared" si="6"/>
        <v/>
      </c>
      <c r="I24" s="16" t="str">
        <f t="shared" si="7"/>
        <v/>
      </c>
      <c r="J24" s="16" t="str">
        <f t="shared" si="8"/>
        <v/>
      </c>
      <c r="K24" s="16" t="str">
        <f t="shared" si="2"/>
        <v/>
      </c>
      <c r="L24" s="29" t="str">
        <f t="shared" si="9"/>
        <v/>
      </c>
    </row>
    <row r="25" spans="1:12" x14ac:dyDescent="0.25">
      <c r="A25" s="8">
        <v>8</v>
      </c>
      <c r="B25" s="24" t="str">
        <f t="shared" si="10"/>
        <v/>
      </c>
      <c r="C25" s="17"/>
      <c r="D25" s="26"/>
      <c r="E25" s="11">
        <f t="shared" si="4"/>
        <v>0</v>
      </c>
      <c r="F25" s="18" t="str">
        <f>IF(C25&lt;&gt;"",F24-D24/20-#REF!-D25/20,"")</f>
        <v/>
      </c>
      <c r="G25" s="16" t="str">
        <f t="shared" si="5"/>
        <v/>
      </c>
      <c r="H25" s="16" t="str">
        <f t="shared" si="6"/>
        <v/>
      </c>
      <c r="I25" s="16" t="str">
        <f t="shared" si="7"/>
        <v/>
      </c>
      <c r="J25" s="16" t="str">
        <f t="shared" si="8"/>
        <v/>
      </c>
      <c r="K25" s="16" t="str">
        <f t="shared" si="2"/>
        <v/>
      </c>
      <c r="L25" s="29" t="str">
        <f t="shared" si="9"/>
        <v/>
      </c>
    </row>
    <row r="26" spans="1:12" x14ac:dyDescent="0.25">
      <c r="A26" s="8">
        <v>9</v>
      </c>
      <c r="B26" s="24" t="str">
        <f t="shared" si="10"/>
        <v/>
      </c>
      <c r="C26" s="17"/>
      <c r="D26" s="26"/>
      <c r="E26" s="11">
        <f t="shared" si="4"/>
        <v>0</v>
      </c>
      <c r="F26" s="18" t="str">
        <f>IF(C26&lt;&gt;"",F25-D25/20-#REF!-D26/20,"")</f>
        <v/>
      </c>
      <c r="G26" s="16" t="str">
        <f t="shared" si="5"/>
        <v/>
      </c>
      <c r="H26" s="16" t="str">
        <f t="shared" si="6"/>
        <v/>
      </c>
      <c r="I26" s="16" t="str">
        <f t="shared" si="7"/>
        <v/>
      </c>
      <c r="J26" s="16" t="str">
        <f t="shared" si="8"/>
        <v/>
      </c>
      <c r="K26" s="16" t="str">
        <f t="shared" si="2"/>
        <v/>
      </c>
      <c r="L26" s="29" t="str">
        <f t="shared" si="9"/>
        <v/>
      </c>
    </row>
    <row r="27" spans="1:12" ht="15.75" thickBot="1" x14ac:dyDescent="0.3">
      <c r="A27" s="8">
        <v>10</v>
      </c>
      <c r="B27" s="24" t="str">
        <f t="shared" si="10"/>
        <v/>
      </c>
      <c r="C27" s="27"/>
      <c r="D27" s="28"/>
      <c r="E27" s="11">
        <f t="shared" si="4"/>
        <v>0</v>
      </c>
      <c r="F27" s="19" t="str">
        <f>IF(C27&lt;&gt;"",F26-D26/20-#REF!-D27/20,"")</f>
        <v/>
      </c>
      <c r="G27" s="16" t="str">
        <f t="shared" si="5"/>
        <v/>
      </c>
      <c r="H27" s="16" t="str">
        <f t="shared" si="6"/>
        <v/>
      </c>
      <c r="I27" s="16" t="str">
        <f t="shared" si="7"/>
        <v/>
      </c>
      <c r="J27" s="16" t="str">
        <f t="shared" si="8"/>
        <v/>
      </c>
      <c r="K27" s="16" t="str">
        <f t="shared" si="2"/>
        <v/>
      </c>
      <c r="L27" s="29" t="str">
        <f t="shared" si="9"/>
        <v/>
      </c>
    </row>
    <row r="28" spans="1:12" ht="16.5" thickBot="1" x14ac:dyDescent="0.3">
      <c r="A28"/>
      <c r="B28">
        <f>SUM(B18:B27)</f>
        <v>6</v>
      </c>
      <c r="E28" s="13">
        <f t="shared" si="4"/>
        <v>0</v>
      </c>
      <c r="I28" s="20" t="s">
        <v>16</v>
      </c>
      <c r="J28" s="21">
        <f>SUM(J18:J27)</f>
        <v>107124.19952931396</v>
      </c>
      <c r="K28" s="22" t="s">
        <v>16</v>
      </c>
      <c r="L28" s="23">
        <f>SUM(L18:L27)</f>
        <v>560235.96610995033</v>
      </c>
    </row>
    <row r="29" spans="1:12" x14ac:dyDescent="0.25">
      <c r="A29"/>
      <c r="B29"/>
    </row>
    <row r="30" spans="1:12" x14ac:dyDescent="0.25">
      <c r="A30"/>
      <c r="B30"/>
      <c r="C30" s="57" t="s">
        <v>29</v>
      </c>
      <c r="D30" s="58"/>
      <c r="E30" s="58"/>
      <c r="F30" s="58"/>
      <c r="G30" s="58"/>
    </row>
    <row r="31" spans="1:12" ht="15.75" x14ac:dyDescent="0.25">
      <c r="C31" s="36" t="s">
        <v>30</v>
      </c>
      <c r="D31">
        <f>ABS(0.003*(G6-F18)/G6)</f>
        <v>4.0666666666666678E-4</v>
      </c>
      <c r="F31" t="str">
        <f>IF((0.003*(G6-F18)/G6)&lt;0,"tracción","compresión")</f>
        <v>compresión</v>
      </c>
    </row>
    <row r="32" spans="1:12" x14ac:dyDescent="0.25">
      <c r="C32" t="s">
        <v>31</v>
      </c>
      <c r="D32">
        <f>IF(D31&lt;0.002,0.75,IF(D31&gt;0.005,0.9,0.75+0.15*(D31-0.002)/(0.005-0.002)))</f>
        <v>0.75</v>
      </c>
    </row>
  </sheetData>
  <mergeCells count="4">
    <mergeCell ref="C2:G2"/>
    <mergeCell ref="C16:D16"/>
    <mergeCell ref="F16:L16"/>
    <mergeCell ref="C30:G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zoomScale="130" zoomScaleNormal="130" workbookViewId="0">
      <selection activeCell="D11" sqref="D11"/>
    </sheetView>
  </sheetViews>
  <sheetFormatPr defaultColWidth="11.42578125" defaultRowHeight="15" x14ac:dyDescent="0.25"/>
  <cols>
    <col min="1" max="1" width="6.7109375" style="1" customWidth="1"/>
    <col min="2" max="2" width="6.7109375" style="1" hidden="1" customWidth="1"/>
    <col min="3" max="3" width="16.42578125" customWidth="1"/>
    <col min="4" max="4" width="12.85546875" customWidth="1"/>
    <col min="5" max="5" width="12.85546875" hidden="1" customWidth="1"/>
    <col min="6" max="6" width="12" customWidth="1"/>
    <col min="7" max="7" width="11.85546875" bestFit="1" customWidth="1"/>
    <col min="10" max="10" width="12.5703125" customWidth="1"/>
    <col min="11" max="11" width="11.85546875" bestFit="1" customWidth="1"/>
    <col min="12" max="12" width="20.140625" customWidth="1"/>
  </cols>
  <sheetData>
    <row r="1" spans="3:12" ht="15.75" thickBot="1" x14ac:dyDescent="0.3"/>
    <row r="2" spans="3:12" ht="15.75" thickBot="1" x14ac:dyDescent="0.3">
      <c r="C2" s="48" t="s">
        <v>0</v>
      </c>
      <c r="D2" s="49"/>
      <c r="E2" s="50"/>
      <c r="F2" s="49"/>
      <c r="G2" s="51"/>
    </row>
    <row r="3" spans="3:12" x14ac:dyDescent="0.25">
      <c r="C3" s="4" t="s">
        <v>2</v>
      </c>
      <c r="D3" s="3">
        <v>210</v>
      </c>
      <c r="E3" s="11"/>
      <c r="F3" s="43" t="s">
        <v>47</v>
      </c>
      <c r="G3" s="38">
        <f>(D7^2)*(D12-SIN(D12)*COS(D12))/4</f>
        <v>405.41958474301651</v>
      </c>
    </row>
    <row r="4" spans="3:12" x14ac:dyDescent="0.25">
      <c r="C4" s="4" t="s">
        <v>1</v>
      </c>
      <c r="D4" s="3">
        <v>4200</v>
      </c>
      <c r="E4" s="11"/>
      <c r="F4" s="2" t="s">
        <v>8</v>
      </c>
      <c r="G4" s="15">
        <f>SUM(E18:E27)</f>
        <v>38.013271108436506</v>
      </c>
    </row>
    <row r="5" spans="3:12" x14ac:dyDescent="0.25">
      <c r="C5" s="5" t="s">
        <v>39</v>
      </c>
      <c r="D5" s="6">
        <v>10</v>
      </c>
      <c r="E5" s="11"/>
    </row>
    <row r="6" spans="3:12" x14ac:dyDescent="0.25">
      <c r="C6" s="5" t="s">
        <v>7</v>
      </c>
      <c r="D6" s="6">
        <v>4</v>
      </c>
      <c r="E6" s="11"/>
      <c r="F6" s="2" t="s">
        <v>10</v>
      </c>
      <c r="G6" s="15">
        <v>16</v>
      </c>
    </row>
    <row r="7" spans="3:12" x14ac:dyDescent="0.25">
      <c r="C7" s="5" t="s">
        <v>40</v>
      </c>
      <c r="D7" s="6">
        <v>45</v>
      </c>
      <c r="E7" s="7"/>
      <c r="F7" s="2" t="s">
        <v>48</v>
      </c>
      <c r="G7" s="3">
        <f>0.85*D3*G3</f>
        <v>72367.395876628449</v>
      </c>
    </row>
    <row r="8" spans="3:12" x14ac:dyDescent="0.25">
      <c r="C8" s="5" t="s">
        <v>41</v>
      </c>
      <c r="D8" s="6">
        <v>22</v>
      </c>
      <c r="E8" s="7"/>
      <c r="F8" s="40" t="s">
        <v>36</v>
      </c>
      <c r="G8" s="41">
        <f>(0.85*D3*(D7^3)*(SIN(D12)^3)/12+L28)/100000</f>
        <v>23.735566731681811</v>
      </c>
      <c r="H8" s="40" t="s">
        <v>38</v>
      </c>
      <c r="I8" s="42">
        <f>G8*D32</f>
        <v>20.523847858301114</v>
      </c>
    </row>
    <row r="9" spans="3:12" x14ac:dyDescent="0.25">
      <c r="C9" s="5" t="s">
        <v>42</v>
      </c>
      <c r="D9" s="6">
        <f>D7/2-D6-D5/10-0.5*D8/10</f>
        <v>16.399999999999999</v>
      </c>
      <c r="E9" s="7"/>
      <c r="F9" s="40" t="s">
        <v>37</v>
      </c>
      <c r="G9" s="41">
        <f>(G7+J28)/(10^3)</f>
        <v>22.450665866019232</v>
      </c>
      <c r="H9" s="40" t="s">
        <v>35</v>
      </c>
      <c r="I9" s="42">
        <f>D32</f>
        <v>0.86468749999999994</v>
      </c>
    </row>
    <row r="10" spans="3:12" x14ac:dyDescent="0.25">
      <c r="C10" s="5" t="s">
        <v>43</v>
      </c>
      <c r="D10" s="6">
        <v>6</v>
      </c>
      <c r="E10" s="7"/>
      <c r="F10" s="13"/>
      <c r="G10" s="47"/>
      <c r="H10" s="13"/>
      <c r="I10" s="39"/>
    </row>
    <row r="11" spans="3:12" x14ac:dyDescent="0.25">
      <c r="C11" s="44" t="s">
        <v>44</v>
      </c>
      <c r="D11" s="6">
        <f>Balanceado!D11</f>
        <v>36</v>
      </c>
      <c r="E11" s="7"/>
      <c r="H11" s="13"/>
      <c r="I11" s="39"/>
      <c r="L11" s="1"/>
    </row>
    <row r="12" spans="3:12" ht="15.75" x14ac:dyDescent="0.25">
      <c r="C12" s="45" t="s">
        <v>46</v>
      </c>
      <c r="D12" s="46">
        <f>ACOS(1-2*0.85*G6/D7)</f>
        <v>1.164123665404466</v>
      </c>
      <c r="E12" s="7"/>
      <c r="F12" s="13"/>
      <c r="G12" s="38"/>
      <c r="H12" s="13"/>
      <c r="I12" s="39"/>
    </row>
    <row r="13" spans="3:12" x14ac:dyDescent="0.25">
      <c r="E13" s="7"/>
      <c r="G13" s="38"/>
      <c r="H13" s="13"/>
      <c r="I13" s="39"/>
      <c r="K13" s="1"/>
      <c r="L13" s="1"/>
    </row>
    <row r="14" spans="3:12" x14ac:dyDescent="0.25">
      <c r="E14" s="7"/>
      <c r="F14" s="13"/>
      <c r="H14" s="13"/>
      <c r="I14" s="39"/>
    </row>
    <row r="15" spans="3:12" ht="15.75" thickBot="1" x14ac:dyDescent="0.3">
      <c r="K15" s="1"/>
      <c r="L15" s="1"/>
    </row>
    <row r="16" spans="3:12" ht="15.75" thickBot="1" x14ac:dyDescent="0.3">
      <c r="C16" s="52" t="s">
        <v>3</v>
      </c>
      <c r="D16" s="53"/>
      <c r="E16" s="37"/>
      <c r="F16" s="54" t="s">
        <v>9</v>
      </c>
      <c r="G16" s="55"/>
      <c r="H16" s="55"/>
      <c r="I16" s="55"/>
      <c r="J16" s="55"/>
      <c r="K16" s="55"/>
      <c r="L16" s="56"/>
    </row>
    <row r="17" spans="1:12" ht="15.75" thickBot="1" x14ac:dyDescent="0.3">
      <c r="A17" s="10" t="s">
        <v>4</v>
      </c>
      <c r="B17" s="24"/>
      <c r="C17" s="30" t="s">
        <v>5</v>
      </c>
      <c r="D17" s="31" t="s">
        <v>6</v>
      </c>
      <c r="E17" s="32"/>
      <c r="F17" s="33" t="s">
        <v>11</v>
      </c>
      <c r="G17" s="34" t="s">
        <v>12</v>
      </c>
      <c r="H17" s="34" t="s">
        <v>13</v>
      </c>
      <c r="I17" s="34" t="s">
        <v>14</v>
      </c>
      <c r="J17" s="34" t="s">
        <v>15</v>
      </c>
      <c r="K17" s="34" t="s">
        <v>17</v>
      </c>
      <c r="L17" s="35" t="s">
        <v>18</v>
      </c>
    </row>
    <row r="18" spans="1:12" x14ac:dyDescent="0.25">
      <c r="A18" s="9">
        <v>1</v>
      </c>
      <c r="B18" s="24">
        <f>IF(C18&lt;&gt;0,1,0)</f>
        <v>1</v>
      </c>
      <c r="C18" s="25">
        <v>1</v>
      </c>
      <c r="D18" s="25">
        <f t="shared" ref="D18:D23" si="0">$D$8</f>
        <v>22</v>
      </c>
      <c r="E18" s="11">
        <f>C18*PI()*((D18/10)^2)/4</f>
        <v>3.8013271108436504</v>
      </c>
      <c r="F18" s="38">
        <f t="shared" ref="F18:F23" si="1">$D$7/2-$D$9*COS(RADIANS($D$11*($D$10-A18)))</f>
        <v>38.9</v>
      </c>
      <c r="G18" s="16">
        <f>IF(C18&lt;&gt;"",C18*PI()*((D18/10)^2)/4,"")</f>
        <v>3.8013271108436504</v>
      </c>
      <c r="H18" s="16">
        <f>IF(C18&lt;&gt;"",6120*($G$6-F18)/$G$6,"")</f>
        <v>-8759.25</v>
      </c>
      <c r="I18" s="16">
        <f>IF(C18&lt;&gt;"",IF(ABS(H18)&lt;=4200,H18,(ABS(H18)/H18)*4200),"")</f>
        <v>-4200</v>
      </c>
      <c r="J18" s="16">
        <f>IF(C18&lt;&gt;"",I18*G18,"")</f>
        <v>-15965.573865543332</v>
      </c>
      <c r="K18" s="16">
        <f t="shared" ref="K18:K27" si="2">IF(C18&lt;&gt;"",$D$7/2-F18,"")</f>
        <v>-16.399999999999999</v>
      </c>
      <c r="L18" s="29">
        <f>IF(C18&lt;&gt;"",K18*J18,"")</f>
        <v>261835.41139491062</v>
      </c>
    </row>
    <row r="19" spans="1:12" x14ac:dyDescent="0.25">
      <c r="A19" s="8">
        <v>2</v>
      </c>
      <c r="B19" s="24">
        <f t="shared" ref="B19:B21" si="3">IF(C19&lt;&gt;0,1,0)</f>
        <v>1</v>
      </c>
      <c r="C19" s="25">
        <v>2</v>
      </c>
      <c r="D19" s="25">
        <f t="shared" si="0"/>
        <v>22</v>
      </c>
      <c r="E19" s="11">
        <f t="shared" ref="E19:E28" si="4">C19*PI()*((D19/10)^2)/4</f>
        <v>7.6026542216873008</v>
      </c>
      <c r="F19" s="38">
        <f t="shared" si="1"/>
        <v>35.767878707749134</v>
      </c>
      <c r="G19" s="16">
        <f t="shared" ref="G19:G27" si="5">IF(C19&lt;&gt;"",C19*PI()*((D19/10)^2)/4,"")</f>
        <v>7.6026542216873008</v>
      </c>
      <c r="H19" s="16">
        <f t="shared" ref="H19:H27" si="6">IF(C19&lt;&gt;"",6120*($G$6-F19)/$G$6,"")</f>
        <v>-7561.2136057140433</v>
      </c>
      <c r="I19" s="16">
        <f t="shared" ref="I19:I27" si="7">IF(C19&lt;&gt;"",IF(ABS(H19)&lt;=4200,H19,(ABS(H19)/H19)*4200),"")</f>
        <v>-4200</v>
      </c>
      <c r="J19" s="16">
        <f t="shared" ref="J19:J27" si="8">IF(C19&lt;&gt;"",I19*G19,"")</f>
        <v>-31931.147731086665</v>
      </c>
      <c r="K19" s="16">
        <f t="shared" si="2"/>
        <v>-13.267878707749134</v>
      </c>
      <c r="L19" s="29">
        <f t="shared" ref="L19:L27" si="9">IF(C19&lt;&gt;"",K19*J19,"")</f>
        <v>423658.59509527683</v>
      </c>
    </row>
    <row r="20" spans="1:12" x14ac:dyDescent="0.25">
      <c r="A20" s="8">
        <v>3</v>
      </c>
      <c r="B20" s="24">
        <f t="shared" si="3"/>
        <v>1</v>
      </c>
      <c r="C20" s="25">
        <v>2</v>
      </c>
      <c r="D20" s="25">
        <f t="shared" si="0"/>
        <v>22</v>
      </c>
      <c r="E20" s="11">
        <f t="shared" si="4"/>
        <v>7.6026542216873008</v>
      </c>
      <c r="F20" s="38">
        <f t="shared" si="1"/>
        <v>27.567878707749138</v>
      </c>
      <c r="G20" s="16">
        <f t="shared" si="5"/>
        <v>7.6026542216873008</v>
      </c>
      <c r="H20" s="16">
        <f t="shared" si="6"/>
        <v>-4424.7136057140451</v>
      </c>
      <c r="I20" s="16">
        <f t="shared" si="7"/>
        <v>-4200</v>
      </c>
      <c r="J20" s="16">
        <f t="shared" si="8"/>
        <v>-31931.147731086665</v>
      </c>
      <c r="K20" s="16">
        <f t="shared" si="2"/>
        <v>-5.0678787077491378</v>
      </c>
      <c r="L20" s="29">
        <f t="shared" si="9"/>
        <v>161823.18370036629</v>
      </c>
    </row>
    <row r="21" spans="1:12" x14ac:dyDescent="0.25">
      <c r="A21" s="8">
        <v>4</v>
      </c>
      <c r="B21" s="24">
        <f t="shared" si="3"/>
        <v>1</v>
      </c>
      <c r="C21" s="25">
        <v>2</v>
      </c>
      <c r="D21" s="25">
        <f t="shared" si="0"/>
        <v>22</v>
      </c>
      <c r="E21" s="11">
        <f t="shared" si="4"/>
        <v>7.6026542216873008</v>
      </c>
      <c r="F21" s="38">
        <f t="shared" si="1"/>
        <v>17.432121292250862</v>
      </c>
      <c r="G21" s="16">
        <f t="shared" si="5"/>
        <v>7.6026542216873008</v>
      </c>
      <c r="H21" s="16">
        <f t="shared" si="6"/>
        <v>-547.78639428595477</v>
      </c>
      <c r="I21" s="16">
        <f t="shared" si="7"/>
        <v>-547.78639428595477</v>
      </c>
      <c r="J21" s="16">
        <f t="shared" si="8"/>
        <v>-4164.6305431009787</v>
      </c>
      <c r="K21" s="16">
        <f t="shared" si="2"/>
        <v>5.0678787077491378</v>
      </c>
      <c r="L21" s="29">
        <f t="shared" si="9"/>
        <v>-21105.842455023179</v>
      </c>
    </row>
    <row r="22" spans="1:12" x14ac:dyDescent="0.25">
      <c r="A22" s="8">
        <v>5</v>
      </c>
      <c r="B22" s="24">
        <f>IF(C22&lt;&gt;"",1,"")</f>
        <v>1</v>
      </c>
      <c r="C22" s="17">
        <v>2</v>
      </c>
      <c r="D22" s="25">
        <f t="shared" si="0"/>
        <v>22</v>
      </c>
      <c r="E22" s="11">
        <f t="shared" si="4"/>
        <v>7.6026542216873008</v>
      </c>
      <c r="F22" s="38">
        <f t="shared" si="1"/>
        <v>9.2321212922508629</v>
      </c>
      <c r="G22" s="16">
        <f t="shared" si="5"/>
        <v>7.6026542216873008</v>
      </c>
      <c r="H22" s="16">
        <f t="shared" si="6"/>
        <v>2588.7136057140451</v>
      </c>
      <c r="I22" s="16">
        <f t="shared" si="7"/>
        <v>2588.7136057140451</v>
      </c>
      <c r="J22" s="16">
        <f t="shared" si="8"/>
        <v>19681.094423221239</v>
      </c>
      <c r="K22" s="16">
        <f t="shared" si="2"/>
        <v>13.267878707749137</v>
      </c>
      <c r="L22" s="29">
        <f t="shared" si="9"/>
        <v>261126.37364305736</v>
      </c>
    </row>
    <row r="23" spans="1:12" x14ac:dyDescent="0.25">
      <c r="A23" s="8">
        <v>6</v>
      </c>
      <c r="B23" s="24">
        <f t="shared" ref="B23:B27" si="10">IF(C23&lt;&gt;"",1,"")</f>
        <v>1</v>
      </c>
      <c r="C23" s="17">
        <v>1</v>
      </c>
      <c r="D23" s="25">
        <f t="shared" si="0"/>
        <v>22</v>
      </c>
      <c r="E23" s="11">
        <f t="shared" si="4"/>
        <v>3.8013271108436504</v>
      </c>
      <c r="F23" s="38">
        <f t="shared" si="1"/>
        <v>6.1000000000000014</v>
      </c>
      <c r="G23" s="16">
        <f t="shared" si="5"/>
        <v>3.8013271108436504</v>
      </c>
      <c r="H23" s="16">
        <f t="shared" si="6"/>
        <v>3786.7499999999995</v>
      </c>
      <c r="I23" s="16">
        <f t="shared" si="7"/>
        <v>3786.7499999999995</v>
      </c>
      <c r="J23" s="16">
        <f t="shared" si="8"/>
        <v>14394.675436987191</v>
      </c>
      <c r="K23" s="16">
        <f t="shared" si="2"/>
        <v>16.399999999999999</v>
      </c>
      <c r="L23" s="29">
        <f t="shared" si="9"/>
        <v>236072.67716658991</v>
      </c>
    </row>
    <row r="24" spans="1:12" x14ac:dyDescent="0.25">
      <c r="A24" s="8">
        <v>7</v>
      </c>
      <c r="B24" s="24" t="str">
        <f t="shared" si="10"/>
        <v/>
      </c>
      <c r="C24" s="17"/>
      <c r="D24" s="26"/>
      <c r="E24" s="11">
        <f t="shared" si="4"/>
        <v>0</v>
      </c>
      <c r="F24" s="18" t="str">
        <f>IF(C24&lt;&gt;"",F23-D23/20-#REF!-D24/20,"")</f>
        <v/>
      </c>
      <c r="G24" s="16" t="str">
        <f t="shared" si="5"/>
        <v/>
      </c>
      <c r="H24" s="16" t="str">
        <f t="shared" si="6"/>
        <v/>
      </c>
      <c r="I24" s="16" t="str">
        <f t="shared" si="7"/>
        <v/>
      </c>
      <c r="J24" s="16" t="str">
        <f t="shared" si="8"/>
        <v/>
      </c>
      <c r="K24" s="16" t="str">
        <f t="shared" si="2"/>
        <v/>
      </c>
      <c r="L24" s="29" t="str">
        <f t="shared" si="9"/>
        <v/>
      </c>
    </row>
    <row r="25" spans="1:12" x14ac:dyDescent="0.25">
      <c r="A25" s="8">
        <v>8</v>
      </c>
      <c r="B25" s="24" t="str">
        <f t="shared" si="10"/>
        <v/>
      </c>
      <c r="C25" s="17"/>
      <c r="D25" s="26"/>
      <c r="E25" s="11">
        <f t="shared" si="4"/>
        <v>0</v>
      </c>
      <c r="F25" s="18" t="str">
        <f>IF(C25&lt;&gt;"",F24-D24/20-#REF!-D25/20,"")</f>
        <v/>
      </c>
      <c r="G25" s="16" t="str">
        <f t="shared" si="5"/>
        <v/>
      </c>
      <c r="H25" s="16" t="str">
        <f t="shared" si="6"/>
        <v/>
      </c>
      <c r="I25" s="16" t="str">
        <f t="shared" si="7"/>
        <v/>
      </c>
      <c r="J25" s="16" t="str">
        <f t="shared" si="8"/>
        <v/>
      </c>
      <c r="K25" s="16" t="str">
        <f t="shared" si="2"/>
        <v/>
      </c>
      <c r="L25" s="29" t="str">
        <f t="shared" si="9"/>
        <v/>
      </c>
    </row>
    <row r="26" spans="1:12" x14ac:dyDescent="0.25">
      <c r="A26" s="8">
        <v>9</v>
      </c>
      <c r="B26" s="24" t="str">
        <f t="shared" si="10"/>
        <v/>
      </c>
      <c r="C26" s="17"/>
      <c r="D26" s="26"/>
      <c r="E26" s="11">
        <f t="shared" si="4"/>
        <v>0</v>
      </c>
      <c r="F26" s="18" t="str">
        <f>IF(C26&lt;&gt;"",F25-D25/20-#REF!-D26/20,"")</f>
        <v/>
      </c>
      <c r="G26" s="16" t="str">
        <f t="shared" si="5"/>
        <v/>
      </c>
      <c r="H26" s="16" t="str">
        <f t="shared" si="6"/>
        <v/>
      </c>
      <c r="I26" s="16" t="str">
        <f t="shared" si="7"/>
        <v/>
      </c>
      <c r="J26" s="16" t="str">
        <f t="shared" si="8"/>
        <v/>
      </c>
      <c r="K26" s="16" t="str">
        <f t="shared" si="2"/>
        <v/>
      </c>
      <c r="L26" s="29" t="str">
        <f t="shared" si="9"/>
        <v/>
      </c>
    </row>
    <row r="27" spans="1:12" ht="15.75" thickBot="1" x14ac:dyDescent="0.3">
      <c r="A27" s="8">
        <v>10</v>
      </c>
      <c r="B27" s="24" t="str">
        <f t="shared" si="10"/>
        <v/>
      </c>
      <c r="C27" s="27"/>
      <c r="D27" s="28"/>
      <c r="E27" s="11">
        <f t="shared" si="4"/>
        <v>0</v>
      </c>
      <c r="F27" s="19" t="str">
        <f>IF(C27&lt;&gt;"",F26-D26/20-#REF!-D27/20,"")</f>
        <v/>
      </c>
      <c r="G27" s="16" t="str">
        <f t="shared" si="5"/>
        <v/>
      </c>
      <c r="H27" s="16" t="str">
        <f t="shared" si="6"/>
        <v/>
      </c>
      <c r="I27" s="16" t="str">
        <f t="shared" si="7"/>
        <v/>
      </c>
      <c r="J27" s="16" t="str">
        <f t="shared" si="8"/>
        <v/>
      </c>
      <c r="K27" s="16" t="str">
        <f t="shared" si="2"/>
        <v/>
      </c>
      <c r="L27" s="29" t="str">
        <f t="shared" si="9"/>
        <v/>
      </c>
    </row>
    <row r="28" spans="1:12" ht="16.5" thickBot="1" x14ac:dyDescent="0.3">
      <c r="A28"/>
      <c r="B28">
        <f>SUM(B18:B27)</f>
        <v>6</v>
      </c>
      <c r="E28" s="13">
        <f t="shared" si="4"/>
        <v>0</v>
      </c>
      <c r="I28" s="20" t="s">
        <v>16</v>
      </c>
      <c r="J28" s="21">
        <f>SUM(J18:J27)</f>
        <v>-49916.730010609215</v>
      </c>
      <c r="K28" s="22" t="s">
        <v>16</v>
      </c>
      <c r="L28" s="23">
        <f>SUM(L18:L27)</f>
        <v>1323410.3985451779</v>
      </c>
    </row>
    <row r="29" spans="1:12" x14ac:dyDescent="0.25">
      <c r="A29"/>
      <c r="B29"/>
    </row>
    <row r="30" spans="1:12" x14ac:dyDescent="0.25">
      <c r="A30"/>
      <c r="B30"/>
      <c r="C30" s="57" t="s">
        <v>29</v>
      </c>
      <c r="D30" s="58"/>
      <c r="E30" s="58"/>
      <c r="F30" s="58"/>
      <c r="G30" s="58"/>
    </row>
    <row r="31" spans="1:12" ht="15.75" x14ac:dyDescent="0.25">
      <c r="C31" s="36" t="s">
        <v>30</v>
      </c>
      <c r="D31">
        <f>ABS(0.003*(G6-F18)/G6)</f>
        <v>4.2937499999999998E-3</v>
      </c>
      <c r="F31" t="str">
        <f>IF((0.003*(G6-F18)/G6)&lt;0,"tracción","compresión")</f>
        <v>tracción</v>
      </c>
    </row>
    <row r="32" spans="1:12" x14ac:dyDescent="0.25">
      <c r="C32" t="s">
        <v>31</v>
      </c>
      <c r="D32">
        <f>IF(D31&lt;0.002,0.75,IF(D31&gt;0.005,0.9,0.75+0.15*(D31-0.002)/(0.005-0.002)))</f>
        <v>0.86468749999999994</v>
      </c>
    </row>
  </sheetData>
  <mergeCells count="4">
    <mergeCell ref="C2:G2"/>
    <mergeCell ref="C16:D16"/>
    <mergeCell ref="F16:L16"/>
    <mergeCell ref="C30:G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R11"/>
  <sheetViews>
    <sheetView zoomScale="115" zoomScaleNormal="115" workbookViewId="0">
      <selection activeCell="E11" sqref="E11"/>
    </sheetView>
  </sheetViews>
  <sheetFormatPr defaultColWidth="11.42578125" defaultRowHeight="15" x14ac:dyDescent="0.25"/>
  <sheetData>
    <row r="3" spans="2:18" x14ac:dyDescent="0.25">
      <c r="C3" t="s">
        <v>19</v>
      </c>
      <c r="D3" t="s">
        <v>20</v>
      </c>
      <c r="E3" t="s">
        <v>31</v>
      </c>
      <c r="F3" t="s">
        <v>33</v>
      </c>
      <c r="G3" t="s">
        <v>34</v>
      </c>
    </row>
    <row r="4" spans="2:18" x14ac:dyDescent="0.25">
      <c r="B4" t="s">
        <v>21</v>
      </c>
      <c r="C4" s="14">
        <f>Balanceado!G8</f>
        <v>26.594296720519996</v>
      </c>
      <c r="D4" s="14">
        <f>Balanceado!G9</f>
        <v>123.3700159999253</v>
      </c>
      <c r="E4" s="14">
        <f>Balanceado!D32</f>
        <v>0.75294117647058822</v>
      </c>
      <c r="F4" s="14">
        <f>E4*C4</f>
        <v>20.023941060156233</v>
      </c>
      <c r="G4" s="14">
        <f>E4*D4</f>
        <v>92.890364988179044</v>
      </c>
      <c r="R4" t="s">
        <v>32</v>
      </c>
    </row>
    <row r="5" spans="2:18" x14ac:dyDescent="0.25">
      <c r="B5" t="s">
        <v>22</v>
      </c>
      <c r="C5" s="14">
        <f>pmaxc!G8</f>
        <v>14.950189894619236</v>
      </c>
      <c r="D5" s="14">
        <f>pmaxc!G9</f>
        <v>327.6107205196052</v>
      </c>
      <c r="E5" s="14">
        <f>pmaxc!D32</f>
        <v>0.75</v>
      </c>
      <c r="F5" s="14">
        <f t="shared" ref="F5:F11" si="0">E5*C5</f>
        <v>11.212642420964427</v>
      </c>
      <c r="G5" s="14">
        <f t="shared" ref="G5:G11" si="1">E5*D5</f>
        <v>245.70804038970391</v>
      </c>
    </row>
    <row r="6" spans="2:18" x14ac:dyDescent="0.25">
      <c r="B6" t="s">
        <v>23</v>
      </c>
      <c r="C6" s="14">
        <f>m0c!G8</f>
        <v>21.652771123092243</v>
      </c>
      <c r="D6" s="14">
        <f>m0c!G9</f>
        <v>-0.11446663095753319</v>
      </c>
      <c r="E6" s="14">
        <f>m0c!D32</f>
        <v>0.9</v>
      </c>
      <c r="F6" s="14">
        <f t="shared" si="0"/>
        <v>19.487494010783021</v>
      </c>
      <c r="G6" s="14">
        <f t="shared" si="1"/>
        <v>-0.10301996786177987</v>
      </c>
    </row>
    <row r="7" spans="2:18" x14ac:dyDescent="0.25">
      <c r="B7" t="s">
        <v>24</v>
      </c>
      <c r="C7" s="14">
        <f>p1c!G8</f>
        <v>25.740349974259537</v>
      </c>
      <c r="D7" s="14">
        <f>p1c!G9</f>
        <v>153.55255375651583</v>
      </c>
      <c r="E7" s="14">
        <f>p1c!D32</f>
        <v>0.75</v>
      </c>
      <c r="F7" s="14">
        <f t="shared" si="0"/>
        <v>19.305262480694651</v>
      </c>
      <c r="G7" s="14">
        <f t="shared" si="1"/>
        <v>115.16441531738687</v>
      </c>
    </row>
    <row r="8" spans="2:18" x14ac:dyDescent="0.25">
      <c r="B8" t="s">
        <v>25</v>
      </c>
      <c r="C8" s="14">
        <f>'p2c '!G8</f>
        <v>19.597958339383815</v>
      </c>
      <c r="D8" s="14">
        <f>'p2c '!G9</f>
        <v>276.67566129866753</v>
      </c>
      <c r="E8" s="14">
        <f>'p2c '!D32</f>
        <v>0.75</v>
      </c>
      <c r="F8" s="14">
        <f t="shared" si="0"/>
        <v>14.698468754537862</v>
      </c>
      <c r="G8" s="14">
        <f t="shared" si="1"/>
        <v>207.50674597400064</v>
      </c>
    </row>
    <row r="9" spans="2:18" x14ac:dyDescent="0.25">
      <c r="B9" t="s">
        <v>26</v>
      </c>
      <c r="C9" s="14">
        <f>p3c!G8</f>
        <v>10.539207932635525</v>
      </c>
      <c r="D9" s="14">
        <f>p3c!G9</f>
        <v>364.31324578616812</v>
      </c>
      <c r="E9" s="14">
        <f>p3c!D32</f>
        <v>0.75</v>
      </c>
      <c r="F9" s="14">
        <f t="shared" si="0"/>
        <v>7.9044059494766437</v>
      </c>
      <c r="G9" s="14">
        <f t="shared" si="1"/>
        <v>273.23493433962608</v>
      </c>
    </row>
    <row r="10" spans="2:18" x14ac:dyDescent="0.25">
      <c r="B10" t="s">
        <v>27</v>
      </c>
      <c r="C10" s="14">
        <f>p4c!G8</f>
        <v>23.735566731681811</v>
      </c>
      <c r="D10" s="14">
        <f>p4c!G9</f>
        <v>22.450665866019232</v>
      </c>
      <c r="E10" s="14">
        <f>p4c!D32</f>
        <v>0.86468749999999994</v>
      </c>
      <c r="F10" s="14">
        <f t="shared" si="0"/>
        <v>20.523847858301114</v>
      </c>
      <c r="G10" s="14">
        <f t="shared" si="1"/>
        <v>19.412810141023503</v>
      </c>
    </row>
    <row r="11" spans="2:18" x14ac:dyDescent="0.25">
      <c r="B11" t="s">
        <v>28</v>
      </c>
      <c r="C11">
        <v>0</v>
      </c>
      <c r="D11" s="14">
        <f>D5</f>
        <v>327.6107205196052</v>
      </c>
      <c r="E11" s="14">
        <f>E5</f>
        <v>0.75</v>
      </c>
      <c r="F11" s="14">
        <f t="shared" si="0"/>
        <v>0</v>
      </c>
      <c r="G11" s="14">
        <f t="shared" si="1"/>
        <v>245.70804038970391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Balanceado</vt:lpstr>
      <vt:lpstr>pmaxc</vt:lpstr>
      <vt:lpstr>m0c</vt:lpstr>
      <vt:lpstr>p1c</vt:lpstr>
      <vt:lpstr>p2c </vt:lpstr>
      <vt:lpstr>p3c</vt:lpstr>
      <vt:lpstr>p4c</vt:lpstr>
      <vt:lpstr>diagramas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2018-04-13T01:27:27Z</dcterms:created>
  <dcterms:modified xsi:type="dcterms:W3CDTF">2023-04-16T23:53:16Z</dcterms:modified>
</cp:coreProperties>
</file>