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repositorio GC\EXCEL hormigon\"/>
    </mc:Choice>
  </mc:AlternateContent>
  <xr:revisionPtr revIDLastSave="0" documentId="13_ncr:1_{4657E446-5C76-44FD-93DC-C2C983ADA1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nalysis, dev. length" sheetId="1" r:id="rId1"/>
    <sheet name="Hoja2" sheetId="2" state="hidden" r:id="rId2"/>
    <sheet name="Hoja3" sheetId="3" state="hidden" r:id="rId3"/>
  </sheets>
  <calcPr calcId="181029"/>
</workbook>
</file>

<file path=xl/calcChain.xml><?xml version="1.0" encoding="utf-8"?>
<calcChain xmlns="http://schemas.openxmlformats.org/spreadsheetml/2006/main">
  <c r="U8" i="1" l="1"/>
  <c r="U9" i="1"/>
  <c r="U10" i="1"/>
  <c r="U11" i="1"/>
  <c r="U12" i="1"/>
  <c r="U13" i="1"/>
  <c r="U14" i="1"/>
  <c r="U15" i="1"/>
  <c r="U16" i="1"/>
  <c r="U17" i="1"/>
  <c r="U18" i="1"/>
  <c r="W23" i="1"/>
  <c r="Y16" i="1" s="1"/>
  <c r="W22" i="1"/>
  <c r="W21" i="1"/>
  <c r="Z3" i="1"/>
  <c r="K26" i="1"/>
  <c r="K35" i="1"/>
  <c r="Y14" i="1" l="1"/>
  <c r="Y13" i="1"/>
  <c r="Y12" i="1"/>
  <c r="Y8" i="1"/>
  <c r="Y11" i="1"/>
  <c r="Y15" i="1"/>
  <c r="Y18" i="1"/>
  <c r="Y10" i="1"/>
  <c r="Y17" i="1"/>
  <c r="Y9" i="1"/>
  <c r="F10" i="1"/>
  <c r="G9" i="1"/>
  <c r="F9" i="1" s="1"/>
  <c r="G10" i="1"/>
  <c r="G11" i="1"/>
  <c r="F11" i="1" s="1"/>
  <c r="G12" i="1"/>
  <c r="F12" i="1" s="1"/>
  <c r="G13" i="1"/>
  <c r="F13" i="1" s="1"/>
  <c r="G14" i="1"/>
  <c r="F14" i="1" s="1"/>
  <c r="G15" i="1"/>
  <c r="F15" i="1" s="1"/>
  <c r="G16" i="1"/>
  <c r="F16" i="1" s="1"/>
  <c r="G17" i="1"/>
  <c r="F17" i="1" s="1"/>
  <c r="G18" i="1"/>
  <c r="F18" i="1" s="1"/>
  <c r="G8" i="1"/>
  <c r="F8" i="1" s="1"/>
  <c r="E19" i="1"/>
  <c r="Z4" i="1" s="1"/>
  <c r="C23" i="1"/>
  <c r="C24" i="1" s="1"/>
  <c r="C25" i="1" s="1"/>
  <c r="F19" i="1" l="1"/>
  <c r="I22" i="1" s="1"/>
  <c r="K28" i="1" l="1"/>
  <c r="K29" i="1"/>
  <c r="K27" i="1"/>
  <c r="U24" i="1" s="1"/>
  <c r="N14" i="1"/>
  <c r="J13" i="1"/>
  <c r="J14" i="1"/>
  <c r="J15" i="1"/>
  <c r="J16" i="1"/>
  <c r="J17" i="1"/>
  <c r="J18" i="1"/>
  <c r="J8" i="1"/>
  <c r="J9" i="1"/>
  <c r="J10" i="1"/>
  <c r="J11" i="1"/>
  <c r="J12" i="1"/>
  <c r="K9" i="1"/>
  <c r="K10" i="1"/>
  <c r="K11" i="1"/>
  <c r="K12" i="1"/>
  <c r="K13" i="1"/>
  <c r="K14" i="1"/>
  <c r="K15" i="1"/>
  <c r="K16" i="1"/>
  <c r="K17" i="1"/>
  <c r="K18" i="1"/>
  <c r="K8" i="1"/>
  <c r="V12" i="1" l="1"/>
  <c r="V13" i="1"/>
  <c r="V11" i="1"/>
  <c r="V14" i="1"/>
  <c r="V15" i="1"/>
  <c r="V8" i="1"/>
  <c r="V16" i="1"/>
  <c r="V9" i="1"/>
  <c r="V17" i="1"/>
  <c r="V10" i="1"/>
  <c r="V18" i="1"/>
  <c r="C13" i="1"/>
  <c r="K19" i="1"/>
  <c r="X16" i="1" l="1"/>
  <c r="X18" i="1"/>
  <c r="X11" i="1"/>
  <c r="X8" i="1"/>
  <c r="X9" i="1"/>
  <c r="X17" i="1"/>
  <c r="X12" i="1"/>
  <c r="X13" i="1"/>
  <c r="X10" i="1"/>
  <c r="X14" i="1"/>
  <c r="X15" i="1"/>
  <c r="C20" i="1"/>
  <c r="I23" i="1"/>
  <c r="N15" i="1" s="1"/>
  <c r="C21" i="1" l="1"/>
  <c r="O10" i="1" s="1"/>
</calcChain>
</file>

<file path=xl/sharedStrings.xml><?xml version="1.0" encoding="utf-8"?>
<sst xmlns="http://schemas.openxmlformats.org/spreadsheetml/2006/main" count="77" uniqueCount="46">
  <si>
    <t>b</t>
  </si>
  <si>
    <t>h</t>
  </si>
  <si>
    <t>estribo</t>
  </si>
  <si>
    <t>recubrimiento</t>
  </si>
  <si>
    <t>f´c</t>
  </si>
  <si>
    <t>fy</t>
  </si>
  <si>
    <t>d</t>
  </si>
  <si>
    <t>varillas longitudinales a tensión</t>
  </si>
  <si>
    <t>#varillas</t>
  </si>
  <si>
    <t>diametro</t>
  </si>
  <si>
    <t>cm</t>
  </si>
  <si>
    <t>mm</t>
  </si>
  <si>
    <t>kg/cm2</t>
  </si>
  <si>
    <t>p</t>
  </si>
  <si>
    <t>k</t>
  </si>
  <si>
    <t>ØMn</t>
  </si>
  <si>
    <t>pbal</t>
  </si>
  <si>
    <t>0,5pbal</t>
  </si>
  <si>
    <t>kn</t>
  </si>
  <si>
    <t>espaciamiento minimo en una capa</t>
  </si>
  <si>
    <t>acero minimo</t>
  </si>
  <si>
    <t>numero total varillas</t>
  </si>
  <si>
    <t>espaciamiento</t>
  </si>
  <si>
    <t>acero provisto</t>
  </si>
  <si>
    <t>l. desarrollo</t>
  </si>
  <si>
    <t>gancho</t>
  </si>
  <si>
    <t>varilla superior</t>
  </si>
  <si>
    <t>prot. Epoxica</t>
  </si>
  <si>
    <t>hormigon normal</t>
  </si>
  <si>
    <t>cb</t>
  </si>
  <si>
    <t>distribucion varillas</t>
  </si>
  <si>
    <t>varillas</t>
  </si>
  <si>
    <t>ktr</t>
  </si>
  <si>
    <t>varilla final</t>
  </si>
  <si>
    <t>no</t>
  </si>
  <si>
    <t>si</t>
  </si>
  <si>
    <t># varillas corte transversal</t>
  </si>
  <si>
    <t>numero de varillas en la capa</t>
  </si>
  <si>
    <t>atr (cm2)</t>
  </si>
  <si>
    <t>espaciamiento entre estribos (cm)</t>
  </si>
  <si>
    <t>(cb+ktr)/db</t>
  </si>
  <si>
    <t>Ψt</t>
  </si>
  <si>
    <t>Ψe</t>
  </si>
  <si>
    <t>1,5 para varillas con epoxi especial</t>
  </si>
  <si>
    <t> λ</t>
  </si>
  <si>
    <t>Ψs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</si>
</sst>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Georgia"/>
      <family val="1"/>
    </font>
    <font>
      <sz val="11"/>
      <color rgb="FF222222"/>
      <name val="Arial"/>
      <family val="2"/>
    </font>
    <font>
      <sz val="11"/>
      <color rgb="FF006100"/>
      <name val="Calibri"/>
      <family val="2"/>
      <scheme val="minor"/>
    </font>
    <font>
      <sz val="18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4" xfId="0" applyFill="1" applyBorder="1"/>
    <xf numFmtId="0" fontId="0" fillId="0" borderId="1" xfId="0" applyFill="1" applyBorder="1"/>
    <xf numFmtId="164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5" xfId="0" applyFont="1" applyBorder="1" applyAlignment="1">
      <alignment vertical="center" wrapText="1"/>
    </xf>
    <xf numFmtId="0" fontId="2" fillId="0" borderId="0" xfId="0" applyFont="1"/>
    <xf numFmtId="0" fontId="0" fillId="0" borderId="0" xfId="0" applyFill="1" applyBorder="1"/>
    <xf numFmtId="0" fontId="4" fillId="2" borderId="0" xfId="1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 textRotation="135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35"/>
  <sheetViews>
    <sheetView tabSelected="1" topLeftCell="K1" workbookViewId="0">
      <selection activeCell="Y18" sqref="Y18"/>
    </sheetView>
  </sheetViews>
  <sheetFormatPr defaultColWidth="11.42578125" defaultRowHeight="15" x14ac:dyDescent="0.25"/>
  <cols>
    <col min="2" max="3" width="13.140625" customWidth="1"/>
    <col min="5" max="5" width="15.85546875" customWidth="1"/>
    <col min="6" max="7" width="0" hidden="1" customWidth="1"/>
    <col min="8" max="8" width="20" customWidth="1"/>
    <col min="9" max="9" width="11.85546875" bestFit="1" customWidth="1"/>
    <col min="10" max="10" width="11.42578125" hidden="1" customWidth="1"/>
    <col min="12" max="12" width="15" customWidth="1"/>
    <col min="20" max="23" width="20.140625" customWidth="1"/>
    <col min="25" max="25" width="31.42578125" customWidth="1"/>
  </cols>
  <sheetData>
    <row r="2" spans="2:26" x14ac:dyDescent="0.25">
      <c r="Y2" t="s">
        <v>36</v>
      </c>
      <c r="Z2">
        <v>2</v>
      </c>
    </row>
    <row r="3" spans="2:26" x14ac:dyDescent="0.25">
      <c r="Y3" t="s">
        <v>38</v>
      </c>
      <c r="Z3">
        <f>((C9/10)^2/4)*PI()*Z2</f>
        <v>1.5707963267948966</v>
      </c>
    </row>
    <row r="4" spans="2:26" x14ac:dyDescent="0.25">
      <c r="Y4" t="s">
        <v>37</v>
      </c>
      <c r="Z4">
        <f>E19</f>
        <v>4</v>
      </c>
    </row>
    <row r="5" spans="2:26" x14ac:dyDescent="0.25">
      <c r="Y5" t="s">
        <v>39</v>
      </c>
    </row>
    <row r="6" spans="2:26" x14ac:dyDescent="0.25">
      <c r="E6" t="s">
        <v>7</v>
      </c>
    </row>
    <row r="7" spans="2:26" ht="15.75" thickBot="1" x14ac:dyDescent="0.3">
      <c r="B7" t="s">
        <v>0</v>
      </c>
      <c r="C7">
        <v>40</v>
      </c>
      <c r="D7" t="s">
        <v>10</v>
      </c>
      <c r="E7" t="s">
        <v>8</v>
      </c>
      <c r="H7" s="11" t="s">
        <v>9</v>
      </c>
      <c r="I7" s="12"/>
      <c r="J7" t="s">
        <v>6</v>
      </c>
      <c r="S7" s="11" t="s">
        <v>9</v>
      </c>
      <c r="T7" s="12"/>
      <c r="U7" s="5" t="s">
        <v>32</v>
      </c>
      <c r="V7" s="5" t="s">
        <v>40</v>
      </c>
      <c r="W7" s="7" t="s">
        <v>45</v>
      </c>
      <c r="X7" t="s">
        <v>24</v>
      </c>
      <c r="Y7" t="s">
        <v>25</v>
      </c>
    </row>
    <row r="8" spans="2:26" x14ac:dyDescent="0.25">
      <c r="B8" t="s">
        <v>1</v>
      </c>
      <c r="C8">
        <v>60</v>
      </c>
      <c r="D8" t="s">
        <v>10</v>
      </c>
      <c r="E8">
        <v>0</v>
      </c>
      <c r="F8">
        <f>E8*G8</f>
        <v>0</v>
      </c>
      <c r="G8">
        <f>H8/10</f>
        <v>0.8</v>
      </c>
      <c r="H8" s="1">
        <v>8</v>
      </c>
      <c r="I8" s="1" t="s">
        <v>11</v>
      </c>
      <c r="J8">
        <f t="shared" ref="J8:J18" si="0">IF(E8&lt;&gt;0,$C$8-H8/20-$C$10-$C$9/10,1000000)</f>
        <v>1000000</v>
      </c>
      <c r="K8">
        <f>E8*PI()*((H8/10)^2)/4</f>
        <v>0</v>
      </c>
      <c r="S8" s="1">
        <v>8</v>
      </c>
      <c r="T8" s="1" t="s">
        <v>11</v>
      </c>
      <c r="U8" s="6">
        <f t="shared" ref="U8:U17" si="1">IF($Z$5="",0,$Z$3*$C$12/(105*$Z$4*$Z$5))</f>
        <v>0</v>
      </c>
      <c r="V8" s="6">
        <f t="shared" ref="V8:V17" si="2">IF((($U$24+U8)/(S8/10))&gt;=2.5,2.5,(($U$24+U8)/(S8/10)))</f>
        <v>2.5</v>
      </c>
      <c r="W8" s="6">
        <v>0.8</v>
      </c>
      <c r="X8">
        <f>(S8/10)*$C$12*W8*$W$21*$W$22/(3.5*$W$23*SQRT($C$11)*V8)</f>
        <v>21.198813982997127</v>
      </c>
      <c r="Y8">
        <f>$C$12*(S8/10)/(17*$W$23*SQRT($C$11))</f>
        <v>13.638942819943001</v>
      </c>
    </row>
    <row r="9" spans="2:26" x14ac:dyDescent="0.25">
      <c r="B9" t="s">
        <v>2</v>
      </c>
      <c r="C9">
        <v>10</v>
      </c>
      <c r="D9" t="s">
        <v>11</v>
      </c>
      <c r="E9">
        <v>0</v>
      </c>
      <c r="F9">
        <f t="shared" ref="F9:F18" si="3">E9*G9</f>
        <v>0</v>
      </c>
      <c r="G9">
        <f t="shared" ref="G9:G18" si="4">H9/10</f>
        <v>1</v>
      </c>
      <c r="H9" s="1">
        <v>10</v>
      </c>
      <c r="I9" s="1" t="s">
        <v>11</v>
      </c>
      <c r="J9">
        <f t="shared" si="0"/>
        <v>1000000</v>
      </c>
      <c r="K9">
        <f t="shared" ref="K9:K18" si="5">E9*PI()*((H9/10)^2)/4</f>
        <v>0</v>
      </c>
      <c r="S9" s="1">
        <v>10</v>
      </c>
      <c r="T9" s="1" t="s">
        <v>11</v>
      </c>
      <c r="U9" s="6">
        <f t="shared" si="1"/>
        <v>0</v>
      </c>
      <c r="V9" s="6">
        <f t="shared" si="2"/>
        <v>2.5</v>
      </c>
      <c r="W9" s="6">
        <v>0.8</v>
      </c>
      <c r="X9">
        <f>(S9/10)*$C$12*W9*$W$21*$W$22/(3.5*SQRT($C$11)*V9)</f>
        <v>26.498517478746408</v>
      </c>
      <c r="Y9">
        <f t="shared" ref="Y9:Y18" si="6">$C$12*(S9/10)/(17*$W$23*SQRT($C$11))</f>
        <v>17.04867852492875</v>
      </c>
    </row>
    <row r="10" spans="2:26" ht="23.25" x14ac:dyDescent="0.35">
      <c r="B10" t="s">
        <v>3</v>
      </c>
      <c r="C10">
        <v>4</v>
      </c>
      <c r="D10" t="s">
        <v>10</v>
      </c>
      <c r="E10">
        <v>1</v>
      </c>
      <c r="F10">
        <f t="shared" si="3"/>
        <v>1.2</v>
      </c>
      <c r="G10">
        <f t="shared" si="4"/>
        <v>1.2</v>
      </c>
      <c r="H10" s="1">
        <v>12</v>
      </c>
      <c r="I10" s="1" t="s">
        <v>11</v>
      </c>
      <c r="J10">
        <f t="shared" si="0"/>
        <v>54.4</v>
      </c>
      <c r="K10">
        <f t="shared" si="5"/>
        <v>1.1309733552923256</v>
      </c>
      <c r="N10" s="10" t="s">
        <v>15</v>
      </c>
      <c r="O10" s="10">
        <f>0.9*C21*C7*C13^2/(10^5)</f>
        <v>34.699419084404575</v>
      </c>
      <c r="S10" s="1">
        <v>12</v>
      </c>
      <c r="T10" s="1" t="s">
        <v>11</v>
      </c>
      <c r="U10" s="6">
        <f t="shared" si="1"/>
        <v>0</v>
      </c>
      <c r="V10" s="6">
        <f t="shared" si="2"/>
        <v>2.5</v>
      </c>
      <c r="W10" s="6">
        <v>0.8</v>
      </c>
      <c r="X10">
        <f t="shared" ref="X10:X18" si="7">(S10/10)*$C$12*W10*$W$21*$W$22/(3.5*SQRT($C$11)*V10)</f>
        <v>31.798220974495688</v>
      </c>
      <c r="Y10">
        <f t="shared" si="6"/>
        <v>20.458414229914503</v>
      </c>
    </row>
    <row r="11" spans="2:26" x14ac:dyDescent="0.25">
      <c r="B11" t="s">
        <v>4</v>
      </c>
      <c r="C11">
        <v>210</v>
      </c>
      <c r="D11" t="s">
        <v>12</v>
      </c>
      <c r="E11">
        <v>0</v>
      </c>
      <c r="F11">
        <f t="shared" si="3"/>
        <v>0</v>
      </c>
      <c r="G11">
        <f t="shared" si="4"/>
        <v>1.4</v>
      </c>
      <c r="H11" s="1">
        <v>14</v>
      </c>
      <c r="I11" s="1" t="s">
        <v>11</v>
      </c>
      <c r="J11">
        <f t="shared" si="0"/>
        <v>1000000</v>
      </c>
      <c r="K11">
        <f t="shared" si="5"/>
        <v>0</v>
      </c>
      <c r="S11" s="1">
        <v>14</v>
      </c>
      <c r="T11" s="1" t="s">
        <v>11</v>
      </c>
      <c r="U11" s="6">
        <f t="shared" si="1"/>
        <v>0</v>
      </c>
      <c r="V11" s="6">
        <f t="shared" si="2"/>
        <v>2.5</v>
      </c>
      <c r="W11" s="6">
        <v>0.8</v>
      </c>
      <c r="X11">
        <f t="shared" si="7"/>
        <v>37.097924470244969</v>
      </c>
      <c r="Y11">
        <f t="shared" si="6"/>
        <v>23.868149934900252</v>
      </c>
    </row>
    <row r="12" spans="2:26" x14ac:dyDescent="0.25">
      <c r="B12" t="s">
        <v>5</v>
      </c>
      <c r="C12">
        <v>4200</v>
      </c>
      <c r="D12" t="s">
        <v>12</v>
      </c>
      <c r="E12">
        <v>1</v>
      </c>
      <c r="F12">
        <f t="shared" si="3"/>
        <v>1.6</v>
      </c>
      <c r="G12">
        <f t="shared" si="4"/>
        <v>1.6</v>
      </c>
      <c r="H12" s="3">
        <v>16</v>
      </c>
      <c r="I12" s="1" t="s">
        <v>11</v>
      </c>
      <c r="J12">
        <f>IF(E12&lt;&gt;0,$C$8-H12/20-$C$10-$C$9/10,1000000)</f>
        <v>54.2</v>
      </c>
      <c r="K12">
        <f t="shared" si="5"/>
        <v>2.0106192982974678</v>
      </c>
      <c r="S12" s="3">
        <v>16</v>
      </c>
      <c r="T12" s="1" t="s">
        <v>11</v>
      </c>
      <c r="U12" s="6">
        <f t="shared" si="1"/>
        <v>0</v>
      </c>
      <c r="V12" s="6">
        <f t="shared" si="2"/>
        <v>2.5</v>
      </c>
      <c r="W12" s="6">
        <v>0.8</v>
      </c>
      <c r="X12">
        <f t="shared" si="7"/>
        <v>42.397627965994253</v>
      </c>
      <c r="Y12">
        <f t="shared" si="6"/>
        <v>27.277885639886001</v>
      </c>
    </row>
    <row r="13" spans="2:26" x14ac:dyDescent="0.25">
      <c r="B13" t="s">
        <v>6</v>
      </c>
      <c r="C13">
        <f>MIN(J8:J18)</f>
        <v>53.4</v>
      </c>
      <c r="D13" t="s">
        <v>10</v>
      </c>
      <c r="E13">
        <v>0</v>
      </c>
      <c r="F13">
        <f t="shared" si="3"/>
        <v>0</v>
      </c>
      <c r="G13">
        <f t="shared" si="4"/>
        <v>1.8</v>
      </c>
      <c r="H13" s="1">
        <v>18</v>
      </c>
      <c r="I13" s="1" t="s">
        <v>11</v>
      </c>
      <c r="J13">
        <f t="shared" si="0"/>
        <v>1000000</v>
      </c>
      <c r="K13">
        <f t="shared" si="5"/>
        <v>0</v>
      </c>
      <c r="S13" s="1">
        <v>18</v>
      </c>
      <c r="T13" s="1" t="s">
        <v>11</v>
      </c>
      <c r="U13" s="6">
        <f t="shared" si="1"/>
        <v>0</v>
      </c>
      <c r="V13" s="6">
        <f t="shared" si="2"/>
        <v>2.3148148148148149</v>
      </c>
      <c r="W13" s="6">
        <v>0.8</v>
      </c>
      <c r="X13">
        <f t="shared" si="7"/>
        <v>51.513117978683013</v>
      </c>
      <c r="Y13">
        <f t="shared" si="6"/>
        <v>30.687621344871751</v>
      </c>
    </row>
    <row r="14" spans="2:26" x14ac:dyDescent="0.25">
      <c r="E14">
        <v>0</v>
      </c>
      <c r="F14">
        <f t="shared" si="3"/>
        <v>0</v>
      </c>
      <c r="G14">
        <f t="shared" si="4"/>
        <v>2</v>
      </c>
      <c r="H14" s="1">
        <v>20</v>
      </c>
      <c r="I14" s="1" t="s">
        <v>11</v>
      </c>
      <c r="J14">
        <f t="shared" si="0"/>
        <v>1000000</v>
      </c>
      <c r="K14">
        <f t="shared" si="5"/>
        <v>0</v>
      </c>
      <c r="N14" t="str">
        <f>IF(AND(I22&gt;=2.54,I22&gt;=MAX((H8:H18)/10)),"si cumple","no cumple")</f>
        <v>si cumple</v>
      </c>
      <c r="O14" t="s">
        <v>19</v>
      </c>
      <c r="S14" s="1">
        <v>20</v>
      </c>
      <c r="T14" s="1" t="s">
        <v>11</v>
      </c>
      <c r="U14" s="6">
        <f t="shared" si="1"/>
        <v>0</v>
      </c>
      <c r="V14" s="6">
        <f t="shared" si="2"/>
        <v>2.0833333333333335</v>
      </c>
      <c r="W14" s="6">
        <v>0.8</v>
      </c>
      <c r="X14">
        <f t="shared" si="7"/>
        <v>63.596441948991369</v>
      </c>
      <c r="Y14">
        <f t="shared" si="6"/>
        <v>34.0973570498575</v>
      </c>
    </row>
    <row r="15" spans="2:26" x14ac:dyDescent="0.25">
      <c r="E15">
        <v>0</v>
      </c>
      <c r="F15">
        <f t="shared" si="3"/>
        <v>0</v>
      </c>
      <c r="G15">
        <f t="shared" si="4"/>
        <v>2.2000000000000002</v>
      </c>
      <c r="H15" s="1">
        <v>22</v>
      </c>
      <c r="I15" s="1" t="s">
        <v>11</v>
      </c>
      <c r="J15">
        <f t="shared" si="0"/>
        <v>1000000</v>
      </c>
      <c r="K15">
        <f t="shared" si="5"/>
        <v>0</v>
      </c>
      <c r="N15" t="str">
        <f>IF(K19&gt;=I23,"si cumple","no cumple")</f>
        <v>si cumple</v>
      </c>
      <c r="O15" t="s">
        <v>20</v>
      </c>
      <c r="S15" s="1">
        <v>22</v>
      </c>
      <c r="T15" s="1" t="s">
        <v>11</v>
      </c>
      <c r="U15" s="6">
        <f t="shared" si="1"/>
        <v>0</v>
      </c>
      <c r="V15" s="6">
        <f t="shared" si="2"/>
        <v>1.8939393939393938</v>
      </c>
      <c r="W15" s="9">
        <v>1</v>
      </c>
      <c r="X15">
        <f t="shared" si="7"/>
        <v>96.189618447849455</v>
      </c>
      <c r="Y15">
        <f t="shared" si="6"/>
        <v>37.507092754843256</v>
      </c>
    </row>
    <row r="16" spans="2:26" x14ac:dyDescent="0.25">
      <c r="E16">
        <v>0</v>
      </c>
      <c r="F16">
        <f t="shared" si="3"/>
        <v>0</v>
      </c>
      <c r="G16">
        <f t="shared" si="4"/>
        <v>2.5</v>
      </c>
      <c r="H16" s="1">
        <v>25</v>
      </c>
      <c r="I16" s="1" t="s">
        <v>11</v>
      </c>
      <c r="J16">
        <f t="shared" si="0"/>
        <v>1000000</v>
      </c>
      <c r="K16">
        <f t="shared" si="5"/>
        <v>0</v>
      </c>
      <c r="S16" s="1">
        <v>25</v>
      </c>
      <c r="T16" s="1" t="s">
        <v>11</v>
      </c>
      <c r="U16" s="6">
        <f t="shared" si="1"/>
        <v>0</v>
      </c>
      <c r="V16" s="6">
        <f t="shared" si="2"/>
        <v>1.6666666666666667</v>
      </c>
      <c r="W16" s="9">
        <v>1</v>
      </c>
      <c r="X16">
        <f t="shared" si="7"/>
        <v>124.21180068162377</v>
      </c>
      <c r="Y16">
        <f t="shared" si="6"/>
        <v>42.62169631232188</v>
      </c>
    </row>
    <row r="17" spans="2:25" x14ac:dyDescent="0.25">
      <c r="E17">
        <v>0</v>
      </c>
      <c r="F17">
        <f t="shared" si="3"/>
        <v>0</v>
      </c>
      <c r="G17">
        <f t="shared" si="4"/>
        <v>2.8</v>
      </c>
      <c r="H17" s="1">
        <v>28</v>
      </c>
      <c r="I17" s="1" t="s">
        <v>11</v>
      </c>
      <c r="J17">
        <f t="shared" si="0"/>
        <v>1000000</v>
      </c>
      <c r="K17">
        <f t="shared" si="5"/>
        <v>0</v>
      </c>
      <c r="S17" s="1">
        <v>28</v>
      </c>
      <c r="T17" s="1" t="s">
        <v>11</v>
      </c>
      <c r="U17" s="6">
        <f t="shared" si="1"/>
        <v>0</v>
      </c>
      <c r="V17" s="6">
        <f t="shared" si="2"/>
        <v>1.4880952380952384</v>
      </c>
      <c r="W17" s="9">
        <v>1</v>
      </c>
      <c r="X17">
        <f t="shared" si="7"/>
        <v>155.81128277502884</v>
      </c>
      <c r="Y17">
        <f t="shared" si="6"/>
        <v>47.736299869800504</v>
      </c>
    </row>
    <row r="18" spans="2:25" x14ac:dyDescent="0.25">
      <c r="E18">
        <v>2</v>
      </c>
      <c r="F18">
        <f t="shared" si="3"/>
        <v>6.4</v>
      </c>
      <c r="G18">
        <f t="shared" si="4"/>
        <v>3.2</v>
      </c>
      <c r="H18" s="1">
        <v>32</v>
      </c>
      <c r="I18" s="1" t="s">
        <v>11</v>
      </c>
      <c r="J18">
        <f t="shared" si="0"/>
        <v>53.4</v>
      </c>
      <c r="K18">
        <f t="shared" si="5"/>
        <v>16.084954386379742</v>
      </c>
      <c r="S18" s="1">
        <v>32</v>
      </c>
      <c r="T18" s="1" t="s">
        <v>11</v>
      </c>
      <c r="U18" s="6">
        <f>IF($Z$5="",0,$Z$3*$C$12/(105*$Z$4*$Z$5))</f>
        <v>0</v>
      </c>
      <c r="V18" s="6">
        <f>IF((($U$24+U18)/(S18/10))&gt;=2.5,2.5,(($U$24+U18)/(S18/10)))</f>
        <v>1.3020833333333333</v>
      </c>
      <c r="W18" s="9">
        <v>1</v>
      </c>
      <c r="X18">
        <f t="shared" si="7"/>
        <v>203.50861423677239</v>
      </c>
      <c r="Y18">
        <f t="shared" si="6"/>
        <v>54.555771279772003</v>
      </c>
    </row>
    <row r="19" spans="2:25" x14ac:dyDescent="0.25">
      <c r="E19">
        <f>SUM(E8:E18)</f>
        <v>4</v>
      </c>
      <c r="F19">
        <f>SUM(F8:F18)</f>
        <v>9.1999999999999993</v>
      </c>
      <c r="H19" t="s">
        <v>21</v>
      </c>
      <c r="K19">
        <f>SUM(K8:K18)</f>
        <v>19.226547039969535</v>
      </c>
      <c r="L19" s="2" t="s">
        <v>23</v>
      </c>
    </row>
    <row r="20" spans="2:25" x14ac:dyDescent="0.25">
      <c r="B20" t="s">
        <v>13</v>
      </c>
      <c r="C20" s="4">
        <f>K19/(C7*C13)</f>
        <v>9.0011924344426657E-3</v>
      </c>
    </row>
    <row r="21" spans="2:25" ht="15.75" thickBot="1" x14ac:dyDescent="0.3">
      <c r="B21" t="s">
        <v>14</v>
      </c>
      <c r="C21">
        <f>C20*C12*(1-C20*C12/(1.7*C11))</f>
        <v>33.801594648002194</v>
      </c>
      <c r="T21" t="s">
        <v>26</v>
      </c>
      <c r="U21" t="s">
        <v>34</v>
      </c>
      <c r="V21" s="7" t="s">
        <v>41</v>
      </c>
      <c r="W21">
        <f>IF(U21="si",1.3,IF(U21="no",1,"inserte condicion"))</f>
        <v>1</v>
      </c>
    </row>
    <row r="22" spans="2:25" ht="15.75" thickBot="1" x14ac:dyDescent="0.3">
      <c r="H22" t="s">
        <v>22</v>
      </c>
      <c r="I22">
        <f>(C7-C10*2-C9/5-F19)/(E19-1)</f>
        <v>6.9333333333333336</v>
      </c>
      <c r="T22" t="s">
        <v>27</v>
      </c>
      <c r="U22" t="s">
        <v>34</v>
      </c>
      <c r="V22" s="7" t="s">
        <v>42</v>
      </c>
      <c r="W22">
        <f>IF(U22="si",1.3,IF(U22="no",1,"inserte condicion"))</f>
        <v>1</v>
      </c>
      <c r="X22" t="s">
        <v>43</v>
      </c>
    </row>
    <row r="23" spans="2:25" x14ac:dyDescent="0.25">
      <c r="B23" t="s">
        <v>16</v>
      </c>
      <c r="C23">
        <f>(0.85^2)*C11*(6120/(6120+C12))/C12</f>
        <v>2.1422965116279072E-2</v>
      </c>
      <c r="H23" t="s">
        <v>20</v>
      </c>
      <c r="I23">
        <f>MAX(14*C7*C13/C12,0.8*SQRT(C11)*C7*C13/C12)</f>
        <v>7.12</v>
      </c>
      <c r="T23" t="s">
        <v>28</v>
      </c>
      <c r="U23" t="s">
        <v>35</v>
      </c>
      <c r="V23" s="8" t="s">
        <v>44</v>
      </c>
      <c r="W23">
        <f>IF(U23="si",1,IF(U23="no",0.3,"inserte condicion"))</f>
        <v>1</v>
      </c>
    </row>
    <row r="24" spans="2:25" x14ac:dyDescent="0.25">
      <c r="B24" t="s">
        <v>17</v>
      </c>
      <c r="C24">
        <f>C23/2</f>
        <v>1.0711482558139536E-2</v>
      </c>
      <c r="T24" t="s">
        <v>29</v>
      </c>
      <c r="U24">
        <f>MIN(K26:K35)</f>
        <v>4.166666666666667</v>
      </c>
    </row>
    <row r="25" spans="2:25" x14ac:dyDescent="0.25">
      <c r="B25" t="s">
        <v>18</v>
      </c>
      <c r="C25">
        <f>C24*C12*(1-C24*C12/(1.7*C11))</f>
        <v>39.318925496045161</v>
      </c>
      <c r="I25" t="s">
        <v>31</v>
      </c>
      <c r="K25" t="s">
        <v>29</v>
      </c>
    </row>
    <row r="26" spans="2:25" ht="15" customHeight="1" x14ac:dyDescent="0.25">
      <c r="E26" s="13" t="s">
        <v>30</v>
      </c>
      <c r="I26" s="1">
        <v>32</v>
      </c>
      <c r="K26">
        <f>4+1+I26/20</f>
        <v>6.6</v>
      </c>
    </row>
    <row r="27" spans="2:25" x14ac:dyDescent="0.25">
      <c r="E27" s="13"/>
      <c r="I27" s="1">
        <v>16</v>
      </c>
      <c r="K27">
        <f>($I$22+I26/20+I27/20)/2</f>
        <v>4.666666666666667</v>
      </c>
    </row>
    <row r="28" spans="2:25" x14ac:dyDescent="0.25">
      <c r="E28" s="13"/>
      <c r="I28" s="1">
        <v>12</v>
      </c>
      <c r="K28">
        <f t="shared" ref="K28:K29" si="8">($I$22+I27/20+I28/20)/2</f>
        <v>4.166666666666667</v>
      </c>
    </row>
    <row r="29" spans="2:25" x14ac:dyDescent="0.25">
      <c r="E29" s="13"/>
      <c r="I29" s="1">
        <v>32</v>
      </c>
      <c r="K29">
        <f t="shared" si="8"/>
        <v>4.5666666666666664</v>
      </c>
    </row>
    <row r="30" spans="2:25" x14ac:dyDescent="0.25">
      <c r="E30" s="13"/>
      <c r="I30" s="1"/>
    </row>
    <row r="31" spans="2:25" x14ac:dyDescent="0.25">
      <c r="E31" s="13"/>
      <c r="I31" s="1"/>
    </row>
    <row r="32" spans="2:25" x14ac:dyDescent="0.25">
      <c r="E32" s="13"/>
      <c r="I32" s="1"/>
    </row>
    <row r="33" spans="5:11" x14ac:dyDescent="0.25">
      <c r="E33" s="13"/>
      <c r="I33" s="1"/>
    </row>
    <row r="34" spans="5:11" x14ac:dyDescent="0.25">
      <c r="E34" s="13"/>
      <c r="I34" s="1"/>
    </row>
    <row r="35" spans="5:11" x14ac:dyDescent="0.25">
      <c r="E35" s="13"/>
      <c r="H35" t="s">
        <v>33</v>
      </c>
      <c r="I35" s="1">
        <v>32</v>
      </c>
      <c r="K35">
        <f>4+1+I35/20</f>
        <v>6.6</v>
      </c>
    </row>
  </sheetData>
  <mergeCells count="3">
    <mergeCell ref="H7:I7"/>
    <mergeCell ref="S7:T7"/>
    <mergeCell ref="E26:E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analysis, dev. length</vt:lpstr>
      <vt:lpstr>Hoja2</vt:lpstr>
      <vt:lpstr>Hoja3</vt:lpstr>
    </vt:vector>
  </TitlesOfParts>
  <Company>PUCE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ESTUDIANTES</dc:creator>
  <cp:lastModifiedBy>USER</cp:lastModifiedBy>
  <dcterms:created xsi:type="dcterms:W3CDTF">2018-01-10T17:04:45Z</dcterms:created>
  <dcterms:modified xsi:type="dcterms:W3CDTF">2023-04-16T23:53:14Z</dcterms:modified>
</cp:coreProperties>
</file>