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man\Documents\GitHub\MatLab_Metodos_B\Guia 7\"/>
    </mc:Choice>
  </mc:AlternateContent>
  <xr:revisionPtr revIDLastSave="0" documentId="13_ncr:1_{AD240459-3F45-48DA-9537-7C9AAD0D16AD}" xr6:coauthVersionLast="47" xr6:coauthVersionMax="47" xr10:uidLastSave="{00000000-0000-0000-0000-000000000000}"/>
  <bookViews>
    <workbookView xWindow="-120" yWindow="-120" windowWidth="29040" windowHeight="15840" firstSheet="2" activeTab="10" xr2:uid="{476CA627-27CD-4F47-A360-8791074867CB}"/>
  </bookViews>
  <sheets>
    <sheet name="Problema 1" sheetId="1" r:id="rId1"/>
    <sheet name="Problema 1 v2 Cúbico" sheetId="3" r:id="rId2"/>
    <sheet name="Problema 1 v2" sheetId="2" r:id="rId3"/>
    <sheet name="Problema 2" sheetId="4" r:id="rId4"/>
    <sheet name="Problema 3" sheetId="5" r:id="rId5"/>
    <sheet name="Problema 4" sheetId="6" r:id="rId6"/>
    <sheet name="Problema 5" sheetId="7" r:id="rId7"/>
    <sheet name="Problema 6" sheetId="8" r:id="rId8"/>
    <sheet name="Problema 7" sheetId="9" r:id="rId9"/>
    <sheet name="Problema 8" sheetId="12" r:id="rId10"/>
    <sheet name="Problema 9" sheetId="13" r:id="rId11"/>
  </sheets>
  <definedNames>
    <definedName name="solver_adj" localSheetId="2" hidden="1">'Problema 1 v2'!$C$35:$C$36</definedName>
    <definedName name="solver_adj" localSheetId="1" hidden="1">'Problema 1 v2 Cúbico'!$C$18:$C$21</definedName>
    <definedName name="solver_adj" localSheetId="3" hidden="1">'Problema 2'!$I$15:$I$16</definedName>
    <definedName name="solver_adj" localSheetId="4" hidden="1">'Problema 3'!$O$3:$O$6</definedName>
    <definedName name="solver_adj" localSheetId="5" hidden="1">'Problema 4'!$J$12:$J$13</definedName>
    <definedName name="solver_adj" localSheetId="6" hidden="1">'Problema 5'!$P$3:$P$4</definedName>
    <definedName name="solver_adj" localSheetId="7" hidden="1">'Problema 6'!$G$3:$G$6</definedName>
    <definedName name="solver_adj" localSheetId="8" hidden="1">'Problema 7'!$G$3:$G$5</definedName>
    <definedName name="solver_adj" localSheetId="9" hidden="1">'Problema 8'!$G$3:$G$7</definedName>
    <definedName name="solver_adj" localSheetId="10" hidden="1">'Problema 9'!$L$3:$L$5</definedName>
    <definedName name="solver_cvg" localSheetId="2" hidden="1">0.0001</definedName>
    <definedName name="solver_cvg" localSheetId="1" hidden="1">0.0000001</definedName>
    <definedName name="solver_cvg" localSheetId="3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4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5" hidden="1">"""""""0,0001"""""""</definedName>
    <definedName name="solver_cvg" localSheetId="6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7" hidden="1">"""""""""""""""""""""""""""""""0,0001"""""""""""""""""""""""""""""""</definedName>
    <definedName name="solver_cvg" localSheetId="8" hidden="1">"""""""0,0001"""""""</definedName>
    <definedName name="solver_cvg" localSheetId="9" hidden="1">"""""""""""""""""""""""""""""""""""""""""""""""""""""""""""""""0,0001"""""""""""""""""""""""""""""""""""""""""""""""""""""""""""""""</definedName>
    <definedName name="solver_cvg" localSheetId="10" hidden="1">"""""""""""""""""""""""""""""""""""""""""""""""""""""""""""""""0,0001"""""""""""""""""""""""""""""""""""""""""""""""""""""""""""""""</definedName>
    <definedName name="solver_drv" localSheetId="2" hidden="1">1</definedName>
    <definedName name="solver_drv" localSheetId="1" hidden="1">2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eng" localSheetId="2" hidden="1">1</definedName>
    <definedName name="solver_eng" localSheetId="1" hidden="1">1</definedName>
    <definedName name="solver_eng" localSheetId="3" hidden="1">3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lhs1" localSheetId="3" hidden="1">'Problema 2'!$I$15</definedName>
    <definedName name="solver_lhs2" localSheetId="3" hidden="1">'Problema 2'!$I$16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rt" localSheetId="2" hidden="1">0.075</definedName>
    <definedName name="solver_mrt" localSheetId="1" hidden="1">0.075</definedName>
    <definedName name="solver_mrt" localSheetId="3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4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5" hidden="1">"""""""0,075"""""""</definedName>
    <definedName name="solver_mrt" localSheetId="6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7" hidden="1">"""""""""""""""""""""""""""""""0,075"""""""""""""""""""""""""""""""</definedName>
    <definedName name="solver_mrt" localSheetId="8" hidden="1">"""""""0,075"""""""</definedName>
    <definedName name="solver_mrt" localSheetId="9" hidden="1">"""""""""""""""""""""""""""""""""""""""""""""""""""""""""""""""0,075"""""""""""""""""""""""""""""""""""""""""""""""""""""""""""""""</definedName>
    <definedName name="solver_mrt" localSheetId="10" hidden="1">"""""""""""""""""""""""""""""""""""""""""""""""""""""""""""""""0,075"""""""""""""""""""""""""""""""""""""""""""""""""""""""""""""""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neg" localSheetId="2" hidden="1">1</definedName>
    <definedName name="solver_neg" localSheetId="1" hidden="1">2</definedName>
    <definedName name="solver_neg" localSheetId="3" hidden="1">2</definedName>
    <definedName name="solver_neg" localSheetId="4" hidden="1">2</definedName>
    <definedName name="solver_neg" localSheetId="5" hidden="1">1</definedName>
    <definedName name="solver_neg" localSheetId="6" hidden="1">2</definedName>
    <definedName name="solver_neg" localSheetId="7" hidden="1">2</definedName>
    <definedName name="solver_neg" localSheetId="8" hidden="1">2</definedName>
    <definedName name="solver_neg" localSheetId="9" hidden="1">2</definedName>
    <definedName name="solver_neg" localSheetId="10" hidden="1">2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um" localSheetId="2" hidden="1">0</definedName>
    <definedName name="solver_num" localSheetId="1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opt" localSheetId="2" hidden="1">'Problema 1 v2'!$F$29</definedName>
    <definedName name="solver_opt" localSheetId="1" hidden="1">'Problema 1 v2 Cúbico'!$F$3</definedName>
    <definedName name="solver_opt" localSheetId="3" hidden="1">'Problema 2'!$K$21</definedName>
    <definedName name="solver_opt" localSheetId="4" hidden="1">'Problema 3'!$Q$16</definedName>
    <definedName name="solver_opt" localSheetId="5" hidden="1">'Problema 4'!$M$17</definedName>
    <definedName name="solver_opt" localSheetId="6" hidden="1">'Problema 5'!$R$13</definedName>
    <definedName name="solver_opt" localSheetId="7" hidden="1">'Problema 6'!$I$43</definedName>
    <definedName name="solver_opt" localSheetId="8" hidden="1">'Problema 7'!$I$21</definedName>
    <definedName name="solver_opt" localSheetId="9" hidden="1">'Problema 8'!$I$21</definedName>
    <definedName name="solver_opt" localSheetId="10" hidden="1">'Problema 9'!$N$13</definedName>
    <definedName name="solver_pre" localSheetId="2" hidden="1">0.000001</definedName>
    <definedName name="solver_pre" localSheetId="1" hidden="1">0.000000001</definedName>
    <definedName name="solver_pre" localSheetId="3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4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5" hidden="1">"""""""0,000001"""""""</definedName>
    <definedName name="solver_pre" localSheetId="6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7" hidden="1">"""""""""""""""""""""""""""""""0,000001"""""""""""""""""""""""""""""""</definedName>
    <definedName name="solver_pre" localSheetId="8" hidden="1">"""""""0,000001"""""""</definedName>
    <definedName name="solver_pre" localSheetId="9" hidden="1">"""""""""""""""""""""""""""""""""""""""""""""""""""""""""""""""0,000001"""""""""""""""""""""""""""""""""""""""""""""""""""""""""""""""</definedName>
    <definedName name="solver_pre" localSheetId="10" hidden="1">"""""""""""""""""""""""""""""""""""""""""""""""""""""""""""""""0,000001"""""""""""""""""""""""""""""""""""""""""""""""""""""""""""""""</definedName>
    <definedName name="solver_rbv" localSheetId="2" hidden="1">1</definedName>
    <definedName name="solver_rbv" localSheetId="1" hidden="1">1</definedName>
    <definedName name="solver_rbv" localSheetId="3" hidden="1">2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el1" localSheetId="3" hidden="1">1</definedName>
    <definedName name="solver_rel2" localSheetId="3" hidden="1">3</definedName>
    <definedName name="solver_rhs1" localSheetId="3" hidden="1">100</definedName>
    <definedName name="solver_rhs2" localSheetId="3" hidden="1">1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scl" localSheetId="2" hidden="1">1</definedName>
    <definedName name="solver_scl" localSheetId="1" hidden="1">1</definedName>
    <definedName name="solver_scl" localSheetId="3" hidden="1">2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sz" localSheetId="2" hidden="1">100</definedName>
    <definedName name="solver_ssz" localSheetId="1" hidden="1">100</definedName>
    <definedName name="solver_ssz" localSheetId="3" hidden="1">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ol" localSheetId="2" hidden="1">0.01</definedName>
    <definedName name="solver_tol" localSheetId="1" hidden="1">0.01</definedName>
    <definedName name="solver_tol" localSheetId="3" hidden="1">1</definedName>
    <definedName name="solver_tol" localSheetId="4" hidden="1">1</definedName>
    <definedName name="solver_tol" localSheetId="5" hidden="1">1</definedName>
    <definedName name="solver_tol" localSheetId="6" hidden="1">1</definedName>
    <definedName name="solver_tol" localSheetId="7" hidden="1">1</definedName>
    <definedName name="solver_tol" localSheetId="8" hidden="1">1</definedName>
    <definedName name="solver_tol" localSheetId="9" hidden="1">1</definedName>
    <definedName name="solver_tol" localSheetId="10" hidden="1">1</definedName>
    <definedName name="solver_typ" localSheetId="2" hidden="1">2</definedName>
    <definedName name="solver_typ" localSheetId="1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er" localSheetId="2" hidden="1">3</definedName>
    <definedName name="solver_ver" localSheetId="1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3" l="1"/>
  <c r="O5" i="13"/>
  <c r="O6" i="13"/>
  <c r="O7" i="13"/>
  <c r="O8" i="13"/>
  <c r="O9" i="13"/>
  <c r="O10" i="13"/>
  <c r="O11" i="13"/>
  <c r="O12" i="13"/>
  <c r="O3" i="13"/>
  <c r="L8" i="13"/>
  <c r="L11" i="13" s="1"/>
  <c r="L9" i="13"/>
  <c r="I12" i="13"/>
  <c r="I3" i="13"/>
  <c r="F6" i="13"/>
  <c r="L7" i="13"/>
  <c r="N4" i="13"/>
  <c r="N5" i="13"/>
  <c r="N6" i="13"/>
  <c r="N7" i="13"/>
  <c r="N8" i="13"/>
  <c r="N9" i="13"/>
  <c r="N10" i="13"/>
  <c r="N11" i="13"/>
  <c r="N12" i="13"/>
  <c r="N3" i="13"/>
  <c r="H4" i="13"/>
  <c r="H5" i="13"/>
  <c r="H6" i="13"/>
  <c r="H7" i="13"/>
  <c r="H8" i="13"/>
  <c r="H9" i="13"/>
  <c r="H10" i="13"/>
  <c r="H11" i="13"/>
  <c r="H12" i="13"/>
  <c r="H3" i="13"/>
  <c r="F8" i="13" s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3" i="12"/>
  <c r="K20" i="12"/>
  <c r="M20" i="12" s="1"/>
  <c r="K19" i="12"/>
  <c r="K18" i="12"/>
  <c r="M18" i="12" s="1"/>
  <c r="K17" i="12"/>
  <c r="M17" i="12" s="1"/>
  <c r="K16" i="12"/>
  <c r="M16" i="12" s="1"/>
  <c r="G18" i="12"/>
  <c r="K15" i="12"/>
  <c r="M15" i="12" s="1"/>
  <c r="K14" i="12"/>
  <c r="M14" i="12" s="1"/>
  <c r="K13" i="12"/>
  <c r="K12" i="12"/>
  <c r="M12" i="12" s="1"/>
  <c r="K11" i="12"/>
  <c r="K10" i="12"/>
  <c r="M10" i="12" s="1"/>
  <c r="K9" i="12"/>
  <c r="M9" i="12" s="1"/>
  <c r="K8" i="12"/>
  <c r="M8" i="12" s="1"/>
  <c r="K7" i="12"/>
  <c r="M7" i="12" s="1"/>
  <c r="G9" i="12"/>
  <c r="K6" i="12"/>
  <c r="K5" i="12"/>
  <c r="M5" i="12" s="1"/>
  <c r="K4" i="12"/>
  <c r="K3" i="12"/>
  <c r="M3" i="12" s="1"/>
  <c r="G16" i="9"/>
  <c r="G12" i="9"/>
  <c r="G10" i="9"/>
  <c r="G9" i="9"/>
  <c r="M20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3" i="9"/>
  <c r="G7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3" i="9"/>
  <c r="M44" i="8"/>
  <c r="M36" i="8"/>
  <c r="M37" i="8"/>
  <c r="M38" i="8"/>
  <c r="M39" i="8"/>
  <c r="M40" i="8"/>
  <c r="M41" i="8"/>
  <c r="M42" i="8"/>
  <c r="M43" i="8"/>
  <c r="M26" i="8"/>
  <c r="M27" i="8"/>
  <c r="M28" i="8"/>
  <c r="M29" i="8"/>
  <c r="M30" i="8"/>
  <c r="M31" i="8"/>
  <c r="M32" i="8"/>
  <c r="M33" i="8"/>
  <c r="M34" i="8"/>
  <c r="M35" i="8"/>
  <c r="M25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3" i="8"/>
  <c r="I11" i="5"/>
  <c r="L4" i="5"/>
  <c r="L5" i="5"/>
  <c r="L6" i="5"/>
  <c r="I9" i="5" s="1"/>
  <c r="L7" i="5"/>
  <c r="L8" i="5"/>
  <c r="L9" i="5"/>
  <c r="L10" i="5"/>
  <c r="L11" i="5"/>
  <c r="L12" i="5"/>
  <c r="L13" i="5"/>
  <c r="L14" i="5"/>
  <c r="L15" i="5"/>
  <c r="L3" i="5"/>
  <c r="G8" i="8"/>
  <c r="I4" i="8"/>
  <c r="K4" i="8" s="1"/>
  <c r="I5" i="8"/>
  <c r="K5" i="8" s="1"/>
  <c r="I6" i="8"/>
  <c r="K6" i="8" s="1"/>
  <c r="I7" i="8"/>
  <c r="K7" i="8" s="1"/>
  <c r="I8" i="8"/>
  <c r="K8" i="8" s="1"/>
  <c r="I9" i="8"/>
  <c r="K9" i="8" s="1"/>
  <c r="I10" i="8"/>
  <c r="K10" i="8" s="1"/>
  <c r="I11" i="8"/>
  <c r="K11" i="8" s="1"/>
  <c r="I12" i="8"/>
  <c r="K12" i="8" s="1"/>
  <c r="I13" i="8"/>
  <c r="K13" i="8" s="1"/>
  <c r="I14" i="8"/>
  <c r="K14" i="8" s="1"/>
  <c r="I15" i="8"/>
  <c r="K15" i="8" s="1"/>
  <c r="I16" i="8"/>
  <c r="K16" i="8" s="1"/>
  <c r="I17" i="8"/>
  <c r="K17" i="8" s="1"/>
  <c r="I18" i="8"/>
  <c r="K18" i="8" s="1"/>
  <c r="I19" i="8"/>
  <c r="K19" i="8" s="1"/>
  <c r="I20" i="8"/>
  <c r="K20" i="8" s="1"/>
  <c r="I21" i="8"/>
  <c r="K21" i="8" s="1"/>
  <c r="I22" i="8"/>
  <c r="K22" i="8" s="1"/>
  <c r="I23" i="8"/>
  <c r="K23" i="8" s="1"/>
  <c r="I24" i="8"/>
  <c r="K24" i="8" s="1"/>
  <c r="I25" i="8"/>
  <c r="K25" i="8" s="1"/>
  <c r="I26" i="8"/>
  <c r="K26" i="8" s="1"/>
  <c r="I27" i="8"/>
  <c r="K27" i="8" s="1"/>
  <c r="I28" i="8"/>
  <c r="K28" i="8" s="1"/>
  <c r="I29" i="8"/>
  <c r="K29" i="8" s="1"/>
  <c r="I30" i="8"/>
  <c r="K30" i="8" s="1"/>
  <c r="I31" i="8"/>
  <c r="K31" i="8" s="1"/>
  <c r="I32" i="8"/>
  <c r="K32" i="8" s="1"/>
  <c r="I33" i="8"/>
  <c r="K33" i="8" s="1"/>
  <c r="I34" i="8"/>
  <c r="K34" i="8" s="1"/>
  <c r="I35" i="8"/>
  <c r="K35" i="8" s="1"/>
  <c r="I36" i="8"/>
  <c r="K36" i="8" s="1"/>
  <c r="I37" i="8"/>
  <c r="K37" i="8" s="1"/>
  <c r="I38" i="8"/>
  <c r="K38" i="8" s="1"/>
  <c r="I39" i="8"/>
  <c r="K39" i="8" s="1"/>
  <c r="I40" i="8"/>
  <c r="K40" i="8" s="1"/>
  <c r="I41" i="8"/>
  <c r="K41" i="8" s="1"/>
  <c r="I42" i="8"/>
  <c r="K42" i="8" s="1"/>
  <c r="I3" i="8"/>
  <c r="K3" i="8" s="1"/>
  <c r="O10" i="5"/>
  <c r="R4" i="5"/>
  <c r="R5" i="5"/>
  <c r="R6" i="5"/>
  <c r="R7" i="5"/>
  <c r="R8" i="5"/>
  <c r="R9" i="5"/>
  <c r="R10" i="5"/>
  <c r="R11" i="5"/>
  <c r="R12" i="5"/>
  <c r="R13" i="5"/>
  <c r="R14" i="5"/>
  <c r="R15" i="5"/>
  <c r="R3" i="5"/>
  <c r="O9" i="5"/>
  <c r="O8" i="5"/>
  <c r="Q4" i="5"/>
  <c r="Q5" i="5"/>
  <c r="Q6" i="5"/>
  <c r="Q7" i="5"/>
  <c r="Q8" i="5"/>
  <c r="Q9" i="5"/>
  <c r="Q10" i="5"/>
  <c r="Q11" i="5"/>
  <c r="Q12" i="5"/>
  <c r="Q13" i="5"/>
  <c r="Q14" i="5"/>
  <c r="Q15" i="5"/>
  <c r="Q3" i="5"/>
  <c r="P18" i="7"/>
  <c r="P19" i="7"/>
  <c r="P20" i="7"/>
  <c r="P21" i="7"/>
  <c r="P22" i="7"/>
  <c r="P23" i="7"/>
  <c r="P24" i="7"/>
  <c r="P25" i="7"/>
  <c r="P26" i="7"/>
  <c r="P17" i="7"/>
  <c r="N18" i="7"/>
  <c r="N19" i="7"/>
  <c r="N20" i="7"/>
  <c r="N21" i="7"/>
  <c r="N22" i="7"/>
  <c r="N23" i="7"/>
  <c r="N24" i="7"/>
  <c r="N25" i="7"/>
  <c r="N26" i="7"/>
  <c r="N17" i="7"/>
  <c r="L18" i="7"/>
  <c r="L19" i="7"/>
  <c r="L20" i="7"/>
  <c r="L21" i="7"/>
  <c r="L22" i="7"/>
  <c r="L23" i="7"/>
  <c r="L24" i="7"/>
  <c r="L25" i="7"/>
  <c r="L26" i="7"/>
  <c r="L17" i="7"/>
  <c r="J18" i="7"/>
  <c r="J19" i="7"/>
  <c r="J20" i="7"/>
  <c r="J21" i="7"/>
  <c r="J22" i="7"/>
  <c r="J23" i="7"/>
  <c r="J24" i="7"/>
  <c r="J25" i="7"/>
  <c r="J26" i="7"/>
  <c r="J17" i="7"/>
  <c r="R4" i="7"/>
  <c r="R5" i="7"/>
  <c r="R6" i="7"/>
  <c r="R7" i="7"/>
  <c r="R8" i="7"/>
  <c r="R9" i="7"/>
  <c r="R10" i="7"/>
  <c r="R11" i="7"/>
  <c r="R12" i="7"/>
  <c r="R3" i="7"/>
  <c r="M4" i="7"/>
  <c r="M5" i="7"/>
  <c r="M6" i="7"/>
  <c r="M7" i="7"/>
  <c r="M8" i="7"/>
  <c r="M9" i="7"/>
  <c r="M10" i="7"/>
  <c r="M11" i="7"/>
  <c r="M12" i="7"/>
  <c r="M3" i="7"/>
  <c r="W4" i="7"/>
  <c r="W5" i="7"/>
  <c r="W6" i="7"/>
  <c r="W7" i="7"/>
  <c r="W8" i="7"/>
  <c r="W9" i="7"/>
  <c r="W10" i="7"/>
  <c r="W11" i="7"/>
  <c r="W12" i="7"/>
  <c r="W3" i="7"/>
  <c r="H4" i="7"/>
  <c r="H5" i="7"/>
  <c r="H6" i="7"/>
  <c r="H7" i="7"/>
  <c r="H8" i="7"/>
  <c r="H9" i="7"/>
  <c r="H10" i="7"/>
  <c r="H11" i="7"/>
  <c r="H12" i="7"/>
  <c r="H3" i="7"/>
  <c r="J21" i="6"/>
  <c r="J20" i="6"/>
  <c r="O13" i="6"/>
  <c r="O14" i="6"/>
  <c r="O15" i="6"/>
  <c r="O16" i="6"/>
  <c r="O12" i="6"/>
  <c r="O4" i="6"/>
  <c r="O5" i="6"/>
  <c r="O6" i="6"/>
  <c r="O7" i="6"/>
  <c r="O3" i="6"/>
  <c r="M13" i="6"/>
  <c r="M14" i="6"/>
  <c r="M15" i="6"/>
  <c r="M16" i="6"/>
  <c r="M12" i="6"/>
  <c r="M4" i="6"/>
  <c r="M5" i="6"/>
  <c r="M6" i="6"/>
  <c r="M7" i="6"/>
  <c r="M3" i="6"/>
  <c r="G4" i="6"/>
  <c r="G5" i="6"/>
  <c r="G6" i="6"/>
  <c r="G7" i="6"/>
  <c r="F4" i="6"/>
  <c r="F5" i="6"/>
  <c r="F6" i="6"/>
  <c r="F7" i="6"/>
  <c r="G3" i="6"/>
  <c r="F3" i="6"/>
  <c r="E4" i="6"/>
  <c r="E5" i="6"/>
  <c r="E6" i="6"/>
  <c r="E7" i="6"/>
  <c r="E3" i="6"/>
  <c r="K11" i="5"/>
  <c r="K15" i="5"/>
  <c r="F4" i="5"/>
  <c r="F5" i="5"/>
  <c r="K5" i="5" s="1"/>
  <c r="F6" i="5"/>
  <c r="F7" i="5"/>
  <c r="F8" i="5"/>
  <c r="I7" i="5" s="1"/>
  <c r="F9" i="5"/>
  <c r="K9" i="5" s="1"/>
  <c r="F10" i="5"/>
  <c r="K10" i="5" s="1"/>
  <c r="F11" i="5"/>
  <c r="F12" i="5"/>
  <c r="K12" i="5" s="1"/>
  <c r="F13" i="5"/>
  <c r="F14" i="5"/>
  <c r="F15" i="5"/>
  <c r="F3" i="5"/>
  <c r="E4" i="5"/>
  <c r="E5" i="5"/>
  <c r="E6" i="5"/>
  <c r="E7" i="5"/>
  <c r="E8" i="5"/>
  <c r="E9" i="5"/>
  <c r="E10" i="5"/>
  <c r="E11" i="5"/>
  <c r="E12" i="5"/>
  <c r="E13" i="5"/>
  <c r="K13" i="5" s="1"/>
  <c r="E14" i="5"/>
  <c r="E15" i="5"/>
  <c r="E3" i="5"/>
  <c r="K9" i="4"/>
  <c r="K10" i="4"/>
  <c r="K11" i="4"/>
  <c r="K12" i="4"/>
  <c r="K13" i="4"/>
  <c r="K8" i="4"/>
  <c r="H3" i="4"/>
  <c r="C28" i="4"/>
  <c r="C27" i="4"/>
  <c r="K15" i="4"/>
  <c r="N4" i="4"/>
  <c r="N5" i="4"/>
  <c r="N6" i="4"/>
  <c r="N7" i="4"/>
  <c r="N8" i="4"/>
  <c r="N3" i="4"/>
  <c r="K16" i="4"/>
  <c r="K17" i="4"/>
  <c r="K18" i="4"/>
  <c r="K19" i="4"/>
  <c r="K20" i="4"/>
  <c r="I4" i="4"/>
  <c r="I5" i="4"/>
  <c r="I6" i="4"/>
  <c r="I7" i="4"/>
  <c r="I8" i="4"/>
  <c r="I3" i="4"/>
  <c r="H4" i="4"/>
  <c r="H5" i="4"/>
  <c r="H6" i="4"/>
  <c r="H7" i="4"/>
  <c r="H8" i="4"/>
  <c r="D30" i="2"/>
  <c r="E30" i="2" s="1"/>
  <c r="D31" i="2"/>
  <c r="E31" i="2" s="1"/>
  <c r="D32" i="2"/>
  <c r="E32" i="2" s="1"/>
  <c r="D33" i="2"/>
  <c r="E33" i="2" s="1"/>
  <c r="D29" i="2"/>
  <c r="E29" i="2" s="1"/>
  <c r="D3" i="3"/>
  <c r="E3" i="3" s="1"/>
  <c r="D7" i="3"/>
  <c r="E7" i="3" s="1"/>
  <c r="D6" i="3"/>
  <c r="E6" i="3" s="1"/>
  <c r="D5" i="3"/>
  <c r="E5" i="3" s="1"/>
  <c r="D4" i="3"/>
  <c r="E4" i="3" s="1"/>
  <c r="C13" i="3"/>
  <c r="C12" i="3"/>
  <c r="C15" i="3" s="1"/>
  <c r="C11" i="3"/>
  <c r="C10" i="3"/>
  <c r="C9" i="3"/>
  <c r="I11" i="13" l="1"/>
  <c r="I10" i="13"/>
  <c r="I9" i="13"/>
  <c r="I8" i="13"/>
  <c r="I7" i="13"/>
  <c r="I6" i="13"/>
  <c r="I5" i="13"/>
  <c r="I4" i="13"/>
  <c r="N13" i="13"/>
  <c r="H13" i="13"/>
  <c r="M6" i="12"/>
  <c r="I21" i="12"/>
  <c r="M13" i="12"/>
  <c r="M4" i="12"/>
  <c r="M11" i="12"/>
  <c r="M19" i="12"/>
  <c r="G12" i="12"/>
  <c r="I21" i="9"/>
  <c r="G9" i="8"/>
  <c r="G10" i="8"/>
  <c r="I43" i="8"/>
  <c r="O12" i="5"/>
  <c r="Q16" i="5"/>
  <c r="R13" i="7"/>
  <c r="M13" i="7"/>
  <c r="W13" i="7"/>
  <c r="H13" i="7"/>
  <c r="M17" i="6"/>
  <c r="M8" i="6"/>
  <c r="K8" i="5"/>
  <c r="K7" i="5"/>
  <c r="K6" i="5"/>
  <c r="K3" i="5"/>
  <c r="K4" i="5"/>
  <c r="K14" i="5"/>
  <c r="I8" i="5"/>
  <c r="K16" i="5"/>
  <c r="K21" i="4"/>
  <c r="N9" i="4"/>
  <c r="C14" i="3"/>
  <c r="F29" i="2"/>
  <c r="F3" i="3"/>
  <c r="C13" i="2"/>
  <c r="C12" i="2"/>
  <c r="C11" i="2"/>
  <c r="C10" i="2"/>
  <c r="C9" i="2"/>
  <c r="C17" i="2" s="1"/>
  <c r="C18" i="1"/>
  <c r="B10" i="1" a="1"/>
  <c r="B10" i="1" s="1"/>
  <c r="F7" i="13" l="1"/>
  <c r="F10" i="13" s="1"/>
  <c r="G11" i="12"/>
  <c r="G14" i="12" s="1"/>
  <c r="G12" i="8"/>
  <c r="C17" i="1"/>
  <c r="C14" i="2"/>
  <c r="C15" i="2"/>
  <c r="H3" i="3"/>
  <c r="C14" i="1"/>
  <c r="B14" i="1"/>
  <c r="C13" i="1"/>
  <c r="B13" i="1"/>
  <c r="C12" i="1"/>
  <c r="B12" i="1"/>
  <c r="C11" i="1"/>
  <c r="B11" i="1"/>
  <c r="C10" i="1"/>
  <c r="O10" i="2" l="1"/>
  <c r="O11" i="2"/>
  <c r="O12" i="2"/>
  <c r="O13" i="2"/>
  <c r="O9" i="2"/>
  <c r="C18" i="2"/>
  <c r="O4" i="2" l="1"/>
  <c r="O5" i="2"/>
  <c r="O6" i="2"/>
  <c r="O7" i="2"/>
  <c r="O3" i="2"/>
  <c r="G3" i="2"/>
  <c r="C21" i="2"/>
  <c r="C22" i="2" l="1"/>
  <c r="C2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16EC7-C697-4FD4-9EE8-F3539F184F41}" keepAlive="1" name="Query - asd" description="Connection to the 'asd' query in the workbook." type="5" refreshedVersion="8" background="1" saveData="1">
    <dbPr connection="Provider=Microsoft.Mashup.OleDb.1;Data Source=$Workbook$;Location=asd;Extended Properties=&quot;&quot;" command="SELECT * FROM [asd]"/>
  </connection>
  <connection id="2" xr16:uid="{2833EA98-C93B-43FF-8271-272F6C8C0A5B}" keepAlive="1" name="Query - asd (2)" description="Connection to the 'asd (2)' query in the workbook." type="5" refreshedVersion="0" background="1">
    <dbPr connection="Provider=Microsoft.Mashup.OleDb.1;Data Source=$Workbook$;Location=&quot;asd (2)&quot;;Extended Properties=&quot;&quot;" command="SELECT * FROM [asd (2)]"/>
  </connection>
  <connection id="3" xr16:uid="{C9F06B02-1E52-4FC7-BC8E-1B2A9A6D21A1}" keepAlive="1" name="Query - asd (3)" description="Connection to the 'asd (3)' query in the workbook." type="5" refreshedVersion="0" background="1">
    <dbPr connection="Provider=Microsoft.Mashup.OleDb.1;Data Source=$Workbook$;Location=&quot;asd (3)&quot;;Extended Properties=&quot;&quot;" command="SELECT * FROM [asd (3)]"/>
  </connection>
</connections>
</file>

<file path=xl/sharedStrings.xml><?xml version="1.0" encoding="utf-8"?>
<sst xmlns="http://schemas.openxmlformats.org/spreadsheetml/2006/main" count="241" uniqueCount="111">
  <si>
    <t>% Elongacion</t>
  </si>
  <si>
    <t>T (°C)</t>
  </si>
  <si>
    <t>Estimacion lineal</t>
  </si>
  <si>
    <t>R2 -&gt;</t>
  </si>
  <si>
    <t>A 400 °C</t>
  </si>
  <si>
    <t>1er orden</t>
  </si>
  <si>
    <t>3er orden</t>
  </si>
  <si>
    <t>n</t>
  </si>
  <si>
    <t>sum xi*yi</t>
  </si>
  <si>
    <t>sum xi</t>
  </si>
  <si>
    <t>sum yi</t>
  </si>
  <si>
    <t>sum xi^2</t>
  </si>
  <si>
    <t>a1</t>
  </si>
  <si>
    <t>a0</t>
  </si>
  <si>
    <t>pendiente</t>
  </si>
  <si>
    <t>ordenada</t>
  </si>
  <si>
    <t>st</t>
  </si>
  <si>
    <t>xraya</t>
  </si>
  <si>
    <t>yraya</t>
  </si>
  <si>
    <t>sr</t>
  </si>
  <si>
    <t>Auxiliar</t>
  </si>
  <si>
    <t>sri</t>
  </si>
  <si>
    <t>r2</t>
  </si>
  <si>
    <t>sti</t>
  </si>
  <si>
    <t>y=a1*x+a0</t>
  </si>
  <si>
    <t>a2</t>
  </si>
  <si>
    <t>a3</t>
  </si>
  <si>
    <t>y estimado</t>
  </si>
  <si>
    <t>error^2</t>
  </si>
  <si>
    <t>FO</t>
  </si>
  <si>
    <t>err cuadrado</t>
  </si>
  <si>
    <t>func obj</t>
  </si>
  <si>
    <t>P (mmHg)</t>
  </si>
  <si>
    <t>Ecuación</t>
  </si>
  <si>
    <t>Psat=e^(A-B/T)</t>
  </si>
  <si>
    <t>Ec. Linealizada</t>
  </si>
  <si>
    <t>ln(P)=A-B/T</t>
  </si>
  <si>
    <t>ln(P)</t>
  </si>
  <si>
    <t>1/T</t>
  </si>
  <si>
    <t>A</t>
  </si>
  <si>
    <t>B</t>
  </si>
  <si>
    <t>Errores cuadrados</t>
  </si>
  <si>
    <t>Suma (FO)</t>
  </si>
  <si>
    <t>Modelo lineal</t>
  </si>
  <si>
    <t>Modelo no lineal</t>
  </si>
  <si>
    <t>Predicción</t>
  </si>
  <si>
    <t>°C</t>
  </si>
  <si>
    <t>mmHg</t>
  </si>
  <si>
    <t>T (K)</t>
  </si>
  <si>
    <t>lnP</t>
  </si>
  <si>
    <t>Modelo</t>
  </si>
  <si>
    <t>Error cuadrado</t>
  </si>
  <si>
    <t>C</t>
  </si>
  <si>
    <t>R2</t>
  </si>
  <si>
    <t>Sr</t>
  </si>
  <si>
    <t>St</t>
  </si>
  <si>
    <t>Yraya</t>
  </si>
  <si>
    <t>Yraya-Yi</t>
  </si>
  <si>
    <t>C (mg/L)</t>
  </si>
  <si>
    <t>Tasa de crecimiento (K)</t>
  </si>
  <si>
    <t>Y (k*c^2)</t>
  </si>
  <si>
    <t>x1 (c^2)</t>
  </si>
  <si>
    <t>x2 (-k)</t>
  </si>
  <si>
    <t>Kmax</t>
  </si>
  <si>
    <t>Cs</t>
  </si>
  <si>
    <t>Original</t>
  </si>
  <si>
    <t>Transformación</t>
  </si>
  <si>
    <t>K*c^2 = Kmax*C^2 - K*Cs</t>
  </si>
  <si>
    <t>K=Kmax*C^2/(Cs+C^2)</t>
  </si>
  <si>
    <t>Estimación C=2mg/L</t>
  </si>
  <si>
    <t>Modelo linealizado</t>
  </si>
  <si>
    <t>Modelo no linealizado</t>
  </si>
  <si>
    <t>Estimación modelo linealizado (K)</t>
  </si>
  <si>
    <t>Estimación modelo no linealizado (K)</t>
  </si>
  <si>
    <t>x</t>
  </si>
  <si>
    <t>y</t>
  </si>
  <si>
    <t>Estimación lineal</t>
  </si>
  <si>
    <t>Estimación parabola</t>
  </si>
  <si>
    <t>Estimación potencial</t>
  </si>
  <si>
    <t>Estimación velocidad de crecimiento</t>
  </si>
  <si>
    <t>a</t>
  </si>
  <si>
    <t>b</t>
  </si>
  <si>
    <t xml:space="preserve">La estimación por velocidad de crecimiento tiene </t>
  </si>
  <si>
    <t>Estimación parabolica</t>
  </si>
  <si>
    <t>y sigue los datos experimentales proximos en el grafico</t>
  </si>
  <si>
    <t>una suma de errores cuadrados menor que el resto</t>
  </si>
  <si>
    <t>Modelo cuadratico</t>
  </si>
  <si>
    <t>Temperatura (K)</t>
  </si>
  <si>
    <t>Densidad (mol/l)</t>
  </si>
  <si>
    <t>c</t>
  </si>
  <si>
    <t>d</t>
  </si>
  <si>
    <t>(Yraya-Yi)^2</t>
  </si>
  <si>
    <t>(Yi-Yraya)^2</t>
  </si>
  <si>
    <t>Viscosidad (mP)</t>
  </si>
  <si>
    <t>Modelo a 320 K</t>
  </si>
  <si>
    <t>Modelo a 380 K</t>
  </si>
  <si>
    <t>Temperatura (°C)</t>
  </si>
  <si>
    <t>Conc. Cloro (g/L)</t>
  </si>
  <si>
    <t>Conc. Oxigeno disuelto (mg/L)</t>
  </si>
  <si>
    <t>Estimación modelo</t>
  </si>
  <si>
    <t>a0 (independiente)</t>
  </si>
  <si>
    <t>a2 (concentracion cloro)</t>
  </si>
  <si>
    <t>a1 (temperatura)</t>
  </si>
  <si>
    <t>(yi-yraya)^2</t>
  </si>
  <si>
    <t>T</t>
  </si>
  <si>
    <t>Conc. Cloro</t>
  </si>
  <si>
    <t>a4</t>
  </si>
  <si>
    <t>Velocidad</t>
  </si>
  <si>
    <t>Numero de latas dañadas</t>
  </si>
  <si>
    <t>Modelo de regresión lineal</t>
  </si>
  <si>
    <t>Modelo de regresión cuadratico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</si>
</sst>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4" applyNumberFormat="0" applyFill="0" applyAlignment="0" applyProtection="0"/>
  </cellStyleXfs>
  <cellXfs count="18">
    <xf numFmtId="0" fontId="0" fillId="0" borderId="0" xfId="0"/>
    <xf numFmtId="0" fontId="1" fillId="0" borderId="1" xfId="1"/>
    <xf numFmtId="0" fontId="3" fillId="0" borderId="0" xfId="0" applyFont="1"/>
    <xf numFmtId="0" fontId="0" fillId="0" borderId="3" xfId="0" applyBorder="1"/>
    <xf numFmtId="0" fontId="1" fillId="0" borderId="0" xfId="1" applyFill="1" applyBorder="1"/>
    <xf numFmtId="164" fontId="0" fillId="0" borderId="0" xfId="0" applyNumberFormat="1"/>
    <xf numFmtId="0" fontId="4" fillId="0" borderId="3" xfId="0" applyFont="1" applyBorder="1"/>
    <xf numFmtId="0" fontId="3" fillId="0" borderId="3" xfId="0" applyFont="1" applyBorder="1"/>
    <xf numFmtId="0" fontId="5" fillId="0" borderId="4" xfId="3"/>
    <xf numFmtId="0" fontId="1" fillId="0" borderId="3" xfId="1" applyBorder="1" applyAlignment="1"/>
    <xf numFmtId="0" fontId="0" fillId="0" borderId="5" xfId="0" applyBorder="1"/>
    <xf numFmtId="0" fontId="2" fillId="0" borderId="2" xfId="2" applyAlignment="1">
      <alignment horizontal="center"/>
    </xf>
    <xf numFmtId="0" fontId="1" fillId="0" borderId="3" xfId="1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3" fillId="0" borderId="0" xfId="0" applyFont="1" applyFill="1" applyBorder="1"/>
    <xf numFmtId="0" fontId="3" fillId="0" borderId="3" xfId="0" applyFont="1" applyFill="1" applyBorder="1"/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</cellXfs>
  <cellStyles count="4">
    <cellStyle name="Heading 1" xfId="3" builtinId="16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1er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0997375328087"/>
                  <c:y val="-1.3283391659375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62-417C-A9F5-46A2CFF74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3er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2316754698846495"/>
                  <c:y val="4.244136448417602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CA-4C97-95A4-5E4764369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cubico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0997375328087"/>
                  <c:y val="-1.3283391659375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8E-4E85-AF11-A340AB4ED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'Problema 1 v2 Cúbico'!$B$3:$B$7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 v2 Cúbico'!$D$3:$D$7</c:f>
              <c:numCache>
                <c:formatCode>General</c:formatCode>
                <c:ptCount val="5"/>
                <c:pt idx="0">
                  <c:v>7.5494736718086051</c:v>
                </c:pt>
                <c:pt idx="1">
                  <c:v>8.4218947443277568</c:v>
                </c:pt>
                <c:pt idx="2">
                  <c:v>8.907789466694096</c:v>
                </c:pt>
                <c:pt idx="3">
                  <c:v>9.8812631217108908</c:v>
                </c:pt>
                <c:pt idx="4">
                  <c:v>11.339578924702764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D8E-4E85-AF11-A340AB4ED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1er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0997375328087"/>
                  <c:y val="-1.3283391659375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B1-473F-9633-C0AC7A478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(°C) vs. P (mmHg)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2'!$C$2</c:f>
              <c:strCache>
                <c:ptCount val="1"/>
                <c:pt idx="0">
                  <c:v>P (mmHg)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8378146744320621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2'!$B$3:$B$8</c:f>
              <c:numCache>
                <c:formatCode>General</c:formatCode>
                <c:ptCount val="6"/>
                <c:pt idx="0">
                  <c:v>15</c:v>
                </c:pt>
                <c:pt idx="1">
                  <c:v>26.7</c:v>
                </c:pt>
                <c:pt idx="2">
                  <c:v>33.1</c:v>
                </c:pt>
                <c:pt idx="3">
                  <c:v>38.6</c:v>
                </c:pt>
                <c:pt idx="4">
                  <c:v>46.7</c:v>
                </c:pt>
                <c:pt idx="5">
                  <c:v>52.6</c:v>
                </c:pt>
              </c:numCache>
            </c:numRef>
          </c:xVal>
          <c:yVal>
            <c:numRef>
              <c:f>'Problema 2'!$C$3:$C$8</c:f>
              <c:numCache>
                <c:formatCode>General</c:formatCode>
                <c:ptCount val="6"/>
                <c:pt idx="0">
                  <c:v>5</c:v>
                </c:pt>
                <c:pt idx="1">
                  <c:v>10.4</c:v>
                </c:pt>
                <c:pt idx="2">
                  <c:v>15</c:v>
                </c:pt>
                <c:pt idx="3">
                  <c:v>20.100000000000001</c:v>
                </c:pt>
                <c:pt idx="4">
                  <c:v>30.1</c:v>
                </c:pt>
                <c:pt idx="5">
                  <c:v>39.9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6-4B63-B055-285531B8A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631408"/>
        <c:axId val="1996465312"/>
      </c:scatterChart>
      <c:valAx>
        <c:axId val="1314631408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96465312"/>
        <c:crosses val="autoZero"/>
        <c:crossBetween val="midCat"/>
      </c:valAx>
      <c:valAx>
        <c:axId val="1996465312"/>
        <c:scaling>
          <c:orientation val="minMax"/>
          <c:max val="40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1463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Eq</a:t>
            </a:r>
            <a:r>
              <a:rPr lang="es-AR" baseline="0"/>
              <a:t> linealizada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2'!$H$3:$H$8</c:f>
              <c:numCache>
                <c:formatCode>General</c:formatCode>
                <c:ptCount val="6"/>
                <c:pt idx="0">
                  <c:v>6.6666666666666666E-2</c:v>
                </c:pt>
                <c:pt idx="1">
                  <c:v>3.7453183520599252E-2</c:v>
                </c:pt>
                <c:pt idx="2">
                  <c:v>3.0211480362537763E-2</c:v>
                </c:pt>
                <c:pt idx="3">
                  <c:v>2.5906735751295335E-2</c:v>
                </c:pt>
                <c:pt idx="4">
                  <c:v>2.1413276231263382E-2</c:v>
                </c:pt>
                <c:pt idx="5">
                  <c:v>1.9011406844106463E-2</c:v>
                </c:pt>
              </c:numCache>
            </c:numRef>
          </c:xVal>
          <c:yVal>
            <c:numRef>
              <c:f>'Problema 2'!$I$3:$I$8</c:f>
              <c:numCache>
                <c:formatCode>General</c:formatCode>
                <c:ptCount val="6"/>
                <c:pt idx="0">
                  <c:v>1.6094379124341003</c:v>
                </c:pt>
                <c:pt idx="1">
                  <c:v>2.341805806147327</c:v>
                </c:pt>
                <c:pt idx="2">
                  <c:v>2.7080502011022101</c:v>
                </c:pt>
                <c:pt idx="3">
                  <c:v>3.0007198150650303</c:v>
                </c:pt>
                <c:pt idx="4">
                  <c:v>3.4045251717548299</c:v>
                </c:pt>
                <c:pt idx="5">
                  <c:v>3.6863763238958178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89-4BF6-A1A6-38919F947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39903"/>
        <c:axId val="796159007"/>
      </c:scatterChart>
      <c:valAx>
        <c:axId val="7223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96159007"/>
        <c:crosses val="autoZero"/>
        <c:crossBetween val="midCat"/>
      </c:valAx>
      <c:valAx>
        <c:axId val="79615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223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Comparativa</a:t>
            </a:r>
            <a:r>
              <a:rPr lang="es-AR" baseline="0"/>
              <a:t> de los modelos con datos experimentales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9.4177775797735785E-2"/>
          <c:y val="0.12264275967363861"/>
          <c:w val="0.66997993016456825"/>
          <c:h val="0.73053210903117682"/>
        </c:manualLayout>
      </c:layout>
      <c:scatterChart>
        <c:scatterStyle val="lineMarker"/>
        <c:varyColors val="0"/>
        <c:ser>
          <c:idx val="0"/>
          <c:order val="0"/>
          <c:tx>
            <c:v>Datos experimentales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'Problema 4'!$B$3:$B$7</c:f>
              <c:numCache>
                <c:formatCode>General</c:formatCode>
                <c:ptCount val="5"/>
                <c:pt idx="0">
                  <c:v>0.5</c:v>
                </c:pt>
                <c:pt idx="1">
                  <c:v>0.8</c:v>
                </c:pt>
                <c:pt idx="2">
                  <c:v>1.5</c:v>
                </c:pt>
                <c:pt idx="3">
                  <c:v>2.5</c:v>
                </c:pt>
                <c:pt idx="4">
                  <c:v>4</c:v>
                </c:pt>
              </c:numCache>
            </c:numRef>
          </c:xVal>
          <c:yVal>
            <c:numRef>
              <c:f>'Problema 4'!$C$3:$C$7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2.4</c:v>
                </c:pt>
                <c:pt idx="2">
                  <c:v>5.3</c:v>
                </c:pt>
                <c:pt idx="3">
                  <c:v>7.6</c:v>
                </c:pt>
                <c:pt idx="4">
                  <c:v>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8D-4264-B0AC-C45B892387D8}"/>
            </c:ext>
          </c:extLst>
        </c:ser>
        <c:ser>
          <c:idx val="1"/>
          <c:order val="1"/>
          <c:tx>
            <c:v>Modelo linealizado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'Problema 4'!$B$3:$B$7</c:f>
              <c:numCache>
                <c:formatCode>General</c:formatCode>
                <c:ptCount val="5"/>
                <c:pt idx="0">
                  <c:v>0.5</c:v>
                </c:pt>
                <c:pt idx="1">
                  <c:v>0.8</c:v>
                </c:pt>
                <c:pt idx="2">
                  <c:v>1.5</c:v>
                </c:pt>
                <c:pt idx="3">
                  <c:v>2.5</c:v>
                </c:pt>
                <c:pt idx="4">
                  <c:v>4</c:v>
                </c:pt>
              </c:numCache>
            </c:numRef>
          </c:xVal>
          <c:yVal>
            <c:numRef>
              <c:f>'Problema 4'!$O$3:$O$7</c:f>
              <c:numCache>
                <c:formatCode>General</c:formatCode>
                <c:ptCount val="5"/>
                <c:pt idx="0">
                  <c:v>1.1156255020517989</c:v>
                </c:pt>
                <c:pt idx="1">
                  <c:v>2.433000430176727</c:v>
                </c:pt>
                <c:pt idx="2">
                  <c:v>5.3080411659966149</c:v>
                </c:pt>
                <c:pt idx="3">
                  <c:v>7.58977355627185</c:v>
                </c:pt>
                <c:pt idx="4">
                  <c:v>8.9013494854032462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D-4264-B0AC-C45B892387D8}"/>
            </c:ext>
          </c:extLst>
        </c:ser>
        <c:ser>
          <c:idx val="2"/>
          <c:order val="2"/>
          <c:tx>
            <c:v>Modelo no linealizado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'Problema 4'!$B$3:$B$7</c:f>
              <c:numCache>
                <c:formatCode>General</c:formatCode>
                <c:ptCount val="5"/>
                <c:pt idx="0">
                  <c:v>0.5</c:v>
                </c:pt>
                <c:pt idx="1">
                  <c:v>0.8</c:v>
                </c:pt>
                <c:pt idx="2">
                  <c:v>1.5</c:v>
                </c:pt>
                <c:pt idx="3">
                  <c:v>2.5</c:v>
                </c:pt>
                <c:pt idx="4">
                  <c:v>4</c:v>
                </c:pt>
              </c:numCache>
            </c:numRef>
          </c:xVal>
          <c:yVal>
            <c:numRef>
              <c:f>'Problema 4'!$O$12:$O$16</c:f>
              <c:numCache>
                <c:formatCode>General</c:formatCode>
                <c:ptCount val="5"/>
                <c:pt idx="0">
                  <c:v>1.1062917724465884</c:v>
                </c:pt>
                <c:pt idx="1">
                  <c:v>2.4165405403969236</c:v>
                </c:pt>
                <c:pt idx="2">
                  <c:v>5.2907740999659021</c:v>
                </c:pt>
                <c:pt idx="3">
                  <c:v>7.5863747159759773</c:v>
                </c:pt>
                <c:pt idx="4">
                  <c:v>8.9117801171788642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8D-4264-B0AC-C45B89238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464559"/>
        <c:axId val="1342376527"/>
      </c:scatterChart>
      <c:valAx>
        <c:axId val="593464559"/>
        <c:scaling>
          <c:orientation val="minMax"/>
          <c:max val="4.2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42376527"/>
        <c:crosses val="autoZero"/>
        <c:crossBetween val="midCat"/>
      </c:valAx>
      <c:valAx>
        <c:axId val="1342376527"/>
        <c:scaling>
          <c:orientation val="minMax"/>
          <c:max val="9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93464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040688889067421"/>
          <c:y val="0.45943537928432637"/>
          <c:w val="0.21568007017138968"/>
          <c:h val="0.167399114709460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X vs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5'!$C$3:$C$12</c:f>
              <c:numCache>
                <c:formatCode>General</c:formatCode>
                <c:ptCount val="10"/>
                <c:pt idx="0">
                  <c:v>17</c:v>
                </c:pt>
                <c:pt idx="1">
                  <c:v>24</c:v>
                </c:pt>
                <c:pt idx="2">
                  <c:v>31</c:v>
                </c:pt>
                <c:pt idx="3">
                  <c:v>33</c:v>
                </c:pt>
                <c:pt idx="4">
                  <c:v>37</c:v>
                </c:pt>
                <c:pt idx="5">
                  <c:v>37</c:v>
                </c:pt>
                <c:pt idx="6">
                  <c:v>40</c:v>
                </c:pt>
                <c:pt idx="7">
                  <c:v>40</c:v>
                </c:pt>
                <c:pt idx="8">
                  <c:v>42</c:v>
                </c:pt>
                <c:pt idx="9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D3-47A1-ABA4-2B89D65C48C2}"/>
            </c:ext>
          </c:extLst>
        </c:ser>
        <c:ser>
          <c:idx val="1"/>
          <c:order val="1"/>
          <c:tx>
            <c:v>Lineal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5'!$J$17:$J$26</c:f>
              <c:numCache>
                <c:formatCode>General</c:formatCode>
                <c:ptCount val="10"/>
                <c:pt idx="0">
                  <c:v>23.072726228898205</c:v>
                </c:pt>
                <c:pt idx="1">
                  <c:v>25.545453569956219</c:v>
                </c:pt>
                <c:pt idx="2">
                  <c:v>28.018180911014234</c:v>
                </c:pt>
                <c:pt idx="3">
                  <c:v>30.490908252072245</c:v>
                </c:pt>
                <c:pt idx="4">
                  <c:v>32.963635593130263</c:v>
                </c:pt>
                <c:pt idx="5">
                  <c:v>35.436362934188274</c:v>
                </c:pt>
                <c:pt idx="6">
                  <c:v>37.909090275246285</c:v>
                </c:pt>
                <c:pt idx="7">
                  <c:v>40.381817616304296</c:v>
                </c:pt>
                <c:pt idx="8">
                  <c:v>42.854544957362307</c:v>
                </c:pt>
                <c:pt idx="9">
                  <c:v>45.327272298420326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D3-47A1-ABA4-2B89D65C48C2}"/>
            </c:ext>
          </c:extLst>
        </c:ser>
        <c:ser>
          <c:idx val="2"/>
          <c:order val="2"/>
          <c:tx>
            <c:v>Potencial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5'!$L$17:$L$27</c:f>
              <c:numCache>
                <c:formatCode>General</c:formatCode>
                <c:ptCount val="11"/>
                <c:pt idx="0">
                  <c:v>19.855732611010247</c:v>
                </c:pt>
                <c:pt idx="1">
                  <c:v>25.189169976215059</c:v>
                </c:pt>
                <c:pt idx="2">
                  <c:v>28.950550609147808</c:v>
                </c:pt>
                <c:pt idx="3">
                  <c:v>31.955219005055458</c:v>
                </c:pt>
                <c:pt idx="4">
                  <c:v>34.498957022948588</c:v>
                </c:pt>
                <c:pt idx="5">
                  <c:v>36.726942011420313</c:v>
                </c:pt>
                <c:pt idx="6">
                  <c:v>38.72256525657118</c:v>
                </c:pt>
                <c:pt idx="7">
                  <c:v>40.538692724899953</c:v>
                </c:pt>
                <c:pt idx="8">
                  <c:v>42.211204038277216</c:v>
                </c:pt>
                <c:pt idx="9">
                  <c:v>43.765702806217234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D3-47A1-ABA4-2B89D65C48C2}"/>
            </c:ext>
          </c:extLst>
        </c:ser>
        <c:ser>
          <c:idx val="3"/>
          <c:order val="3"/>
          <c:tx>
            <c:v>Velocidad de crecimiento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5'!$N$17:$N$26</c:f>
              <c:numCache>
                <c:formatCode>General</c:formatCode>
                <c:ptCount val="10"/>
                <c:pt idx="0">
                  <c:v>16.699038128897826</c:v>
                </c:pt>
                <c:pt idx="1">
                  <c:v>25.102229786711646</c:v>
                </c:pt>
                <c:pt idx="2">
                  <c:v>30.161452669333634</c:v>
                </c:pt>
                <c:pt idx="3">
                  <c:v>33.541510516032325</c:v>
                </c:pt>
                <c:pt idx="4">
                  <c:v>35.959394741100262</c:v>
                </c:pt>
                <c:pt idx="5">
                  <c:v>37.774757012739158</c:v>
                </c:pt>
                <c:pt idx="6">
                  <c:v>39.187862125998926</c:v>
                </c:pt>
                <c:pt idx="7">
                  <c:v>40.319075730989582</c:v>
                </c:pt>
                <c:pt idx="8">
                  <c:v>41.24509688316175</c:v>
                </c:pt>
                <c:pt idx="9">
                  <c:v>42.01711330402096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D3-47A1-ABA4-2B89D65C48C2}"/>
            </c:ext>
          </c:extLst>
        </c:ser>
        <c:ser>
          <c:idx val="4"/>
          <c:order val="4"/>
          <c:tx>
            <c:v>Parabolica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5'!$P$17:$P$26</c:f>
              <c:numCache>
                <c:formatCode>General</c:formatCode>
                <c:ptCount val="10"/>
                <c:pt idx="0">
                  <c:v>18.254532424618183</c:v>
                </c:pt>
                <c:pt idx="1">
                  <c:v>23.939380352737402</c:v>
                </c:pt>
                <c:pt idx="2">
                  <c:v>28.821197862005633</c:v>
                </c:pt>
                <c:pt idx="3">
                  <c:v>32.899984952422876</c:v>
                </c:pt>
                <c:pt idx="4">
                  <c:v>36.175741623989126</c:v>
                </c:pt>
                <c:pt idx="5">
                  <c:v>38.64846787670438</c:v>
                </c:pt>
                <c:pt idx="6">
                  <c:v>40.318163710568648</c:v>
                </c:pt>
                <c:pt idx="7">
                  <c:v>41.184829125581928</c:v>
                </c:pt>
                <c:pt idx="8">
                  <c:v>41.248464121744213</c:v>
                </c:pt>
                <c:pt idx="9">
                  <c:v>40.509068699055526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D3-47A1-ABA4-2B89D65C4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320767"/>
        <c:axId val="1437739039"/>
      </c:scatterChart>
      <c:valAx>
        <c:axId val="594320767"/>
        <c:scaling>
          <c:orientation val="minMax"/>
          <c:max val="55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37739039"/>
        <c:crosses val="autoZero"/>
        <c:crossBetween val="midCat"/>
      </c:valAx>
      <c:valAx>
        <c:axId val="1437739039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94320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Densidad</a:t>
            </a:r>
            <a:r>
              <a:rPr lang="es-AR" baseline="0"/>
              <a:t> vs Viscosidad a 320 K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01720198644234"/>
          <c:y val="0.17634259259259263"/>
          <c:w val="0.6425806511028227"/>
          <c:h val="0.67332441736890358"/>
        </c:manualLayout>
      </c:layout>
      <c:scatterChart>
        <c:scatterStyle val="lineMarker"/>
        <c:varyColors val="0"/>
        <c:ser>
          <c:idx val="0"/>
          <c:order val="0"/>
          <c:tx>
            <c:v>Datos experimentales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'Problema 6'!$C$3:$C$22</c:f>
              <c:numCache>
                <c:formatCode>General</c:formatCode>
                <c:ptCount val="20"/>
                <c:pt idx="0">
                  <c:v>3.7812999999999999E-2</c:v>
                </c:pt>
                <c:pt idx="1">
                  <c:v>0.86511000000000005</c:v>
                </c:pt>
                <c:pt idx="2">
                  <c:v>1.4235</c:v>
                </c:pt>
                <c:pt idx="3">
                  <c:v>2.1395</c:v>
                </c:pt>
                <c:pt idx="4">
                  <c:v>2.5994000000000002</c:v>
                </c:pt>
                <c:pt idx="5">
                  <c:v>3.1806999999999999</c:v>
                </c:pt>
                <c:pt idx="6">
                  <c:v>3.984</c:v>
                </c:pt>
                <c:pt idx="7">
                  <c:v>5.2682000000000002</c:v>
                </c:pt>
                <c:pt idx="8">
                  <c:v>7.1967999999999996</c:v>
                </c:pt>
                <c:pt idx="9">
                  <c:v>8.5524000000000004</c:v>
                </c:pt>
                <c:pt idx="10">
                  <c:v>9.7932000000000006</c:v>
                </c:pt>
                <c:pt idx="11">
                  <c:v>10.465999999999999</c:v>
                </c:pt>
                <c:pt idx="12">
                  <c:v>10.936</c:v>
                </c:pt>
                <c:pt idx="13">
                  <c:v>12.266</c:v>
                </c:pt>
                <c:pt idx="14">
                  <c:v>13.022</c:v>
                </c:pt>
                <c:pt idx="15">
                  <c:v>14.004</c:v>
                </c:pt>
                <c:pt idx="16">
                  <c:v>14.683</c:v>
                </c:pt>
                <c:pt idx="17">
                  <c:v>15.212999999999999</c:v>
                </c:pt>
                <c:pt idx="18">
                  <c:v>15.651</c:v>
                </c:pt>
                <c:pt idx="19">
                  <c:v>16.026</c:v>
                </c:pt>
              </c:numCache>
            </c:numRef>
          </c:xVal>
          <c:yVal>
            <c:numRef>
              <c:f>'Problema 6'!$D$3:$D$22</c:f>
              <c:numCache>
                <c:formatCode>General</c:formatCode>
                <c:ptCount val="20"/>
                <c:pt idx="0">
                  <c:v>100</c:v>
                </c:pt>
                <c:pt idx="1">
                  <c:v>105</c:v>
                </c:pt>
                <c:pt idx="2">
                  <c:v>109</c:v>
                </c:pt>
                <c:pt idx="3">
                  <c:v>116</c:v>
                </c:pt>
                <c:pt idx="4">
                  <c:v>123</c:v>
                </c:pt>
                <c:pt idx="5">
                  <c:v>130</c:v>
                </c:pt>
                <c:pt idx="6">
                  <c:v>148</c:v>
                </c:pt>
                <c:pt idx="7">
                  <c:v>169</c:v>
                </c:pt>
                <c:pt idx="8">
                  <c:v>235</c:v>
                </c:pt>
                <c:pt idx="9">
                  <c:v>273</c:v>
                </c:pt>
                <c:pt idx="10">
                  <c:v>327</c:v>
                </c:pt>
                <c:pt idx="11">
                  <c:v>371</c:v>
                </c:pt>
                <c:pt idx="12">
                  <c:v>401</c:v>
                </c:pt>
                <c:pt idx="13">
                  <c:v>500</c:v>
                </c:pt>
                <c:pt idx="14">
                  <c:v>567</c:v>
                </c:pt>
                <c:pt idx="15">
                  <c:v>676</c:v>
                </c:pt>
                <c:pt idx="16">
                  <c:v>768</c:v>
                </c:pt>
                <c:pt idx="17">
                  <c:v>852</c:v>
                </c:pt>
                <c:pt idx="18">
                  <c:v>928</c:v>
                </c:pt>
                <c:pt idx="19">
                  <c:v>1002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DF-4ED7-8D74-3768C2630C10}"/>
            </c:ext>
          </c:extLst>
        </c:ser>
        <c:ser>
          <c:idx val="1"/>
          <c:order val="1"/>
          <c:tx>
            <c:v>Modelo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'Problema 6'!$C$3:$C$22</c:f>
              <c:numCache>
                <c:formatCode>General</c:formatCode>
                <c:ptCount val="20"/>
                <c:pt idx="0">
                  <c:v>3.7812999999999999E-2</c:v>
                </c:pt>
                <c:pt idx="1">
                  <c:v>0.86511000000000005</c:v>
                </c:pt>
                <c:pt idx="2">
                  <c:v>1.4235</c:v>
                </c:pt>
                <c:pt idx="3">
                  <c:v>2.1395</c:v>
                </c:pt>
                <c:pt idx="4">
                  <c:v>2.5994000000000002</c:v>
                </c:pt>
                <c:pt idx="5">
                  <c:v>3.1806999999999999</c:v>
                </c:pt>
                <c:pt idx="6">
                  <c:v>3.984</c:v>
                </c:pt>
                <c:pt idx="7">
                  <c:v>5.2682000000000002</c:v>
                </c:pt>
                <c:pt idx="8">
                  <c:v>7.1967999999999996</c:v>
                </c:pt>
                <c:pt idx="9">
                  <c:v>8.5524000000000004</c:v>
                </c:pt>
                <c:pt idx="10">
                  <c:v>9.7932000000000006</c:v>
                </c:pt>
                <c:pt idx="11">
                  <c:v>10.465999999999999</c:v>
                </c:pt>
                <c:pt idx="12">
                  <c:v>10.936</c:v>
                </c:pt>
                <c:pt idx="13">
                  <c:v>12.266</c:v>
                </c:pt>
                <c:pt idx="14">
                  <c:v>13.022</c:v>
                </c:pt>
                <c:pt idx="15">
                  <c:v>14.004</c:v>
                </c:pt>
                <c:pt idx="16">
                  <c:v>14.683</c:v>
                </c:pt>
                <c:pt idx="17">
                  <c:v>15.212999999999999</c:v>
                </c:pt>
                <c:pt idx="18">
                  <c:v>15.651</c:v>
                </c:pt>
                <c:pt idx="19">
                  <c:v>16.026</c:v>
                </c:pt>
              </c:numCache>
            </c:numRef>
          </c:xVal>
          <c:yVal>
            <c:numRef>
              <c:f>'Problema 6'!$M$3:$M$22</c:f>
              <c:numCache>
                <c:formatCode>General</c:formatCode>
                <c:ptCount val="20"/>
                <c:pt idx="0">
                  <c:v>114.52696193669318</c:v>
                </c:pt>
                <c:pt idx="1">
                  <c:v>115.69394207615062</c:v>
                </c:pt>
                <c:pt idx="2">
                  <c:v>117.70850381163375</c:v>
                </c:pt>
                <c:pt idx="3">
                  <c:v>121.79844399079066</c:v>
                </c:pt>
                <c:pt idx="4">
                  <c:v>125.36461112436534</c:v>
                </c:pt>
                <c:pt idx="5">
                  <c:v>130.99269892322147</c:v>
                </c:pt>
                <c:pt idx="6">
                  <c:v>141.00020869188549</c:v>
                </c:pt>
                <c:pt idx="7">
                  <c:v>163.12596205679964</c:v>
                </c:pt>
                <c:pt idx="8">
                  <c:v>213.93325399345804</c:v>
                </c:pt>
                <c:pt idx="9">
                  <c:v>265.83311083107463</c:v>
                </c:pt>
                <c:pt idx="10">
                  <c:v>328.19344391140129</c:v>
                </c:pt>
                <c:pt idx="11">
                  <c:v>369.00414447925812</c:v>
                </c:pt>
                <c:pt idx="12">
                  <c:v>400.78842559905388</c:v>
                </c:pt>
                <c:pt idx="13">
                  <c:v>507.12812543985547</c:v>
                </c:pt>
                <c:pt idx="14">
                  <c:v>579.69159308046278</c:v>
                </c:pt>
                <c:pt idx="15">
                  <c:v>688.9013932826058</c:v>
                </c:pt>
                <c:pt idx="16">
                  <c:v>775.3251141088067</c:v>
                </c:pt>
                <c:pt idx="17">
                  <c:v>849.54209003672759</c:v>
                </c:pt>
                <c:pt idx="18">
                  <c:v>915.63870183338906</c:v>
                </c:pt>
                <c:pt idx="19">
                  <c:v>975.82925750391792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DF-4ED7-8D74-3768C263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915728"/>
        <c:axId val="1453144496"/>
      </c:scatterChart>
      <c:valAx>
        <c:axId val="2052915728"/>
        <c:scaling>
          <c:orientation val="minMax"/>
          <c:max val="17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Densidad (mol/L)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3144496"/>
        <c:crosses val="autoZero"/>
        <c:crossBetween val="midCat"/>
      </c:valAx>
      <c:valAx>
        <c:axId val="1453144496"/>
        <c:scaling>
          <c:orientation val="minMax"/>
          <c:max val="11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Viscosidad (mP)</a:t>
                </a:r>
              </a:p>
            </c:rich>
          </c:tx>
          <c:layout>
            <c:manualLayout>
              <c:xMode val="edge"/>
              <c:yMode val="edge"/>
              <c:x val="4.5777299420306269E-2"/>
              <c:y val="0.320189195100612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5291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867671217356836"/>
          <c:y val="0.48226778944298632"/>
          <c:w val="0.22693479861779867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Densidad</a:t>
            </a:r>
            <a:r>
              <a:rPr lang="es-AR" baseline="0"/>
              <a:t> vs Viscosidad a 380 K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01720198644234"/>
          <c:y val="0.17634259259259263"/>
          <c:w val="0.6425806511028227"/>
          <c:h val="0.67332441736890358"/>
        </c:manualLayout>
      </c:layout>
      <c:scatterChart>
        <c:scatterStyle val="lineMarker"/>
        <c:varyColors val="0"/>
        <c:ser>
          <c:idx val="0"/>
          <c:order val="0"/>
          <c:tx>
            <c:v>Datos experimentales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'Problema 6'!$C$23:$C$42</c:f>
              <c:numCache>
                <c:formatCode>General</c:formatCode>
                <c:ptCount val="20"/>
                <c:pt idx="0">
                  <c:v>3.1759999999999997E-2</c:v>
                </c:pt>
                <c:pt idx="1">
                  <c:v>0.68120999999999998</c:v>
                </c:pt>
                <c:pt idx="2">
                  <c:v>1.0638000000000001</c:v>
                </c:pt>
                <c:pt idx="3">
                  <c:v>1.4804999999999999</c:v>
                </c:pt>
                <c:pt idx="4">
                  <c:v>1.7033</c:v>
                </c:pt>
                <c:pt idx="5">
                  <c:v>1.9367000000000001</c:v>
                </c:pt>
                <c:pt idx="6">
                  <c:v>2.1814</c:v>
                </c:pt>
                <c:pt idx="7">
                  <c:v>2.4380999999999999</c:v>
                </c:pt>
                <c:pt idx="8">
                  <c:v>2.7075</c:v>
                </c:pt>
                <c:pt idx="9">
                  <c:v>2.99</c:v>
                </c:pt>
                <c:pt idx="10">
                  <c:v>3.5947</c:v>
                </c:pt>
                <c:pt idx="11">
                  <c:v>4.2488000000000001</c:v>
                </c:pt>
                <c:pt idx="12">
                  <c:v>4.9379</c:v>
                </c:pt>
                <c:pt idx="13">
                  <c:v>7.9962999999999997</c:v>
                </c:pt>
                <c:pt idx="14">
                  <c:v>9.7614000000000001</c:v>
                </c:pt>
                <c:pt idx="15">
                  <c:v>11.608000000000001</c:v>
                </c:pt>
                <c:pt idx="16">
                  <c:v>12.678000000000001</c:v>
                </c:pt>
                <c:pt idx="17">
                  <c:v>13.439</c:v>
                </c:pt>
                <c:pt idx="18">
                  <c:v>14.034000000000001</c:v>
                </c:pt>
                <c:pt idx="19">
                  <c:v>14.525</c:v>
                </c:pt>
              </c:numCache>
            </c:numRef>
          </c:xVal>
          <c:yVal>
            <c:numRef>
              <c:f>'Problema 6'!$D$23:$D$42</c:f>
              <c:numCache>
                <c:formatCode>General</c:formatCode>
                <c:ptCount val="20"/>
                <c:pt idx="0">
                  <c:v>117</c:v>
                </c:pt>
                <c:pt idx="1">
                  <c:v>121</c:v>
                </c:pt>
                <c:pt idx="2">
                  <c:v>124</c:v>
                </c:pt>
                <c:pt idx="3">
                  <c:v>128</c:v>
                </c:pt>
                <c:pt idx="4">
                  <c:v>131</c:v>
                </c:pt>
                <c:pt idx="5">
                  <c:v>133</c:v>
                </c:pt>
                <c:pt idx="6">
                  <c:v>137</c:v>
                </c:pt>
                <c:pt idx="7">
                  <c:v>140</c:v>
                </c:pt>
                <c:pt idx="8">
                  <c:v>145</c:v>
                </c:pt>
                <c:pt idx="9">
                  <c:v>150</c:v>
                </c:pt>
                <c:pt idx="10">
                  <c:v>162</c:v>
                </c:pt>
                <c:pt idx="11">
                  <c:v>174</c:v>
                </c:pt>
                <c:pt idx="12">
                  <c:v>188</c:v>
                </c:pt>
                <c:pt idx="13">
                  <c:v>278</c:v>
                </c:pt>
                <c:pt idx="14">
                  <c:v>355</c:v>
                </c:pt>
                <c:pt idx="15">
                  <c:v>467</c:v>
                </c:pt>
                <c:pt idx="16">
                  <c:v>552</c:v>
                </c:pt>
                <c:pt idx="17">
                  <c:v>624</c:v>
                </c:pt>
                <c:pt idx="18">
                  <c:v>695</c:v>
                </c:pt>
                <c:pt idx="19">
                  <c:v>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F3-4ED1-B575-E310180AC28D}"/>
            </c:ext>
          </c:extLst>
        </c:ser>
        <c:ser>
          <c:idx val="1"/>
          <c:order val="1"/>
          <c:tx>
            <c:v>Modelo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'Problema 6'!$C$23:$C$42</c:f>
              <c:numCache>
                <c:formatCode>General</c:formatCode>
                <c:ptCount val="20"/>
                <c:pt idx="0">
                  <c:v>3.1759999999999997E-2</c:v>
                </c:pt>
                <c:pt idx="1">
                  <c:v>0.68120999999999998</c:v>
                </c:pt>
                <c:pt idx="2">
                  <c:v>1.0638000000000001</c:v>
                </c:pt>
                <c:pt idx="3">
                  <c:v>1.4804999999999999</c:v>
                </c:pt>
                <c:pt idx="4">
                  <c:v>1.7033</c:v>
                </c:pt>
                <c:pt idx="5">
                  <c:v>1.9367000000000001</c:v>
                </c:pt>
                <c:pt idx="6">
                  <c:v>2.1814</c:v>
                </c:pt>
                <c:pt idx="7">
                  <c:v>2.4380999999999999</c:v>
                </c:pt>
                <c:pt idx="8">
                  <c:v>2.7075</c:v>
                </c:pt>
                <c:pt idx="9">
                  <c:v>2.99</c:v>
                </c:pt>
                <c:pt idx="10">
                  <c:v>3.5947</c:v>
                </c:pt>
                <c:pt idx="11">
                  <c:v>4.2488000000000001</c:v>
                </c:pt>
                <c:pt idx="12">
                  <c:v>4.9379</c:v>
                </c:pt>
                <c:pt idx="13">
                  <c:v>7.9962999999999997</c:v>
                </c:pt>
                <c:pt idx="14">
                  <c:v>9.7614000000000001</c:v>
                </c:pt>
                <c:pt idx="15">
                  <c:v>11.608000000000001</c:v>
                </c:pt>
                <c:pt idx="16">
                  <c:v>12.678000000000001</c:v>
                </c:pt>
                <c:pt idx="17">
                  <c:v>13.439</c:v>
                </c:pt>
                <c:pt idx="18">
                  <c:v>14.034000000000001</c:v>
                </c:pt>
                <c:pt idx="19">
                  <c:v>14.525</c:v>
                </c:pt>
              </c:numCache>
            </c:numRef>
          </c:xVal>
          <c:yVal>
            <c:numRef>
              <c:f>'Problema 6'!$M$25:$M$44</c:f>
              <c:numCache>
                <c:formatCode>General</c:formatCode>
                <c:ptCount val="20"/>
                <c:pt idx="0">
                  <c:v>129.66981490261031</c:v>
                </c:pt>
                <c:pt idx="1">
                  <c:v>130.39227544202927</c:v>
                </c:pt>
                <c:pt idx="2">
                  <c:v>131.43922217046108</c:v>
                </c:pt>
                <c:pt idx="3">
                  <c:v>133.11462501436193</c:v>
                </c:pt>
                <c:pt idx="4">
                  <c:v>134.2443610208463</c:v>
                </c:pt>
                <c:pt idx="5">
                  <c:v>135.60668913484574</c:v>
                </c:pt>
                <c:pt idx="6">
                  <c:v>137.23566547399656</c:v>
                </c:pt>
                <c:pt idx="7">
                  <c:v>139.17078394085732</c:v>
                </c:pt>
                <c:pt idx="8">
                  <c:v>141.45786877824224</c:v>
                </c:pt>
                <c:pt idx="9">
                  <c:v>144.14712904627362</c:v>
                </c:pt>
                <c:pt idx="10">
                  <c:v>150.95568545606233</c:v>
                </c:pt>
                <c:pt idx="11">
                  <c:v>160.05539742889937</c:v>
                </c:pt>
                <c:pt idx="12">
                  <c:v>171.79125409152377</c:v>
                </c:pt>
                <c:pt idx="13">
                  <c:v>257.8232967559693</c:v>
                </c:pt>
                <c:pt idx="14">
                  <c:v>341.53710874414458</c:v>
                </c:pt>
                <c:pt idx="15">
                  <c:v>466.47299575675913</c:v>
                </c:pt>
                <c:pt idx="16">
                  <c:v>560.6433165131715</c:v>
                </c:pt>
                <c:pt idx="17">
                  <c:v>639.04405611816685</c:v>
                </c:pt>
                <c:pt idx="18">
                  <c:v>707.6672838544016</c:v>
                </c:pt>
                <c:pt idx="19">
                  <c:v>769.51319293361257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F3-4ED1-B575-E310180AC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915728"/>
        <c:axId val="1453144496"/>
      </c:scatterChart>
      <c:valAx>
        <c:axId val="2052915728"/>
        <c:scaling>
          <c:orientation val="minMax"/>
          <c:max val="17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Densidad (mol/L)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3144496"/>
        <c:crosses val="autoZero"/>
        <c:crossBetween val="midCat"/>
      </c:valAx>
      <c:valAx>
        <c:axId val="1453144496"/>
        <c:scaling>
          <c:orientation val="minMax"/>
          <c:max val="8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Viscosidad (mP)</a:t>
                </a:r>
              </a:p>
            </c:rich>
          </c:tx>
          <c:layout>
            <c:manualLayout>
              <c:xMode val="edge"/>
              <c:yMode val="edge"/>
              <c:x val="4.5777299420306269E-2"/>
              <c:y val="0.320189195100612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5291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867671217356836"/>
          <c:y val="0.48226778944298632"/>
          <c:w val="0.22693479861779867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Latas</a:t>
            </a:r>
            <a:r>
              <a:rPr lang="es-AR" baseline="0"/>
              <a:t> dañadas según la velocidad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98417543433143"/>
                  <c:y val="-7.40658376789388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7708017629871735"/>
                  <c:y val="0.186251852780714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9'!$B$3:$B$12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</c:numCache>
            </c:numRef>
          </c:xVal>
          <c:yVal>
            <c:numRef>
              <c:f>'Problema 9'!$C$3:$C$12</c:f>
              <c:numCache>
                <c:formatCode>General</c:formatCode>
                <c:ptCount val="10"/>
                <c:pt idx="0">
                  <c:v>54</c:v>
                </c:pt>
                <c:pt idx="1">
                  <c:v>62</c:v>
                </c:pt>
                <c:pt idx="2">
                  <c:v>65</c:v>
                </c:pt>
                <c:pt idx="3">
                  <c:v>94</c:v>
                </c:pt>
                <c:pt idx="4">
                  <c:v>122</c:v>
                </c:pt>
                <c:pt idx="5">
                  <c:v>84</c:v>
                </c:pt>
                <c:pt idx="6">
                  <c:v>142</c:v>
                </c:pt>
                <c:pt idx="7">
                  <c:v>139</c:v>
                </c:pt>
                <c:pt idx="8">
                  <c:v>184</c:v>
                </c:pt>
                <c:pt idx="9">
                  <c:v>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2A-482D-9F9B-218A24E5A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661199"/>
        <c:axId val="1101707855"/>
      </c:scatterChart>
      <c:valAx>
        <c:axId val="2100661199"/>
        <c:scaling>
          <c:orientation val="minMax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Velocidad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01707855"/>
        <c:crosses val="autoZero"/>
        <c:crossBetween val="midCat"/>
      </c:valAx>
      <c:valAx>
        <c:axId val="1101707855"/>
        <c:scaling>
          <c:orientation val="minMax"/>
          <c:max val="26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Latas dañadas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066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185737</xdr:rowOff>
    </xdr:from>
    <xdr:to>
      <xdr:col>12</xdr:col>
      <xdr:colOff>0</xdr:colOff>
      <xdr:row>14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0081A3-BF8B-275C-5834-37D2C0566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21</xdr:col>
      <xdr:colOff>0</xdr:colOff>
      <xdr:row>15</xdr:row>
      <xdr:rowOff>4763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F63F1D-CA1F-4806-BF37-F97581EC3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7328</xdr:colOff>
      <xdr:row>8</xdr:row>
      <xdr:rowOff>0</xdr:rowOff>
    </xdr:from>
    <xdr:to>
      <xdr:col>10</xdr:col>
      <xdr:colOff>87923</xdr:colOff>
      <xdr:row>20</xdr:row>
      <xdr:rowOff>29308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E370A-007F-49A7-864D-BDC42B32F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7329</xdr:colOff>
      <xdr:row>4</xdr:row>
      <xdr:rowOff>7327</xdr:rowOff>
    </xdr:from>
    <xdr:to>
      <xdr:col>12</xdr:col>
      <xdr:colOff>1</xdr:colOff>
      <xdr:row>16</xdr:row>
      <xdr:rowOff>36635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B8B52CEE-1B52-4E23-B656-BBC1458F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597145</xdr:colOff>
      <xdr:row>9</xdr:row>
      <xdr:rowOff>5860</xdr:rowOff>
    </xdr:from>
    <xdr:to>
      <xdr:col>6</xdr:col>
      <xdr:colOff>7327</xdr:colOff>
      <xdr:row>23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323BF7-6DE3-9588-7E0A-A368F296C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3664</xdr:colOff>
      <xdr:row>1</xdr:row>
      <xdr:rowOff>5862</xdr:rowOff>
    </xdr:from>
    <xdr:to>
      <xdr:col>20</xdr:col>
      <xdr:colOff>344366</xdr:colOff>
      <xdr:row>11</xdr:row>
      <xdr:rowOff>153865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D495BE-7218-CAFD-00D7-A2441F5C9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10989</xdr:colOff>
      <xdr:row>11</xdr:row>
      <xdr:rowOff>5861</xdr:rowOff>
    </xdr:from>
    <xdr:to>
      <xdr:col>7</xdr:col>
      <xdr:colOff>7327</xdr:colOff>
      <xdr:row>31</xdr:row>
      <xdr:rowOff>7326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196553-F0BD-8AAB-FFEA-652C625A4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14</xdr:row>
      <xdr:rowOff>187324</xdr:rowOff>
    </xdr:from>
    <xdr:to>
      <xdr:col>8</xdr:col>
      <xdr:colOff>269875</xdr:colOff>
      <xdr:row>29</xdr:row>
      <xdr:rowOff>73024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0D65C-C865-3DB7-08FE-9F3CDA1A7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1</xdr:row>
      <xdr:rowOff>14286</xdr:rowOff>
    </xdr:from>
    <xdr:to>
      <xdr:col>22</xdr:col>
      <xdr:colOff>561975</xdr:colOff>
      <xdr:row>17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E039DB-4E68-2D71-C442-31823442C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19</xdr:row>
      <xdr:rowOff>180975</xdr:rowOff>
    </xdr:from>
    <xdr:to>
      <xdr:col>22</xdr:col>
      <xdr:colOff>552450</xdr:colOff>
      <xdr:row>36</xdr:row>
      <xdr:rowOff>157163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6132D1-FF75-4B44-827C-3B6EF8F61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15</xdr:row>
      <xdr:rowOff>0</xdr:rowOff>
    </xdr:from>
    <xdr:to>
      <xdr:col>5</xdr:col>
      <xdr:colOff>971549</xdr:colOff>
      <xdr:row>31</xdr:row>
      <xdr:rowOff>14289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C8B08-C1FE-DFA9-9A62-C5DDA6C81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DE6A-1411-4839-8387-BDA33BFEB7F5}">
  <dimension ref="A2:C18"/>
  <sheetViews>
    <sheetView zoomScale="130" zoomScaleNormal="130" workbookViewId="0">
      <selection activeCell="N22" sqref="N22"/>
    </sheetView>
  </sheetViews>
  <sheetFormatPr defaultColWidth="9.140625" defaultRowHeight="15" x14ac:dyDescent="0.25"/>
  <cols>
    <col min="2" max="2" width="16.140625" bestFit="1" customWidth="1"/>
    <col min="3" max="3" width="14.42578125" bestFit="1" customWidth="1"/>
  </cols>
  <sheetData>
    <row r="2" spans="1:3" ht="18" thickBot="1" x14ac:dyDescent="0.35">
      <c r="B2" s="1" t="s">
        <v>1</v>
      </c>
      <c r="C2" s="1" t="s">
        <v>0</v>
      </c>
    </row>
    <row r="3" spans="1:3" ht="15.75" thickTop="1" x14ac:dyDescent="0.25">
      <c r="B3">
        <v>200</v>
      </c>
      <c r="C3">
        <v>7.5</v>
      </c>
    </row>
    <row r="4" spans="1:3" x14ac:dyDescent="0.25">
      <c r="B4">
        <v>250</v>
      </c>
      <c r="C4">
        <v>8.6</v>
      </c>
    </row>
    <row r="5" spans="1:3" x14ac:dyDescent="0.25">
      <c r="B5">
        <v>300</v>
      </c>
      <c r="C5">
        <v>8.6999999999999993</v>
      </c>
    </row>
    <row r="6" spans="1:3" x14ac:dyDescent="0.25">
      <c r="B6">
        <v>375</v>
      </c>
      <c r="C6">
        <v>10</v>
      </c>
    </row>
    <row r="7" spans="1:3" x14ac:dyDescent="0.25">
      <c r="B7">
        <v>425</v>
      </c>
      <c r="C7">
        <v>11.3</v>
      </c>
    </row>
    <row r="9" spans="1:3" ht="15.75" thickBot="1" x14ac:dyDescent="0.3">
      <c r="B9" s="11" t="s">
        <v>2</v>
      </c>
      <c r="C9" s="11"/>
    </row>
    <row r="10" spans="1:3" x14ac:dyDescent="0.25">
      <c r="B10">
        <f t="array" ref="B10:C14">LINEST(C3:C7,B3:B7,1,1)</f>
        <v>1.568421052631579E-2</v>
      </c>
      <c r="C10">
        <v>4.3578947368421037</v>
      </c>
    </row>
    <row r="11" spans="1:3" x14ac:dyDescent="0.25">
      <c r="B11">
        <v>1.9225197817033688E-3</v>
      </c>
      <c r="C11">
        <v>0.61625681128847487</v>
      </c>
    </row>
    <row r="12" spans="1:3" x14ac:dyDescent="0.25">
      <c r="A12" t="s">
        <v>3</v>
      </c>
      <c r="B12">
        <v>0.95686895057015486</v>
      </c>
      <c r="C12">
        <v>0.35056345622740764</v>
      </c>
    </row>
    <row r="13" spans="1:3" x14ac:dyDescent="0.25">
      <c r="B13">
        <v>66.555460385438849</v>
      </c>
      <c r="C13">
        <v>3</v>
      </c>
    </row>
    <row r="14" spans="1:3" x14ac:dyDescent="0.25">
      <c r="B14">
        <v>8.179315789473689</v>
      </c>
      <c r="C14">
        <v>0.36868421052631672</v>
      </c>
    </row>
    <row r="16" spans="1:3" ht="15.75" thickBot="1" x14ac:dyDescent="0.3">
      <c r="B16" s="11" t="s">
        <v>4</v>
      </c>
      <c r="C16" s="11"/>
    </row>
    <row r="17" spans="2:3" x14ac:dyDescent="0.25">
      <c r="B17" t="s">
        <v>5</v>
      </c>
      <c r="C17">
        <f>400*B10+C10</f>
        <v>10.631578947368419</v>
      </c>
    </row>
    <row r="18" spans="2:3" x14ac:dyDescent="0.25">
      <c r="B18" t="s">
        <v>6</v>
      </c>
      <c r="C18">
        <f>0.0000006*400^3-0.0005*400^2+0.1615*400-8.6683</f>
        <v>14.331700000000007</v>
      </c>
    </row>
  </sheetData>
  <mergeCells count="2">
    <mergeCell ref="B9:C9"/>
    <mergeCell ref="B16:C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8807-DE30-4B25-AC20-AE87B2FD803A}">
  <dimension ref="B2:H21"/>
  <sheetViews>
    <sheetView zoomScale="130" zoomScaleNormal="130" workbookViewId="0">
      <selection activeCell="F3" sqref="F3"/>
    </sheetView>
  </sheetViews>
  <sheetFormatPr defaultColWidth="9.140625" defaultRowHeight="15" x14ac:dyDescent="0.25"/>
  <cols>
    <col min="2" max="2" width="16.140625" bestFit="1" customWidth="1"/>
    <col min="3" max="3" width="14.42578125" bestFit="1" customWidth="1"/>
    <col min="4" max="4" width="14.42578125" customWidth="1"/>
    <col min="5" max="5" width="12.85546875" bestFit="1" customWidth="1"/>
    <col min="6" max="6" width="13.140625" bestFit="1" customWidth="1"/>
    <col min="16" max="16" width="12.85546875" bestFit="1" customWidth="1"/>
  </cols>
  <sheetData>
    <row r="2" spans="2:8" ht="18" thickBot="1" x14ac:dyDescent="0.35">
      <c r="B2" s="1" t="s">
        <v>1</v>
      </c>
      <c r="C2" s="1" t="s">
        <v>0</v>
      </c>
      <c r="D2" s="1" t="s">
        <v>27</v>
      </c>
      <c r="E2" s="4" t="s">
        <v>28</v>
      </c>
      <c r="F2" s="4" t="s">
        <v>29</v>
      </c>
      <c r="G2" s="11" t="s">
        <v>4</v>
      </c>
      <c r="H2" s="11"/>
    </row>
    <row r="3" spans="2:8" ht="15.75" thickTop="1" x14ac:dyDescent="0.25">
      <c r="B3">
        <v>200</v>
      </c>
      <c r="C3">
        <v>7.5</v>
      </c>
      <c r="D3">
        <f>$C$18+$C$19*B3+$C$20*B3^2+$C$21*B3^3</f>
        <v>7.5494736718086051</v>
      </c>
      <c r="E3">
        <f>(D3-C3)^2</f>
        <v>2.4476442022255641E-3</v>
      </c>
      <c r="F3">
        <f>SUM(E3:E7)</f>
        <v>9.3010526315787392E-2</v>
      </c>
      <c r="G3" t="s">
        <v>5</v>
      </c>
      <c r="H3">
        <f>400*C17+C18</f>
        <v>-8.6682716329733616</v>
      </c>
    </row>
    <row r="4" spans="2:8" x14ac:dyDescent="0.25">
      <c r="B4">
        <v>250</v>
      </c>
      <c r="C4">
        <v>8.6</v>
      </c>
      <c r="D4">
        <f>$C$18+$C$19*B4+$C$20*B4^2+$C$21*B4^3</f>
        <v>8.4218947443277568</v>
      </c>
      <c r="E4">
        <f>(D4-C4)^2</f>
        <v>3.1721482098075009E-2</v>
      </c>
    </row>
    <row r="5" spans="2:8" x14ac:dyDescent="0.25">
      <c r="B5">
        <v>300</v>
      </c>
      <c r="C5">
        <v>8.6999999999999993</v>
      </c>
      <c r="D5">
        <f>$C$18+$C$19*B5+$C$20*B5^2+$C$21*B5^3</f>
        <v>8.907789466694096</v>
      </c>
      <c r="E5">
        <f t="shared" ref="E5" si="0">(D5-C5)^2</f>
        <v>4.3176462469017123E-2</v>
      </c>
    </row>
    <row r="6" spans="2:8" x14ac:dyDescent="0.25">
      <c r="B6">
        <v>375</v>
      </c>
      <c r="C6">
        <v>10</v>
      </c>
      <c r="D6">
        <f>$C$18+$C$19*B6+$C$20*B6^2+$C$21*B6^3</f>
        <v>9.8812631217108908</v>
      </c>
      <c r="E6">
        <f>(D6-C6)^2</f>
        <v>1.4098446265842725E-2</v>
      </c>
    </row>
    <row r="7" spans="2:8" x14ac:dyDescent="0.25">
      <c r="B7">
        <v>425</v>
      </c>
      <c r="C7">
        <v>11.3</v>
      </c>
      <c r="D7">
        <f>$C$18+$C$19*B7+$C$20*B7^2+$C$21*B7^3</f>
        <v>11.339578924702764</v>
      </c>
      <c r="E7">
        <f>(D7-C7)^2</f>
        <v>1.5664912806269769E-3</v>
      </c>
    </row>
    <row r="9" spans="2:8" x14ac:dyDescent="0.25">
      <c r="B9" t="s">
        <v>7</v>
      </c>
      <c r="C9">
        <f>COUNT(B3:B7)</f>
        <v>5</v>
      </c>
    </row>
    <row r="10" spans="2:8" x14ac:dyDescent="0.25">
      <c r="B10" t="s">
        <v>8</v>
      </c>
      <c r="C10">
        <f>C3*B3+B4*C4+C5*B5+B6*C6+B7*C7</f>
        <v>14812.5</v>
      </c>
    </row>
    <row r="11" spans="2:8" x14ac:dyDescent="0.25">
      <c r="B11" t="s">
        <v>9</v>
      </c>
      <c r="C11">
        <f>SUM(B3:B7)</f>
        <v>1550</v>
      </c>
    </row>
    <row r="12" spans="2:8" x14ac:dyDescent="0.25">
      <c r="B12" t="s">
        <v>10</v>
      </c>
      <c r="C12">
        <f>SUM(C3:C7)</f>
        <v>46.099999999999994</v>
      </c>
    </row>
    <row r="13" spans="2:8" x14ac:dyDescent="0.25">
      <c r="B13" t="s">
        <v>11</v>
      </c>
      <c r="C13">
        <f>B3^2+B4^2+B5^2+B6^2+B7^2</f>
        <v>513750</v>
      </c>
    </row>
    <row r="14" spans="2:8" x14ac:dyDescent="0.25">
      <c r="B14" t="s">
        <v>17</v>
      </c>
      <c r="C14">
        <f>C11/C9</f>
        <v>310</v>
      </c>
    </row>
    <row r="15" spans="2:8" x14ac:dyDescent="0.25">
      <c r="B15" t="s">
        <v>18</v>
      </c>
      <c r="C15">
        <f>C12/C9</f>
        <v>9.2199999999999989</v>
      </c>
    </row>
    <row r="17" spans="2:3" x14ac:dyDescent="0.25">
      <c r="B17" s="2"/>
    </row>
    <row r="18" spans="2:3" x14ac:dyDescent="0.25">
      <c r="B18" s="6" t="s">
        <v>13</v>
      </c>
      <c r="C18" s="3">
        <v>-8.6682716329733616</v>
      </c>
    </row>
    <row r="19" spans="2:3" x14ac:dyDescent="0.25">
      <c r="B19" s="6" t="s">
        <v>12</v>
      </c>
      <c r="C19" s="3">
        <v>0.16154362895998903</v>
      </c>
    </row>
    <row r="20" spans="2:3" x14ac:dyDescent="0.25">
      <c r="B20" s="6" t="s">
        <v>25</v>
      </c>
      <c r="C20" s="3">
        <v>-5.2044514568942702E-4</v>
      </c>
    </row>
    <row r="21" spans="2:3" x14ac:dyDescent="0.25">
      <c r="B21" s="6" t="s">
        <v>26</v>
      </c>
      <c r="C21" s="3">
        <v>5.9085316754515504E-7</v>
      </c>
    </row>
  </sheetData>
  <mergeCells count="1">
    <mergeCell ref="G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998F-512A-44C2-97CA-851E1823527A}">
  <dimension ref="B2:O36"/>
  <sheetViews>
    <sheetView topLeftCell="A13" zoomScale="130" zoomScaleNormal="130" workbookViewId="0">
      <selection activeCell="B35" sqref="B35:B36"/>
    </sheetView>
  </sheetViews>
  <sheetFormatPr defaultColWidth="9.140625" defaultRowHeight="15" x14ac:dyDescent="0.25"/>
  <cols>
    <col min="2" max="2" width="16.140625" bestFit="1" customWidth="1"/>
    <col min="3" max="3" width="14.42578125" bestFit="1" customWidth="1"/>
    <col min="15" max="15" width="12.85546875" bestFit="1" customWidth="1"/>
  </cols>
  <sheetData>
    <row r="2" spans="2:15" ht="18" thickBot="1" x14ac:dyDescent="0.35">
      <c r="B2" s="1" t="s">
        <v>1</v>
      </c>
      <c r="C2" s="1" t="s">
        <v>0</v>
      </c>
      <c r="F2" s="11" t="s">
        <v>4</v>
      </c>
      <c r="G2" s="11"/>
      <c r="N2" t="s">
        <v>20</v>
      </c>
    </row>
    <row r="3" spans="2:15" ht="15.75" thickTop="1" x14ac:dyDescent="0.25">
      <c r="B3">
        <v>200</v>
      </c>
      <c r="C3">
        <v>7.5</v>
      </c>
      <c r="F3" t="s">
        <v>5</v>
      </c>
      <c r="G3">
        <f>400*C17+C18</f>
        <v>10.631578947368428</v>
      </c>
      <c r="N3" t="s">
        <v>21</v>
      </c>
      <c r="O3">
        <f>(C3-$C$18-$C$17*B3)^2</f>
        <v>2.7700831025045449E-5</v>
      </c>
    </row>
    <row r="4" spans="2:15" x14ac:dyDescent="0.25">
      <c r="B4">
        <v>250</v>
      </c>
      <c r="C4">
        <v>8.6</v>
      </c>
      <c r="O4">
        <f t="shared" ref="O4:O7" si="0">(C4-$C$18-$C$17*B4)^2</f>
        <v>0.10307479224377124</v>
      </c>
    </row>
    <row r="5" spans="2:15" x14ac:dyDescent="0.25">
      <c r="B5">
        <v>300</v>
      </c>
      <c r="C5">
        <v>8.6999999999999993</v>
      </c>
      <c r="O5">
        <f t="shared" si="0"/>
        <v>0.13188365650969466</v>
      </c>
    </row>
    <row r="6" spans="2:15" x14ac:dyDescent="0.25">
      <c r="B6">
        <v>375</v>
      </c>
      <c r="C6">
        <v>10</v>
      </c>
      <c r="O6">
        <f t="shared" si="0"/>
        <v>5.7347645429365206E-2</v>
      </c>
    </row>
    <row r="7" spans="2:15" x14ac:dyDescent="0.25">
      <c r="B7">
        <v>425</v>
      </c>
      <c r="C7">
        <v>11.3</v>
      </c>
      <c r="O7">
        <f t="shared" si="0"/>
        <v>7.6350415512460884E-2</v>
      </c>
    </row>
    <row r="9" spans="2:15" x14ac:dyDescent="0.25">
      <c r="B9" t="s">
        <v>7</v>
      </c>
      <c r="C9">
        <f>COUNT(B3:B7)</f>
        <v>5</v>
      </c>
      <c r="N9" t="s">
        <v>23</v>
      </c>
      <c r="O9">
        <f>(C3-$C$15)^2</f>
        <v>2.9583999999999961</v>
      </c>
    </row>
    <row r="10" spans="2:15" x14ac:dyDescent="0.25">
      <c r="B10" t="s">
        <v>8</v>
      </c>
      <c r="C10" s="5">
        <f>C3*B3+B4*C4+C5*B5+B6*C6+B7*C7</f>
        <v>14812.5</v>
      </c>
      <c r="O10">
        <f t="shared" ref="O10:O13" si="1">(C4-$C$15)^2</f>
        <v>0.38439999999999902</v>
      </c>
    </row>
    <row r="11" spans="2:15" x14ac:dyDescent="0.25">
      <c r="B11" t="s">
        <v>9</v>
      </c>
      <c r="C11">
        <f>SUM(B3:B7)</f>
        <v>1550</v>
      </c>
      <c r="O11">
        <f t="shared" si="1"/>
        <v>0.27039999999999953</v>
      </c>
    </row>
    <row r="12" spans="2:15" x14ac:dyDescent="0.25">
      <c r="B12" t="s">
        <v>10</v>
      </c>
      <c r="C12" s="5">
        <f>SUM(C3:C7)</f>
        <v>46.099999999999994</v>
      </c>
      <c r="O12">
        <f t="shared" si="1"/>
        <v>0.60840000000000183</v>
      </c>
    </row>
    <row r="13" spans="2:15" x14ac:dyDescent="0.25">
      <c r="B13" t="s">
        <v>11</v>
      </c>
      <c r="C13" s="5">
        <f>B3^2+B4^2+B5^2+B6^2+B7^2</f>
        <v>513750</v>
      </c>
      <c r="O13">
        <f t="shared" si="1"/>
        <v>4.3264000000000076</v>
      </c>
    </row>
    <row r="14" spans="2:15" x14ac:dyDescent="0.25">
      <c r="B14" t="s">
        <v>17</v>
      </c>
      <c r="C14">
        <f>C11/C9</f>
        <v>310</v>
      </c>
    </row>
    <row r="15" spans="2:15" x14ac:dyDescent="0.25">
      <c r="B15" t="s">
        <v>18</v>
      </c>
      <c r="C15">
        <f>C12/C9</f>
        <v>9.2199999999999989</v>
      </c>
    </row>
    <row r="17" spans="2:6" x14ac:dyDescent="0.25">
      <c r="B17" s="2" t="s">
        <v>12</v>
      </c>
      <c r="C17">
        <f>(C9*C10-C11*C12)/(C9*C13-C11^2)</f>
        <v>1.5684210526315877E-2</v>
      </c>
      <c r="D17" t="s">
        <v>14</v>
      </c>
    </row>
    <row r="18" spans="2:6" x14ac:dyDescent="0.25">
      <c r="B18" s="2" t="s">
        <v>13</v>
      </c>
      <c r="C18">
        <f>C15-C14*C17</f>
        <v>4.3578947368420771</v>
      </c>
      <c r="D18" t="s">
        <v>15</v>
      </c>
    </row>
    <row r="19" spans="2:6" x14ac:dyDescent="0.25">
      <c r="B19" t="s">
        <v>24</v>
      </c>
    </row>
    <row r="21" spans="2:6" x14ac:dyDescent="0.25">
      <c r="B21" t="s">
        <v>16</v>
      </c>
      <c r="C21">
        <f>SUM(O9:O13)</f>
        <v>8.5480000000000054</v>
      </c>
    </row>
    <row r="22" spans="2:6" x14ac:dyDescent="0.25">
      <c r="B22" t="s">
        <v>19</v>
      </c>
      <c r="C22">
        <f>SUM(O3:O7)</f>
        <v>0.36868421052631706</v>
      </c>
    </row>
    <row r="25" spans="2:6" x14ac:dyDescent="0.25">
      <c r="B25" t="s">
        <v>22</v>
      </c>
      <c r="C25">
        <f>(C21-C22)/(C21)</f>
        <v>0.95686895057015486</v>
      </c>
    </row>
    <row r="28" spans="2:6" ht="18" thickBot="1" x14ac:dyDescent="0.35">
      <c r="B28" s="1" t="s">
        <v>1</v>
      </c>
      <c r="C28" s="1" t="s">
        <v>0</v>
      </c>
      <c r="D28" t="s">
        <v>27</v>
      </c>
      <c r="E28" t="s">
        <v>30</v>
      </c>
      <c r="F28" t="s">
        <v>31</v>
      </c>
    </row>
    <row r="29" spans="2:6" ht="15.75" thickTop="1" x14ac:dyDescent="0.25">
      <c r="B29">
        <v>200</v>
      </c>
      <c r="C29">
        <v>7.5</v>
      </c>
      <c r="D29">
        <f>$C$35+B29*$C$36</f>
        <v>7.4947196909984273</v>
      </c>
      <c r="E29">
        <f>(C29-D29)^2</f>
        <v>2.7881663152089949E-5</v>
      </c>
      <c r="F29">
        <f>SUM(E29:E33)</f>
        <v>0.36868421430485976</v>
      </c>
    </row>
    <row r="30" spans="2:6" x14ac:dyDescent="0.25">
      <c r="B30">
        <v>250</v>
      </c>
      <c r="C30">
        <v>8.6</v>
      </c>
      <c r="D30">
        <f t="shared" ref="D30:D33" si="2">$C$35+B30*$C$36</f>
        <v>8.2789259289369532</v>
      </c>
      <c r="E30">
        <f t="shared" ref="E30:E33" si="3">(C30-D30)^2</f>
        <v>0.10308855910899818</v>
      </c>
    </row>
    <row r="31" spans="2:6" x14ac:dyDescent="0.25">
      <c r="B31">
        <v>300</v>
      </c>
      <c r="C31">
        <v>8.6999999999999993</v>
      </c>
      <c r="D31">
        <f t="shared" si="2"/>
        <v>9.0631321668754801</v>
      </c>
      <c r="E31">
        <f t="shared" si="3"/>
        <v>0.13186497061968203</v>
      </c>
    </row>
    <row r="32" spans="2:6" x14ac:dyDescent="0.25">
      <c r="B32">
        <v>375</v>
      </c>
      <c r="C32">
        <v>10</v>
      </c>
      <c r="D32">
        <f t="shared" si="2"/>
        <v>10.23944152378327</v>
      </c>
      <c r="E32">
        <f t="shared" si="3"/>
        <v>5.7332243311654409E-2</v>
      </c>
    </row>
    <row r="33" spans="2:5" x14ac:dyDescent="0.25">
      <c r="B33">
        <v>425</v>
      </c>
      <c r="C33">
        <v>11.3</v>
      </c>
      <c r="D33">
        <f t="shared" si="2"/>
        <v>11.023647761721797</v>
      </c>
      <c r="E33">
        <f t="shared" si="3"/>
        <v>7.6370559601372984E-2</v>
      </c>
    </row>
    <row r="35" spans="2:5" x14ac:dyDescent="0.25">
      <c r="B35" s="6" t="s">
        <v>13</v>
      </c>
      <c r="C35" s="3">
        <v>4.3578947392443199</v>
      </c>
    </row>
    <row r="36" spans="2:5" x14ac:dyDescent="0.25">
      <c r="B36" s="6" t="s">
        <v>12</v>
      </c>
      <c r="C36" s="3">
        <v>1.5684124758770537E-2</v>
      </c>
    </row>
  </sheetData>
  <mergeCells count="1">
    <mergeCell ref="F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1937-E89C-4704-90A8-3F3818DC22BE}">
  <dimension ref="B2:N28"/>
  <sheetViews>
    <sheetView zoomScale="130" zoomScaleNormal="130" workbookViewId="0">
      <selection activeCell="K8" sqref="K8:K13"/>
    </sheetView>
  </sheetViews>
  <sheetFormatPr defaultRowHeight="15" x14ac:dyDescent="0.25"/>
  <cols>
    <col min="2" max="2" width="16.140625" bestFit="1" customWidth="1"/>
    <col min="3" max="3" width="11.42578125" bestFit="1" customWidth="1"/>
    <col min="5" max="5" width="13.85546875" bestFit="1" customWidth="1"/>
    <col min="6" max="6" width="14.42578125" bestFit="1" customWidth="1"/>
    <col min="9" max="9" width="9.85546875" customWidth="1"/>
    <col min="10" max="10" width="10.140625" bestFit="1" customWidth="1"/>
    <col min="11" max="11" width="16.85546875" bestFit="1" customWidth="1"/>
    <col min="13" max="13" width="10.140625" bestFit="1" customWidth="1"/>
    <col min="14" max="14" width="16.85546875" bestFit="1" customWidth="1"/>
  </cols>
  <sheetData>
    <row r="2" spans="2:14" ht="18" thickBot="1" x14ac:dyDescent="0.35">
      <c r="B2" s="1" t="s">
        <v>1</v>
      </c>
      <c r="C2" s="1" t="s">
        <v>32</v>
      </c>
      <c r="E2" t="s">
        <v>33</v>
      </c>
      <c r="F2" t="s">
        <v>34</v>
      </c>
      <c r="H2" s="1" t="s">
        <v>38</v>
      </c>
      <c r="I2" s="1" t="s">
        <v>37</v>
      </c>
      <c r="K2" s="12" t="s">
        <v>43</v>
      </c>
      <c r="L2" s="12"/>
      <c r="N2" s="2" t="s">
        <v>41</v>
      </c>
    </row>
    <row r="3" spans="2:14" ht="15.75" thickTop="1" x14ac:dyDescent="0.25">
      <c r="B3">
        <v>15</v>
      </c>
      <c r="C3">
        <v>5</v>
      </c>
      <c r="E3" t="s">
        <v>35</v>
      </c>
      <c r="F3" t="s">
        <v>36</v>
      </c>
      <c r="H3">
        <f>1/B3</f>
        <v>6.6666666666666666E-2</v>
      </c>
      <c r="I3">
        <f>LN(C3)</f>
        <v>1.6094379124341003</v>
      </c>
      <c r="K3" s="7" t="s">
        <v>39</v>
      </c>
      <c r="L3" s="3">
        <v>4.1527453544247122</v>
      </c>
      <c r="N3">
        <f>(I3-$L$3+H3*$L$4)^2</f>
        <v>2.8748938015005929E-2</v>
      </c>
    </row>
    <row r="4" spans="2:14" x14ac:dyDescent="0.25">
      <c r="B4">
        <v>26.7</v>
      </c>
      <c r="C4">
        <v>10.4</v>
      </c>
      <c r="H4">
        <f t="shared" ref="H4:H8" si="0">1/B4</f>
        <v>3.7453183520599252E-2</v>
      </c>
      <c r="I4">
        <f t="shared" ref="I4:I8" si="1">LN(C4)</f>
        <v>2.341805806147327</v>
      </c>
      <c r="K4" s="7" t="s">
        <v>40</v>
      </c>
      <c r="L4" s="3">
        <v>40.692938398753874</v>
      </c>
      <c r="N4">
        <f t="shared" ref="N4:N8" si="2">(I4-$L$3+H4*$L$4)^2</f>
        <v>8.228834889443383E-2</v>
      </c>
    </row>
    <row r="5" spans="2:14" x14ac:dyDescent="0.25">
      <c r="B5">
        <v>33.1</v>
      </c>
      <c r="C5">
        <v>15</v>
      </c>
      <c r="E5" t="s">
        <v>13</v>
      </c>
      <c r="F5" t="s">
        <v>39</v>
      </c>
      <c r="H5">
        <f t="shared" si="0"/>
        <v>3.0211480362537763E-2</v>
      </c>
      <c r="I5">
        <f t="shared" si="1"/>
        <v>2.7080502011022101</v>
      </c>
      <c r="N5">
        <f t="shared" si="2"/>
        <v>4.6354625665618189E-2</v>
      </c>
    </row>
    <row r="6" spans="2:14" x14ac:dyDescent="0.25">
      <c r="B6">
        <v>38.6</v>
      </c>
      <c r="C6">
        <v>20.100000000000001</v>
      </c>
      <c r="E6" t="s">
        <v>12</v>
      </c>
      <c r="F6" t="s">
        <v>40</v>
      </c>
      <c r="H6">
        <f t="shared" si="0"/>
        <v>2.5906735751295335E-2</v>
      </c>
      <c r="I6">
        <f t="shared" si="1"/>
        <v>3.0007198150650303</v>
      </c>
      <c r="N6">
        <f t="shared" si="2"/>
        <v>9.5656883984920997E-3</v>
      </c>
    </row>
    <row r="7" spans="2:14" x14ac:dyDescent="0.25">
      <c r="B7">
        <v>46.7</v>
      </c>
      <c r="C7">
        <v>30.1</v>
      </c>
      <c r="H7">
        <f t="shared" si="0"/>
        <v>2.1413276231263382E-2</v>
      </c>
      <c r="I7">
        <f t="shared" si="1"/>
        <v>3.4045251717548299</v>
      </c>
      <c r="N7">
        <f t="shared" si="2"/>
        <v>1.5165663374891289E-2</v>
      </c>
    </row>
    <row r="8" spans="2:14" x14ac:dyDescent="0.25">
      <c r="B8">
        <v>52.6</v>
      </c>
      <c r="C8">
        <v>39.9</v>
      </c>
      <c r="H8">
        <f t="shared" si="0"/>
        <v>1.9011406844106463E-2</v>
      </c>
      <c r="I8">
        <f t="shared" si="1"/>
        <v>3.6863763238958178</v>
      </c>
      <c r="K8">
        <f>H3*I3</f>
        <v>0.10729586082894002</v>
      </c>
      <c r="N8">
        <f t="shared" si="2"/>
        <v>9.4409308018935989E-2</v>
      </c>
    </row>
    <row r="9" spans="2:14" x14ac:dyDescent="0.25">
      <c r="K9">
        <f t="shared" ref="K9:K13" si="3">H4*I4</f>
        <v>8.770808262724071E-2</v>
      </c>
      <c r="M9" s="2" t="s">
        <v>42</v>
      </c>
      <c r="N9">
        <f>SUM(N3:N8)</f>
        <v>0.27653257236737727</v>
      </c>
    </row>
    <row r="10" spans="2:14" x14ac:dyDescent="0.25">
      <c r="K10">
        <f t="shared" si="3"/>
        <v>8.1814205471365864E-2</v>
      </c>
    </row>
    <row r="11" spans="2:14" x14ac:dyDescent="0.25">
      <c r="K11">
        <f t="shared" si="3"/>
        <v>7.7738855312565552E-2</v>
      </c>
    </row>
    <row r="12" spans="2:14" x14ac:dyDescent="0.25">
      <c r="K12">
        <f t="shared" si="3"/>
        <v>7.2902037939075584E-2</v>
      </c>
    </row>
    <row r="13" spans="2:14" x14ac:dyDescent="0.25">
      <c r="K13">
        <f t="shared" si="3"/>
        <v>7.0083200074064975E-2</v>
      </c>
    </row>
    <row r="14" spans="2:14" ht="17.25" x14ac:dyDescent="0.3">
      <c r="H14" s="12" t="s">
        <v>44</v>
      </c>
      <c r="I14" s="12"/>
      <c r="K14" s="2" t="s">
        <v>41</v>
      </c>
    </row>
    <row r="15" spans="2:14" x14ac:dyDescent="0.25">
      <c r="H15" s="3" t="s">
        <v>39</v>
      </c>
      <c r="I15" s="3">
        <v>5.1717664924768716</v>
      </c>
      <c r="K15">
        <f>(C3-EXP($I$15-$I$16/B3))^2</f>
        <v>17.468823872302234</v>
      </c>
    </row>
    <row r="16" spans="2:14" x14ac:dyDescent="0.25">
      <c r="H16" s="3" t="s">
        <v>40</v>
      </c>
      <c r="I16" s="3">
        <v>80.545438111675409</v>
      </c>
      <c r="K16">
        <f t="shared" ref="K16:K20" si="4">(C4-EXP($I$15-$I$16/B4))^2</f>
        <v>3.1378228054172781</v>
      </c>
    </row>
    <row r="17" spans="2:11" x14ac:dyDescent="0.25">
      <c r="K17">
        <f t="shared" si="4"/>
        <v>0.21321789705851288</v>
      </c>
    </row>
    <row r="18" spans="2:11" x14ac:dyDescent="0.25">
      <c r="K18">
        <f t="shared" si="4"/>
        <v>3.1314506237475093</v>
      </c>
    </row>
    <row r="19" spans="2:11" x14ac:dyDescent="0.25">
      <c r="K19">
        <f t="shared" si="4"/>
        <v>1.7077547272899209</v>
      </c>
    </row>
    <row r="20" spans="2:11" x14ac:dyDescent="0.25">
      <c r="K20">
        <f t="shared" si="4"/>
        <v>3.2030516953182326</v>
      </c>
    </row>
    <row r="21" spans="2:11" x14ac:dyDescent="0.25">
      <c r="J21" s="2" t="s">
        <v>42</v>
      </c>
      <c r="K21">
        <f>SUM(K15:K20)</f>
        <v>28.862121621133689</v>
      </c>
    </row>
    <row r="26" spans="2:11" ht="18" thickBot="1" x14ac:dyDescent="0.35">
      <c r="B26" s="1" t="s">
        <v>45</v>
      </c>
      <c r="C26" s="1">
        <v>37</v>
      </c>
      <c r="D26" s="1" t="s">
        <v>46</v>
      </c>
    </row>
    <row r="27" spans="2:11" ht="15.75" thickTop="1" x14ac:dyDescent="0.25">
      <c r="B27" s="2" t="s">
        <v>43</v>
      </c>
      <c r="C27">
        <f>EXP(L3-L4/C26)</f>
        <v>21.177434586803457</v>
      </c>
      <c r="D27" t="s">
        <v>47</v>
      </c>
    </row>
    <row r="28" spans="2:11" x14ac:dyDescent="0.25">
      <c r="B28" s="2" t="s">
        <v>44</v>
      </c>
      <c r="C28">
        <f>EXP(I15-I16/C26)</f>
        <v>19.982617281850001</v>
      </c>
      <c r="D28" t="s">
        <v>47</v>
      </c>
    </row>
  </sheetData>
  <mergeCells count="2">
    <mergeCell ref="K2:L2"/>
    <mergeCell ref="H14:I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E23B-FD67-4322-B059-F25FA43F4103}">
  <dimension ref="B2:R16"/>
  <sheetViews>
    <sheetView topLeftCell="D1" zoomScale="160" zoomScaleNormal="160" workbookViewId="0">
      <selection activeCell="I11" sqref="I11"/>
    </sheetView>
  </sheetViews>
  <sheetFormatPr defaultRowHeight="15" x14ac:dyDescent="0.25"/>
  <cols>
    <col min="11" max="11" width="14" bestFit="1" customWidth="1"/>
    <col min="12" max="12" width="12.7109375" bestFit="1" customWidth="1"/>
    <col min="14" max="14" width="13.28515625" customWidth="1"/>
    <col min="17" max="17" width="14" bestFit="1" customWidth="1"/>
  </cols>
  <sheetData>
    <row r="2" spans="2:18" ht="18" thickBot="1" x14ac:dyDescent="0.35">
      <c r="B2" t="s">
        <v>1</v>
      </c>
      <c r="C2" t="s">
        <v>32</v>
      </c>
      <c r="E2" s="1" t="s">
        <v>48</v>
      </c>
      <c r="F2" s="1" t="s">
        <v>49</v>
      </c>
      <c r="H2" s="12" t="s">
        <v>50</v>
      </c>
      <c r="I2" s="12"/>
      <c r="K2" t="s">
        <v>51</v>
      </c>
      <c r="L2" t="s">
        <v>92</v>
      </c>
      <c r="N2" s="12" t="s">
        <v>86</v>
      </c>
      <c r="O2" s="12"/>
      <c r="Q2" t="s">
        <v>51</v>
      </c>
      <c r="R2" t="s">
        <v>57</v>
      </c>
    </row>
    <row r="3" spans="2:18" ht="15.75" thickTop="1" x14ac:dyDescent="0.25">
      <c r="B3">
        <v>19.3</v>
      </c>
      <c r="C3">
        <v>14.7</v>
      </c>
      <c r="E3">
        <f t="shared" ref="E3:E15" si="0">273.15+B3</f>
        <v>292.45</v>
      </c>
      <c r="F3">
        <f t="shared" ref="F3:F15" si="1">LN(C3)</f>
        <v>2.6878474937846906</v>
      </c>
      <c r="H3" s="10" t="s">
        <v>39</v>
      </c>
      <c r="I3" s="10">
        <v>16.618939992010599</v>
      </c>
      <c r="K3">
        <f>(F3-$I$3+($I$4/($I$5+E3)))^2</f>
        <v>7.4610125028141993E-4</v>
      </c>
      <c r="L3">
        <f>(F3-$I$7)^2</f>
        <v>2.603243925430557</v>
      </c>
      <c r="N3" s="7" t="s">
        <v>13</v>
      </c>
      <c r="O3" s="3">
        <v>0.99069100897493889</v>
      </c>
      <c r="Q3">
        <f>(F3-$O$3-$O$4*E3-$O$5*E3^2-$O$6*E3^3)^2</f>
        <v>1.8620828786553484E-4</v>
      </c>
      <c r="R3">
        <f>(F3-$O$8)^2</f>
        <v>2.603243925430557</v>
      </c>
    </row>
    <row r="4" spans="2:18" x14ac:dyDescent="0.25">
      <c r="B4">
        <v>19.8</v>
      </c>
      <c r="C4">
        <v>14.9</v>
      </c>
      <c r="E4">
        <f t="shared" si="0"/>
        <v>292.95</v>
      </c>
      <c r="F4">
        <f t="shared" si="1"/>
        <v>2.7013612129514133</v>
      </c>
      <c r="H4" s="3" t="s">
        <v>40</v>
      </c>
      <c r="I4" s="3">
        <v>2766.2210079332526</v>
      </c>
      <c r="K4">
        <f t="shared" ref="K4:K15" si="2">(F4-$I$3+($I$4/($I$5+E4)))^2</f>
        <v>3.2489994642789986E-5</v>
      </c>
      <c r="L4">
        <f t="shared" ref="L4:L15" si="3">(F4-$I$7)^2</f>
        <v>2.5598189328252139</v>
      </c>
      <c r="N4" s="7" t="s">
        <v>12</v>
      </c>
      <c r="O4" s="3">
        <v>-0.12963369711640021</v>
      </c>
      <c r="Q4">
        <f t="shared" ref="Q4:Q15" si="4">(F4-$O$3-$O$4*E4-$O$5*E4^2-$O$6*E4^3)^2</f>
        <v>9.6472406122082239E-4</v>
      </c>
      <c r="R4">
        <f t="shared" ref="R4:R15" si="5">(F4-$O$8)^2</f>
        <v>2.5598189328252139</v>
      </c>
    </row>
    <row r="5" spans="2:18" x14ac:dyDescent="0.25">
      <c r="B5">
        <v>24.5</v>
      </c>
      <c r="C5">
        <v>20.399999999999999</v>
      </c>
      <c r="E5">
        <f t="shared" si="0"/>
        <v>297.64999999999998</v>
      </c>
      <c r="F5">
        <f t="shared" si="1"/>
        <v>3.0155349008501706</v>
      </c>
      <c r="H5" s="3" t="s">
        <v>52</v>
      </c>
      <c r="I5" s="3">
        <v>-94.274023462989675</v>
      </c>
      <c r="K5">
        <f t="shared" si="2"/>
        <v>3.5796521374116869E-6</v>
      </c>
      <c r="L5">
        <f t="shared" si="3"/>
        <v>1.6532037924345855</v>
      </c>
      <c r="N5" s="7" t="s">
        <v>25</v>
      </c>
      <c r="O5" s="3">
        <v>7.3489840530142718E-4</v>
      </c>
      <c r="Q5">
        <f t="shared" si="4"/>
        <v>3.0519937028868645E-5</v>
      </c>
      <c r="R5">
        <f t="shared" si="5"/>
        <v>1.6532037924345855</v>
      </c>
    </row>
    <row r="6" spans="2:18" x14ac:dyDescent="0.25">
      <c r="B6">
        <v>30.3</v>
      </c>
      <c r="C6">
        <v>29.4</v>
      </c>
      <c r="E6">
        <f t="shared" si="0"/>
        <v>303.45</v>
      </c>
      <c r="F6">
        <f t="shared" si="1"/>
        <v>3.380994674344636</v>
      </c>
      <c r="K6">
        <f t="shared" si="2"/>
        <v>1.8422447366766605E-4</v>
      </c>
      <c r="L6">
        <f t="shared" si="3"/>
        <v>0.84697041164148335</v>
      </c>
      <c r="N6" s="7" t="s">
        <v>26</v>
      </c>
      <c r="O6" s="3">
        <v>-9.2879958908364291E-7</v>
      </c>
      <c r="Q6">
        <f t="shared" si="4"/>
        <v>9.1377286316552515E-5</v>
      </c>
      <c r="R6">
        <f t="shared" si="5"/>
        <v>0.84697041164148335</v>
      </c>
    </row>
    <row r="7" spans="2:18" x14ac:dyDescent="0.25">
      <c r="B7">
        <v>30.3</v>
      </c>
      <c r="C7">
        <v>29.5</v>
      </c>
      <c r="E7">
        <f t="shared" si="0"/>
        <v>303.45</v>
      </c>
      <c r="F7">
        <f t="shared" si="1"/>
        <v>3.3843902633457743</v>
      </c>
      <c r="H7" t="s">
        <v>56</v>
      </c>
      <c r="I7">
        <f>AVERAGE(F3:F15)</f>
        <v>4.3013046284587286</v>
      </c>
      <c r="K7">
        <f t="shared" si="2"/>
        <v>1.035783034613841E-4</v>
      </c>
      <c r="L7">
        <f t="shared" si="3"/>
        <v>0.84073195295049208</v>
      </c>
      <c r="Q7">
        <f t="shared" si="4"/>
        <v>1.6782517801386848E-4</v>
      </c>
      <c r="R7">
        <f t="shared" si="5"/>
        <v>0.84073195295049208</v>
      </c>
    </row>
    <row r="8" spans="2:18" x14ac:dyDescent="0.25">
      <c r="B8">
        <v>35.200000000000003</v>
      </c>
      <c r="C8">
        <v>39.700000000000003</v>
      </c>
      <c r="E8">
        <f t="shared" si="0"/>
        <v>308.34999999999997</v>
      </c>
      <c r="F8">
        <f t="shared" si="1"/>
        <v>3.6813511876931448</v>
      </c>
      <c r="H8" t="s">
        <v>54</v>
      </c>
      <c r="I8">
        <f>SUM(K3:K15)</f>
        <v>4.5978756635198965E-3</v>
      </c>
      <c r="K8">
        <f t="shared" si="2"/>
        <v>2.5312818897425902E-4</v>
      </c>
      <c r="L8">
        <f t="shared" si="3"/>
        <v>0.38434226871708621</v>
      </c>
      <c r="N8" t="s">
        <v>56</v>
      </c>
      <c r="O8">
        <f>AVERAGE(F3:F15)</f>
        <v>4.3013046284587286</v>
      </c>
      <c r="Q8">
        <f t="shared" si="4"/>
        <v>3.8671062369588586E-4</v>
      </c>
      <c r="R8">
        <f t="shared" si="5"/>
        <v>0.38434226871708621</v>
      </c>
    </row>
    <row r="9" spans="2:18" x14ac:dyDescent="0.25">
      <c r="B9">
        <v>41.3</v>
      </c>
      <c r="C9">
        <v>56.4</v>
      </c>
      <c r="E9">
        <f t="shared" si="0"/>
        <v>314.45</v>
      </c>
      <c r="F9">
        <f t="shared" si="1"/>
        <v>4.0324691585040133</v>
      </c>
      <c r="H9" t="s">
        <v>55</v>
      </c>
      <c r="I9">
        <f>SUM(L3:L15)</f>
        <v>21.250563881379744</v>
      </c>
      <c r="K9">
        <f t="shared" si="2"/>
        <v>5.1931961300625857E-4</v>
      </c>
      <c r="L9">
        <f t="shared" si="3"/>
        <v>7.2272509905772636E-2</v>
      </c>
      <c r="N9" t="s">
        <v>54</v>
      </c>
      <c r="O9">
        <f>SUM(Q3:Q15)</f>
        <v>3.6181308607329881E-3</v>
      </c>
      <c r="Q9">
        <f t="shared" si="4"/>
        <v>3.1915513740995728E-4</v>
      </c>
      <c r="R9">
        <f t="shared" si="5"/>
        <v>7.2272509905772636E-2</v>
      </c>
    </row>
    <row r="10" spans="2:18" x14ac:dyDescent="0.25">
      <c r="B10">
        <v>48.1</v>
      </c>
      <c r="C10">
        <v>81.3</v>
      </c>
      <c r="E10">
        <f t="shared" si="0"/>
        <v>321.25</v>
      </c>
      <c r="F10">
        <f t="shared" si="1"/>
        <v>4.3981460165537651</v>
      </c>
      <c r="K10">
        <f t="shared" si="2"/>
        <v>1.1228237631448188E-3</v>
      </c>
      <c r="L10">
        <f t="shared" si="3"/>
        <v>9.3782544481734783E-3</v>
      </c>
      <c r="N10" t="s">
        <v>55</v>
      </c>
      <c r="O10">
        <f>SUM(R3:R15)</f>
        <v>21.250563881379744</v>
      </c>
      <c r="Q10">
        <f t="shared" si="4"/>
        <v>6.6331544219903467E-6</v>
      </c>
      <c r="R10">
        <f t="shared" si="5"/>
        <v>9.3782544481734783E-3</v>
      </c>
    </row>
    <row r="11" spans="2:18" x14ac:dyDescent="0.25">
      <c r="B11">
        <v>55.4</v>
      </c>
      <c r="C11">
        <v>120.4</v>
      </c>
      <c r="E11">
        <f t="shared" si="0"/>
        <v>328.54999999999995</v>
      </c>
      <c r="F11">
        <f t="shared" si="1"/>
        <v>4.7908195328747203</v>
      </c>
      <c r="H11" t="s">
        <v>53</v>
      </c>
      <c r="I11">
        <f>(I9-I8)/I9</f>
        <v>0.99978363512191082</v>
      </c>
      <c r="K11">
        <f t="shared" si="2"/>
        <v>4.2389903740499207E-4</v>
      </c>
      <c r="L11">
        <f t="shared" si="3"/>
        <v>0.23962484164539746</v>
      </c>
      <c r="Q11">
        <f t="shared" si="4"/>
        <v>7.9017281013755518E-6</v>
      </c>
      <c r="R11">
        <f t="shared" si="5"/>
        <v>0.23962484164539746</v>
      </c>
    </row>
    <row r="12" spans="2:18" x14ac:dyDescent="0.25">
      <c r="B12">
        <v>65.7</v>
      </c>
      <c r="C12">
        <v>199.4</v>
      </c>
      <c r="E12">
        <f t="shared" si="0"/>
        <v>338.84999999999997</v>
      </c>
      <c r="F12">
        <f t="shared" si="1"/>
        <v>5.2953128575277377</v>
      </c>
      <c r="K12">
        <f t="shared" si="2"/>
        <v>1.7833901682816111E-4</v>
      </c>
      <c r="L12">
        <f t="shared" si="3"/>
        <v>0.98805235945690761</v>
      </c>
      <c r="N12" t="s">
        <v>53</v>
      </c>
      <c r="O12">
        <f>(O10-O9)/O10</f>
        <v>0.99982973953628107</v>
      </c>
      <c r="Q12">
        <f t="shared" si="4"/>
        <v>1.7345410883942532E-4</v>
      </c>
      <c r="R12">
        <f t="shared" si="5"/>
        <v>0.98805235945690761</v>
      </c>
    </row>
    <row r="13" spans="2:18" x14ac:dyDescent="0.25">
      <c r="B13">
        <v>74.599999999999994</v>
      </c>
      <c r="C13">
        <v>300</v>
      </c>
      <c r="E13">
        <f t="shared" si="0"/>
        <v>347.75</v>
      </c>
      <c r="F13">
        <f t="shared" si="1"/>
        <v>5.7037824746562009</v>
      </c>
      <c r="K13">
        <f t="shared" si="2"/>
        <v>4.0355990715067591E-6</v>
      </c>
      <c r="L13">
        <f t="shared" si="3"/>
        <v>1.9669441090747006</v>
      </c>
      <c r="Q13">
        <f t="shared" si="4"/>
        <v>3.5693237126906938E-4</v>
      </c>
      <c r="R13">
        <f t="shared" si="5"/>
        <v>1.9669441090747006</v>
      </c>
    </row>
    <row r="14" spans="2:18" x14ac:dyDescent="0.25">
      <c r="B14">
        <v>86.6</v>
      </c>
      <c r="C14">
        <v>499.5</v>
      </c>
      <c r="E14">
        <f t="shared" si="0"/>
        <v>359.75</v>
      </c>
      <c r="F14">
        <f t="shared" si="1"/>
        <v>6.2136075980886085</v>
      </c>
      <c r="K14">
        <f t="shared" si="2"/>
        <v>2.1088709822697944E-4</v>
      </c>
      <c r="L14">
        <f t="shared" si="3"/>
        <v>3.6569026476552575</v>
      </c>
      <c r="Q14">
        <f t="shared" si="4"/>
        <v>6.5633181576095427E-5</v>
      </c>
      <c r="R14">
        <f t="shared" si="5"/>
        <v>3.6569026476552575</v>
      </c>
    </row>
    <row r="15" spans="2:18" x14ac:dyDescent="0.25">
      <c r="B15">
        <v>97.3</v>
      </c>
      <c r="C15">
        <v>758.5</v>
      </c>
      <c r="E15">
        <f t="shared" si="0"/>
        <v>370.45</v>
      </c>
      <c r="F15">
        <f t="shared" si="1"/>
        <v>6.6313427987885873</v>
      </c>
      <c r="K15">
        <f t="shared" si="2"/>
        <v>8.1546967267224894E-4</v>
      </c>
      <c r="L15">
        <f t="shared" si="3"/>
        <v>5.4290778751941158</v>
      </c>
      <c r="Q15">
        <f t="shared" si="4"/>
        <v>8.6105580497354279E-4</v>
      </c>
      <c r="R15">
        <f t="shared" si="5"/>
        <v>5.4290778751941158</v>
      </c>
    </row>
    <row r="16" spans="2:18" x14ac:dyDescent="0.25">
      <c r="J16" t="s">
        <v>42</v>
      </c>
      <c r="K16">
        <f>SUM(K3:K15)</f>
        <v>4.5978756635198965E-3</v>
      </c>
      <c r="P16" t="s">
        <v>42</v>
      </c>
      <c r="Q16">
        <f>SUM(Q3:Q15)</f>
        <v>3.6181308607329881E-3</v>
      </c>
    </row>
  </sheetData>
  <mergeCells count="2">
    <mergeCell ref="H2:I2"/>
    <mergeCell ref="N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8304-4E94-4001-8C07-E0B0AFA8CD94}">
  <dimension ref="B2:O21"/>
  <sheetViews>
    <sheetView topLeftCell="C1" zoomScale="130" zoomScaleNormal="130" workbookViewId="0">
      <selection activeCell="N20" sqref="N20"/>
    </sheetView>
  </sheetViews>
  <sheetFormatPr defaultRowHeight="15" x14ac:dyDescent="0.25"/>
  <cols>
    <col min="2" max="2" width="14.85546875" bestFit="1" customWidth="1"/>
    <col min="3" max="3" width="25.85546875" bestFit="1" customWidth="1"/>
    <col min="5" max="5" width="10.42578125" bestFit="1" customWidth="1"/>
    <col min="6" max="6" width="12.85546875" bestFit="1" customWidth="1"/>
    <col min="9" max="9" width="21" bestFit="1" customWidth="1"/>
    <col min="10" max="10" width="13.140625" bestFit="1" customWidth="1"/>
    <col min="11" max="12" width="10.140625" bestFit="1" customWidth="1"/>
    <col min="13" max="13" width="16.85546875" bestFit="1" customWidth="1"/>
    <col min="14" max="14" width="9.5703125" customWidth="1"/>
    <col min="15" max="15" width="34.5703125" bestFit="1" customWidth="1"/>
  </cols>
  <sheetData>
    <row r="2" spans="2:15" ht="18" thickBot="1" x14ac:dyDescent="0.35">
      <c r="B2" s="1" t="s">
        <v>58</v>
      </c>
      <c r="C2" s="1" t="s">
        <v>59</v>
      </c>
      <c r="E2" s="1" t="s">
        <v>60</v>
      </c>
      <c r="F2" s="1" t="s">
        <v>61</v>
      </c>
      <c r="G2" s="1" t="s">
        <v>62</v>
      </c>
      <c r="I2" s="13" t="s">
        <v>70</v>
      </c>
      <c r="J2" s="13"/>
      <c r="M2" s="2" t="s">
        <v>41</v>
      </c>
      <c r="O2" s="2" t="s">
        <v>72</v>
      </c>
    </row>
    <row r="3" spans="2:15" ht="15.75" thickTop="1" x14ac:dyDescent="0.25">
      <c r="B3">
        <v>0.5</v>
      </c>
      <c r="C3">
        <v>1.1000000000000001</v>
      </c>
      <c r="E3">
        <f>C3*B3^2</f>
        <v>0.27500000000000002</v>
      </c>
      <c r="F3">
        <f>B3^2</f>
        <v>0.25</v>
      </c>
      <c r="G3">
        <f>-C3</f>
        <v>-1.1000000000000001</v>
      </c>
      <c r="I3" s="7" t="s">
        <v>63</v>
      </c>
      <c r="J3" s="3">
        <v>10.01022806073799</v>
      </c>
      <c r="M3">
        <f>(E3-F3*$J$3-G3*$J$4)^2</f>
        <v>1.2285675931304177E-3</v>
      </c>
      <c r="O3">
        <f>$J$3*F3/($J$4+F3)</f>
        <v>1.1156255020517989</v>
      </c>
    </row>
    <row r="4" spans="2:15" x14ac:dyDescent="0.25">
      <c r="B4">
        <v>0.8</v>
      </c>
      <c r="C4">
        <v>2.4</v>
      </c>
      <c r="E4">
        <f t="shared" ref="E4:E7" si="0">C4*B4^2</f>
        <v>1.5360000000000003</v>
      </c>
      <c r="F4">
        <f t="shared" ref="F4:F7" si="1">B4^2</f>
        <v>0.64000000000000012</v>
      </c>
      <c r="G4">
        <f t="shared" ref="G4:G7" si="2">-C4</f>
        <v>-2.4</v>
      </c>
      <c r="I4" s="7" t="s">
        <v>64</v>
      </c>
      <c r="J4" s="3">
        <v>1.9931873514740641</v>
      </c>
      <c r="M4">
        <f>(E4-F4*$J$3-G4*$J$4)^2</f>
        <v>7.5509696187235371E-3</v>
      </c>
      <c r="O4">
        <f>$J$3*F4/($J$4+F4)</f>
        <v>2.433000430176727</v>
      </c>
    </row>
    <row r="5" spans="2:15" x14ac:dyDescent="0.25">
      <c r="B5">
        <v>1.5</v>
      </c>
      <c r="C5">
        <v>5.3</v>
      </c>
      <c r="E5">
        <f t="shared" si="0"/>
        <v>11.924999999999999</v>
      </c>
      <c r="F5">
        <f t="shared" si="1"/>
        <v>2.25</v>
      </c>
      <c r="G5">
        <f t="shared" si="2"/>
        <v>-5.3</v>
      </c>
      <c r="M5">
        <f>(E5-F5*$J$3-G5*$J$4)^2</f>
        <v>1.1641862634135408E-3</v>
      </c>
      <c r="O5">
        <f>$J$3*F5/($J$4+F5)</f>
        <v>5.3080411659966149</v>
      </c>
    </row>
    <row r="6" spans="2:15" x14ac:dyDescent="0.25">
      <c r="B6">
        <v>2.5</v>
      </c>
      <c r="C6">
        <v>7.6</v>
      </c>
      <c r="E6">
        <f t="shared" si="0"/>
        <v>47.5</v>
      </c>
      <c r="F6">
        <f t="shared" si="1"/>
        <v>6.25</v>
      </c>
      <c r="G6">
        <f t="shared" si="2"/>
        <v>-7.6</v>
      </c>
      <c r="M6">
        <f>(E6-F6*$J$3-G6*$J$4)^2</f>
        <v>7.1062356844243642E-3</v>
      </c>
      <c r="O6">
        <f>$J$3*F6/($J$4+F6)</f>
        <v>7.58977355627185</v>
      </c>
    </row>
    <row r="7" spans="2:15" x14ac:dyDescent="0.25">
      <c r="B7">
        <v>4</v>
      </c>
      <c r="C7">
        <v>8.9</v>
      </c>
      <c r="E7">
        <f t="shared" si="0"/>
        <v>142.4</v>
      </c>
      <c r="F7">
        <f t="shared" si="1"/>
        <v>16</v>
      </c>
      <c r="G7">
        <f t="shared" si="2"/>
        <v>-8.9</v>
      </c>
      <c r="M7">
        <f>(E7-F7*$J$3-G7*$J$4)^2</f>
        <v>5.8959336390476149E-4</v>
      </c>
      <c r="O7">
        <f>$J$3*F7/($J$4+F7)</f>
        <v>8.9013494854032462</v>
      </c>
    </row>
    <row r="8" spans="2:15" x14ac:dyDescent="0.25">
      <c r="L8" s="2" t="s">
        <v>42</v>
      </c>
      <c r="M8" s="2">
        <f>SUM(M3:M7)</f>
        <v>1.763955252359662E-2</v>
      </c>
    </row>
    <row r="9" spans="2:15" x14ac:dyDescent="0.25">
      <c r="B9" t="s">
        <v>65</v>
      </c>
      <c r="C9" t="s">
        <v>68</v>
      </c>
    </row>
    <row r="10" spans="2:15" x14ac:dyDescent="0.25">
      <c r="B10" t="s">
        <v>66</v>
      </c>
      <c r="C10" t="s">
        <v>67</v>
      </c>
    </row>
    <row r="11" spans="2:15" ht="17.25" x14ac:dyDescent="0.3">
      <c r="I11" s="12" t="s">
        <v>71</v>
      </c>
      <c r="J11" s="12"/>
      <c r="M11" s="2" t="s">
        <v>41</v>
      </c>
      <c r="O11" s="2" t="s">
        <v>73</v>
      </c>
    </row>
    <row r="12" spans="2:15" x14ac:dyDescent="0.25">
      <c r="I12" s="7" t="s">
        <v>63</v>
      </c>
      <c r="J12" s="3">
        <v>10.035706305745432</v>
      </c>
      <c r="M12">
        <f>(C3-(($J$12*B3^2)/($J$13+B3^2)))^2</f>
        <v>3.9586400519647663E-5</v>
      </c>
      <c r="O12">
        <f>$J$12*F3/($J$13+F3)</f>
        <v>1.1062917724465884</v>
      </c>
    </row>
    <row r="13" spans="2:15" x14ac:dyDescent="0.25">
      <c r="I13" s="7" t="s">
        <v>64</v>
      </c>
      <c r="J13" s="3">
        <v>2.0178705915780357</v>
      </c>
      <c r="M13">
        <f>(C4-(($J$12*B4^2)/($J$13+B4^2)))^2</f>
        <v>2.7358947662226328E-4</v>
      </c>
      <c r="O13">
        <f>$J$12*F4/($J$13+F4)</f>
        <v>2.4165405403969236</v>
      </c>
    </row>
    <row r="14" spans="2:15" x14ac:dyDescent="0.25">
      <c r="M14">
        <f>(C5-(($J$12*B5^2)/($J$13+B5^2)))^2</f>
        <v>8.5117231439164564E-5</v>
      </c>
      <c r="O14">
        <f>$J$12*F5/($J$13+F5)</f>
        <v>5.2907740999659021</v>
      </c>
    </row>
    <row r="15" spans="2:15" x14ac:dyDescent="0.25">
      <c r="M15">
        <f>(C6-(($J$12*B6^2)/($J$13+B6^2)))^2</f>
        <v>1.8564836473527731E-4</v>
      </c>
      <c r="O15">
        <f>$J$12*F6/($J$13+F6)</f>
        <v>7.5863747159759773</v>
      </c>
    </row>
    <row r="16" spans="2:15" x14ac:dyDescent="0.25">
      <c r="M16">
        <f>(C7-(($J$12*B7^2)/($J$13+B7^2)))^2</f>
        <v>1.3877116074776313E-4</v>
      </c>
      <c r="O16">
        <f>$J$12*F7/($J$13+F7)</f>
        <v>8.9117801171788642</v>
      </c>
    </row>
    <row r="17" spans="9:13" x14ac:dyDescent="0.25">
      <c r="L17" s="2" t="s">
        <v>42</v>
      </c>
      <c r="M17" s="2">
        <f>SUM(M12:M16)</f>
        <v>7.2271263406411602E-4</v>
      </c>
    </row>
    <row r="19" spans="9:13" ht="17.25" x14ac:dyDescent="0.3">
      <c r="I19" s="12" t="s">
        <v>69</v>
      </c>
      <c r="J19" s="12"/>
    </row>
    <row r="20" spans="9:13" x14ac:dyDescent="0.25">
      <c r="I20" s="7" t="s">
        <v>70</v>
      </c>
      <c r="J20" s="3">
        <f>J3*2^2/(J4+2^2)</f>
        <v>6.6810713389601668</v>
      </c>
    </row>
    <row r="21" spans="9:13" x14ac:dyDescent="0.25">
      <c r="I21" s="7" t="s">
        <v>71</v>
      </c>
      <c r="J21" s="3">
        <f>J12*2^2/(J13+2^2)</f>
        <v>6.6706029337289685</v>
      </c>
    </row>
  </sheetData>
  <mergeCells count="3">
    <mergeCell ref="I2:J2"/>
    <mergeCell ref="I11:J11"/>
    <mergeCell ref="I19:J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461F-3A00-42D5-B34C-0FFD76438785}">
  <dimension ref="B2:W34"/>
  <sheetViews>
    <sheetView zoomScale="120" zoomScaleNormal="120" workbookViewId="0">
      <selection activeCell="G35" sqref="G35"/>
    </sheetView>
  </sheetViews>
  <sheetFormatPr defaultRowHeight="15" x14ac:dyDescent="0.25"/>
  <cols>
    <col min="7" max="7" width="10.140625" bestFit="1" customWidth="1"/>
    <col min="8" max="8" width="17.42578125" bestFit="1" customWidth="1"/>
    <col min="10" max="10" width="9.7109375" customWidth="1"/>
    <col min="11" max="11" width="15.7109375" customWidth="1"/>
    <col min="12" max="12" width="10.5703125" bestFit="1" customWidth="1"/>
    <col min="13" max="13" width="17" bestFit="1" customWidth="1"/>
    <col min="15" max="15" width="34.140625" bestFit="1" customWidth="1"/>
    <col min="17" max="17" width="10.140625" customWidth="1"/>
    <col min="18" max="18" width="17" bestFit="1" customWidth="1"/>
    <col min="19" max="19" width="10.140625" bestFit="1" customWidth="1"/>
    <col min="20" max="20" width="17" bestFit="1" customWidth="1"/>
    <col min="22" max="22" width="10.5703125" bestFit="1" customWidth="1"/>
    <col min="23" max="23" width="17.42578125" bestFit="1" customWidth="1"/>
  </cols>
  <sheetData>
    <row r="2" spans="2:23" ht="20.25" thickBot="1" x14ac:dyDescent="0.35">
      <c r="B2" s="8" t="s">
        <v>74</v>
      </c>
      <c r="C2" s="8" t="s">
        <v>75</v>
      </c>
      <c r="E2" s="12" t="s">
        <v>76</v>
      </c>
      <c r="F2" s="12"/>
      <c r="H2" s="2" t="s">
        <v>41</v>
      </c>
      <c r="J2" s="12" t="s">
        <v>78</v>
      </c>
      <c r="K2" s="12"/>
      <c r="M2" s="2" t="s">
        <v>41</v>
      </c>
      <c r="O2" s="12" t="s">
        <v>79</v>
      </c>
      <c r="P2" s="12"/>
      <c r="R2" s="2" t="s">
        <v>41</v>
      </c>
      <c r="T2" s="9" t="s">
        <v>77</v>
      </c>
      <c r="U2" s="9"/>
      <c r="W2" s="2" t="s">
        <v>41</v>
      </c>
    </row>
    <row r="3" spans="2:23" ht="15.75" thickTop="1" x14ac:dyDescent="0.25">
      <c r="B3">
        <v>5</v>
      </c>
      <c r="C3">
        <v>17</v>
      </c>
      <c r="E3" s="7" t="s">
        <v>13</v>
      </c>
      <c r="F3" s="3">
        <v>20.599998887840194</v>
      </c>
      <c r="H3">
        <f>(C3-$F$3-$F$4*B3)^2</f>
        <v>36.878003851148229</v>
      </c>
      <c r="J3" s="7" t="s">
        <v>13</v>
      </c>
      <c r="K3" s="3">
        <v>11.427885117155338</v>
      </c>
      <c r="M3">
        <f>(C3-$K$3*B3^$K$4)^2</f>
        <v>8.1552087455873998</v>
      </c>
      <c r="O3" s="7" t="s">
        <v>80</v>
      </c>
      <c r="P3" s="3">
        <v>50.52927314768381</v>
      </c>
      <c r="R3">
        <f>(C3-$P$3*B3/($P$4+B3))^2</f>
        <v>9.0578047857321861E-2</v>
      </c>
      <c r="T3" s="7" t="s">
        <v>13</v>
      </c>
      <c r="U3" s="3">
        <v>11.766654077647971</v>
      </c>
      <c r="W3">
        <f t="shared" ref="W3:W12" si="0">(C3-$U$3-$U$4*B3-$U$5*B3^2)^2</f>
        <v>1.5738516044183726</v>
      </c>
    </row>
    <row r="4" spans="2:23" x14ac:dyDescent="0.25">
      <c r="B4">
        <v>10</v>
      </c>
      <c r="C4">
        <v>24</v>
      </c>
      <c r="E4" s="7" t="s">
        <v>12</v>
      </c>
      <c r="F4" s="3">
        <v>0.49454546821160261</v>
      </c>
      <c r="H4">
        <f t="shared" ref="H4:H12" si="1">(C4-$F$3-$F$4*B4)^2</f>
        <v>2.3884267368904228</v>
      </c>
      <c r="J4" s="7" t="s">
        <v>12</v>
      </c>
      <c r="K4" s="3">
        <v>0.34324799119588528</v>
      </c>
      <c r="M4">
        <f t="shared" ref="M4:M12" si="2">(C4-$K$3*B4^$K$4)^2</f>
        <v>1.4141252323313234</v>
      </c>
      <c r="O4" s="7" t="s">
        <v>81</v>
      </c>
      <c r="P4" s="3">
        <v>10.129396303444112</v>
      </c>
      <c r="R4">
        <f t="shared" ref="R4:R12" si="3">(C4-$P$3*B4/($P$4+B4))^2</f>
        <v>1.2149105027144016</v>
      </c>
      <c r="T4" s="7" t="s">
        <v>12</v>
      </c>
      <c r="U4" s="3">
        <v>1.3778787112791411</v>
      </c>
      <c r="W4">
        <f t="shared" si="0"/>
        <v>3.6747416342418249E-3</v>
      </c>
    </row>
    <row r="5" spans="2:23" x14ac:dyDescent="0.25">
      <c r="B5">
        <v>15</v>
      </c>
      <c r="C5">
        <v>31</v>
      </c>
      <c r="H5">
        <f t="shared" si="1"/>
        <v>8.8912450794399085</v>
      </c>
      <c r="M5">
        <f t="shared" si="2"/>
        <v>4.2002428056644225</v>
      </c>
      <c r="R5">
        <f t="shared" si="3"/>
        <v>0.70316162576768704</v>
      </c>
      <c r="T5" s="7" t="s">
        <v>25</v>
      </c>
      <c r="U5" s="3">
        <v>-1.6060608377019801E-2</v>
      </c>
      <c r="W5">
        <f t="shared" si="0"/>
        <v>4.7471787565288315</v>
      </c>
    </row>
    <row r="6" spans="2:23" x14ac:dyDescent="0.25">
      <c r="B6">
        <v>20</v>
      </c>
      <c r="C6">
        <v>33</v>
      </c>
      <c r="H6">
        <f t="shared" si="1"/>
        <v>6.2955413995191574</v>
      </c>
      <c r="M6">
        <f t="shared" si="2"/>
        <v>1.0915673273973074</v>
      </c>
      <c r="R6">
        <f t="shared" si="3"/>
        <v>0.29323363897359495</v>
      </c>
      <c r="W6">
        <f t="shared" si="0"/>
        <v>1.0003009741854996E-2</v>
      </c>
    </row>
    <row r="7" spans="2:23" x14ac:dyDescent="0.25">
      <c r="B7">
        <v>25</v>
      </c>
      <c r="C7">
        <v>37</v>
      </c>
      <c r="H7">
        <f t="shared" si="1"/>
        <v>16.292237625044912</v>
      </c>
      <c r="M7">
        <f t="shared" si="2"/>
        <v>6.2552159730581911</v>
      </c>
      <c r="R7">
        <f t="shared" si="3"/>
        <v>1.0828593048497914</v>
      </c>
      <c r="W7">
        <f t="shared" si="0"/>
        <v>0.67940187042408684</v>
      </c>
    </row>
    <row r="8" spans="2:23" x14ac:dyDescent="0.25">
      <c r="B8">
        <v>30</v>
      </c>
      <c r="C8">
        <v>37</v>
      </c>
      <c r="H8">
        <f t="shared" si="1"/>
        <v>2.444960873580309</v>
      </c>
      <c r="M8">
        <f t="shared" si="2"/>
        <v>7.4560665127184539E-2</v>
      </c>
      <c r="R8">
        <f t="shared" si="3"/>
        <v>0.60024842878850426</v>
      </c>
      <c r="W8">
        <f t="shared" si="0"/>
        <v>2.7174463405262541</v>
      </c>
    </row>
    <row r="9" spans="2:23" x14ac:dyDescent="0.25">
      <c r="B9">
        <v>35</v>
      </c>
      <c r="C9">
        <v>40</v>
      </c>
      <c r="H9">
        <f t="shared" si="1"/>
        <v>4.3719034770696554</v>
      </c>
      <c r="M9">
        <f t="shared" si="2"/>
        <v>1.6318395237190557</v>
      </c>
      <c r="R9">
        <f t="shared" si="3"/>
        <v>0.65956792638698447</v>
      </c>
      <c r="W9">
        <f t="shared" si="0"/>
        <v>0.10122814672281021</v>
      </c>
    </row>
    <row r="10" spans="2:23" x14ac:dyDescent="0.25">
      <c r="B10">
        <v>40</v>
      </c>
      <c r="C10">
        <v>40</v>
      </c>
      <c r="H10">
        <f t="shared" si="1"/>
        <v>0.14578469212029485</v>
      </c>
      <c r="M10">
        <f t="shared" si="2"/>
        <v>0.29018985186013607</v>
      </c>
      <c r="R10">
        <f t="shared" si="3"/>
        <v>0.1018093221065358</v>
      </c>
      <c r="W10">
        <f t="shared" si="0"/>
        <v>1.4038200568272521</v>
      </c>
    </row>
    <row r="11" spans="2:23" x14ac:dyDescent="0.25">
      <c r="B11">
        <v>45</v>
      </c>
      <c r="C11">
        <v>42</v>
      </c>
      <c r="H11">
        <f t="shared" si="1"/>
        <v>0.73024708415335382</v>
      </c>
      <c r="M11">
        <f t="shared" si="2"/>
        <v>4.460714578460391E-2</v>
      </c>
      <c r="R11">
        <f t="shared" si="3"/>
        <v>0.56987871581210425</v>
      </c>
      <c r="W11">
        <f t="shared" si="0"/>
        <v>0.56480617630568619</v>
      </c>
    </row>
    <row r="12" spans="2:23" x14ac:dyDescent="0.25">
      <c r="B12">
        <v>50</v>
      </c>
      <c r="C12">
        <v>41</v>
      </c>
      <c r="H12">
        <f t="shared" si="1"/>
        <v>18.725285544675927</v>
      </c>
      <c r="M12">
        <f t="shared" si="2"/>
        <v>7.6491120123178851</v>
      </c>
      <c r="R12">
        <f t="shared" si="3"/>
        <v>1.0345194732164331</v>
      </c>
      <c r="W12">
        <f t="shared" si="0"/>
        <v>0.24101354224703414</v>
      </c>
    </row>
    <row r="13" spans="2:23" x14ac:dyDescent="0.25">
      <c r="G13" s="2" t="s">
        <v>42</v>
      </c>
      <c r="H13" s="2">
        <f>SUM(H3:H12)</f>
        <v>97.163636363642169</v>
      </c>
      <c r="L13" s="2" t="s">
        <v>42</v>
      </c>
      <c r="M13" s="2">
        <f>SUM(M3:M12)</f>
        <v>30.806669282847512</v>
      </c>
      <c r="Q13" s="2" t="s">
        <v>42</v>
      </c>
      <c r="R13" s="2">
        <f>SUM(R3:R12)</f>
        <v>6.3507669864733582</v>
      </c>
      <c r="V13" s="2" t="s">
        <v>42</v>
      </c>
      <c r="W13" s="2">
        <f>SUM(W3:W12)</f>
        <v>12.042424245376422</v>
      </c>
    </row>
    <row r="16" spans="2:23" x14ac:dyDescent="0.25">
      <c r="J16" s="2" t="s">
        <v>76</v>
      </c>
      <c r="L16" s="2" t="s">
        <v>78</v>
      </c>
      <c r="M16" s="2"/>
      <c r="N16" s="2" t="s">
        <v>79</v>
      </c>
      <c r="P16" s="2" t="s">
        <v>83</v>
      </c>
    </row>
    <row r="17" spans="2:16" x14ac:dyDescent="0.25">
      <c r="J17">
        <f>$F$3+B3*$F$4</f>
        <v>23.072726228898205</v>
      </c>
      <c r="L17">
        <f>$K$3*B3^$K$4</f>
        <v>19.855732611010247</v>
      </c>
      <c r="N17">
        <f>$P$3*B3/(B3+$P$4)</f>
        <v>16.699038128897826</v>
      </c>
      <c r="P17">
        <f>$U$3+$U$4*B3+$U$5*B3^2</f>
        <v>18.254532424618183</v>
      </c>
    </row>
    <row r="18" spans="2:16" x14ac:dyDescent="0.25">
      <c r="J18">
        <f t="shared" ref="J18:J26" si="4">$F$3+B4*$F$4</f>
        <v>25.545453569956219</v>
      </c>
      <c r="L18">
        <f t="shared" ref="L18:L26" si="5">$K$3*B4^$K$4</f>
        <v>25.189169976215059</v>
      </c>
      <c r="N18">
        <f t="shared" ref="N18:N26" si="6">$P$3*B4/(B4+$P$4)</f>
        <v>25.102229786711646</v>
      </c>
      <c r="P18">
        <f t="shared" ref="P18:P26" si="7">$U$3+$U$4*B4+$U$5*B4^2</f>
        <v>23.939380352737402</v>
      </c>
    </row>
    <row r="19" spans="2:16" x14ac:dyDescent="0.25">
      <c r="J19">
        <f t="shared" si="4"/>
        <v>28.018180911014234</v>
      </c>
      <c r="L19">
        <f t="shared" si="5"/>
        <v>28.950550609147808</v>
      </c>
      <c r="N19">
        <f t="shared" si="6"/>
        <v>30.161452669333634</v>
      </c>
      <c r="P19">
        <f t="shared" si="7"/>
        <v>28.821197862005633</v>
      </c>
    </row>
    <row r="20" spans="2:16" x14ac:dyDescent="0.25">
      <c r="J20">
        <f t="shared" si="4"/>
        <v>30.490908252072245</v>
      </c>
      <c r="L20">
        <f t="shared" si="5"/>
        <v>31.955219005055458</v>
      </c>
      <c r="N20">
        <f t="shared" si="6"/>
        <v>33.541510516032325</v>
      </c>
      <c r="P20">
        <f t="shared" si="7"/>
        <v>32.899984952422876</v>
      </c>
    </row>
    <row r="21" spans="2:16" x14ac:dyDescent="0.25">
      <c r="J21">
        <f t="shared" si="4"/>
        <v>32.963635593130263</v>
      </c>
      <c r="L21">
        <f t="shared" si="5"/>
        <v>34.498957022948588</v>
      </c>
      <c r="N21">
        <f t="shared" si="6"/>
        <v>35.959394741100262</v>
      </c>
      <c r="P21">
        <f t="shared" si="7"/>
        <v>36.175741623989126</v>
      </c>
    </row>
    <row r="22" spans="2:16" x14ac:dyDescent="0.25">
      <c r="J22">
        <f t="shared" si="4"/>
        <v>35.436362934188274</v>
      </c>
      <c r="L22">
        <f t="shared" si="5"/>
        <v>36.726942011420313</v>
      </c>
      <c r="N22">
        <f t="shared" si="6"/>
        <v>37.774757012739158</v>
      </c>
      <c r="P22">
        <f t="shared" si="7"/>
        <v>38.64846787670438</v>
      </c>
    </row>
    <row r="23" spans="2:16" x14ac:dyDescent="0.25">
      <c r="J23">
        <f t="shared" si="4"/>
        <v>37.909090275246285</v>
      </c>
      <c r="L23">
        <f t="shared" si="5"/>
        <v>38.72256525657118</v>
      </c>
      <c r="N23">
        <f t="shared" si="6"/>
        <v>39.187862125998926</v>
      </c>
      <c r="P23">
        <f t="shared" si="7"/>
        <v>40.318163710568648</v>
      </c>
    </row>
    <row r="24" spans="2:16" x14ac:dyDescent="0.25">
      <c r="J24">
        <f t="shared" si="4"/>
        <v>40.381817616304296</v>
      </c>
      <c r="L24">
        <f t="shared" si="5"/>
        <v>40.538692724899953</v>
      </c>
      <c r="N24">
        <f t="shared" si="6"/>
        <v>40.319075730989582</v>
      </c>
      <c r="P24">
        <f t="shared" si="7"/>
        <v>41.184829125581928</v>
      </c>
    </row>
    <row r="25" spans="2:16" x14ac:dyDescent="0.25">
      <c r="J25">
        <f t="shared" si="4"/>
        <v>42.854544957362307</v>
      </c>
      <c r="L25">
        <f t="shared" si="5"/>
        <v>42.211204038277216</v>
      </c>
      <c r="N25">
        <f t="shared" si="6"/>
        <v>41.24509688316175</v>
      </c>
      <c r="P25">
        <f t="shared" si="7"/>
        <v>41.248464121744213</v>
      </c>
    </row>
    <row r="26" spans="2:16" x14ac:dyDescent="0.25">
      <c r="J26">
        <f t="shared" si="4"/>
        <v>45.327272298420326</v>
      </c>
      <c r="L26">
        <f t="shared" si="5"/>
        <v>43.765702806217234</v>
      </c>
      <c r="N26">
        <f t="shared" si="6"/>
        <v>42.01711330402096</v>
      </c>
      <c r="P26">
        <f t="shared" si="7"/>
        <v>40.509068699055526</v>
      </c>
    </row>
    <row r="32" spans="2:16" x14ac:dyDescent="0.25">
      <c r="B32" t="s">
        <v>82</v>
      </c>
    </row>
    <row r="33" spans="2:2" x14ac:dyDescent="0.25">
      <c r="B33" t="s">
        <v>85</v>
      </c>
    </row>
    <row r="34" spans="2:2" x14ac:dyDescent="0.25">
      <c r="B34" t="s">
        <v>84</v>
      </c>
    </row>
  </sheetData>
  <mergeCells count="3">
    <mergeCell ref="E2:F2"/>
    <mergeCell ref="J2:K2"/>
    <mergeCell ref="O2:P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4CE6-C290-4F18-BA5E-4C0F362D9961}">
  <dimension ref="B2:M44"/>
  <sheetViews>
    <sheetView workbookViewId="0">
      <selection activeCell="G8" sqref="G8"/>
    </sheetView>
  </sheetViews>
  <sheetFormatPr defaultRowHeight="15" x14ac:dyDescent="0.25"/>
  <cols>
    <col min="2" max="2" width="18" bestFit="1" customWidth="1"/>
    <col min="3" max="3" width="18.42578125" bestFit="1" customWidth="1"/>
    <col min="4" max="4" width="18.7109375" bestFit="1" customWidth="1"/>
    <col min="8" max="8" width="10.140625" bestFit="1" customWidth="1"/>
    <col min="9" max="9" width="16.85546875" bestFit="1" customWidth="1"/>
    <col min="11" max="11" width="12" bestFit="1" customWidth="1"/>
    <col min="13" max="13" width="17.28515625" bestFit="1" customWidth="1"/>
  </cols>
  <sheetData>
    <row r="2" spans="2:13" ht="18" thickBot="1" x14ac:dyDescent="0.35">
      <c r="B2" s="1" t="s">
        <v>87</v>
      </c>
      <c r="C2" s="1" t="s">
        <v>88</v>
      </c>
      <c r="D2" s="1" t="s">
        <v>93</v>
      </c>
      <c r="F2" s="13" t="s">
        <v>50</v>
      </c>
      <c r="G2" s="13"/>
      <c r="I2" s="2" t="s">
        <v>41</v>
      </c>
      <c r="K2" s="2" t="s">
        <v>91</v>
      </c>
      <c r="M2" s="1" t="s">
        <v>94</v>
      </c>
    </row>
    <row r="3" spans="2:13" ht="15.75" thickTop="1" x14ac:dyDescent="0.25">
      <c r="B3">
        <v>320</v>
      </c>
      <c r="C3">
        <v>3.7812999999999999E-2</v>
      </c>
      <c r="D3">
        <v>100</v>
      </c>
      <c r="F3" s="7" t="s">
        <v>80</v>
      </c>
      <c r="G3" s="3">
        <v>33.75935611197945</v>
      </c>
      <c r="I3">
        <f>(D3-$G$3-$G$4*B3-$G$5*C3^2-$G$6*C3^4)^2</f>
        <v>211.03262311013276</v>
      </c>
      <c r="K3">
        <f>(I3-$G$8)^2</f>
        <v>15880.379278202849</v>
      </c>
      <c r="M3">
        <f>$G$3+$G$4*B3+$G$5*C3^2+$G$6*C3^4</f>
        <v>114.52696193669318</v>
      </c>
    </row>
    <row r="4" spans="2:13" x14ac:dyDescent="0.25">
      <c r="B4">
        <v>320</v>
      </c>
      <c r="C4">
        <v>0.86511000000000005</v>
      </c>
      <c r="D4">
        <v>105</v>
      </c>
      <c r="F4" s="7" t="s">
        <v>81</v>
      </c>
      <c r="G4" s="3">
        <v>0.25239181114138476</v>
      </c>
      <c r="I4">
        <f t="shared" ref="I4:I42" si="0">(D4-$G$3-$G$4*B4-$G$5*C4^2-$G$6*C4^4)^2</f>
        <v>114.36039712806505</v>
      </c>
      <c r="K4">
        <f t="shared" ref="K4:K42" si="1">(I4-$G$8)^2</f>
        <v>49590.659227260105</v>
      </c>
      <c r="M4">
        <f t="shared" ref="M4:M22" si="2">$G$3+$G$4*B4+$G$5*C4^2+$G$6*C4^4</f>
        <v>115.69394207615062</v>
      </c>
    </row>
    <row r="5" spans="2:13" x14ac:dyDescent="0.25">
      <c r="B5">
        <v>320</v>
      </c>
      <c r="C5">
        <v>1.4235</v>
      </c>
      <c r="D5">
        <v>109</v>
      </c>
      <c r="F5" s="7" t="s">
        <v>89</v>
      </c>
      <c r="G5" s="3">
        <v>1.5570075584592034</v>
      </c>
      <c r="I5">
        <f t="shared" si="0"/>
        <v>75.838038637240004</v>
      </c>
      <c r="K5">
        <f t="shared" si="1"/>
        <v>68231.688758980032</v>
      </c>
      <c r="M5">
        <f t="shared" si="2"/>
        <v>117.70850381163375</v>
      </c>
    </row>
    <row r="6" spans="2:13" x14ac:dyDescent="0.25">
      <c r="B6">
        <v>320</v>
      </c>
      <c r="C6">
        <v>2.1395</v>
      </c>
      <c r="D6">
        <v>116</v>
      </c>
      <c r="F6" s="7" t="s">
        <v>90</v>
      </c>
      <c r="G6" s="3">
        <v>6.9950417646630954E-3</v>
      </c>
      <c r="I6">
        <f t="shared" si="0"/>
        <v>33.621952714336473</v>
      </c>
      <c r="K6">
        <f t="shared" si="1"/>
        <v>92068.579879590863</v>
      </c>
      <c r="M6">
        <f t="shared" si="2"/>
        <v>121.79844399079066</v>
      </c>
    </row>
    <row r="7" spans="2:13" x14ac:dyDescent="0.25">
      <c r="B7">
        <v>320</v>
      </c>
      <c r="C7">
        <v>2.5994000000000002</v>
      </c>
      <c r="D7">
        <v>123</v>
      </c>
      <c r="I7">
        <f t="shared" si="0"/>
        <v>5.5913857694723585</v>
      </c>
      <c r="K7">
        <f t="shared" si="1"/>
        <v>109864.81294762174</v>
      </c>
      <c r="M7">
        <f t="shared" si="2"/>
        <v>125.36461112436534</v>
      </c>
    </row>
    <row r="8" spans="2:13" x14ac:dyDescent="0.25">
      <c r="B8">
        <v>320</v>
      </c>
      <c r="C8">
        <v>3.1806999999999999</v>
      </c>
      <c r="D8">
        <v>130</v>
      </c>
      <c r="F8" s="2" t="s">
        <v>56</v>
      </c>
      <c r="G8">
        <f>AVERAGE(D3:D42)</f>
        <v>337.05</v>
      </c>
      <c r="I8">
        <f t="shared" si="0"/>
        <v>0.98545115216509716</v>
      </c>
      <c r="K8">
        <f t="shared" si="1"/>
        <v>112939.38099229884</v>
      </c>
      <c r="M8">
        <f t="shared" si="2"/>
        <v>130.99269892322147</v>
      </c>
    </row>
    <row r="9" spans="2:13" x14ac:dyDescent="0.25">
      <c r="B9">
        <v>320</v>
      </c>
      <c r="C9">
        <v>3.984</v>
      </c>
      <c r="D9">
        <v>148</v>
      </c>
      <c r="F9" s="2" t="s">
        <v>55</v>
      </c>
      <c r="G9">
        <f>SUM(K3:K42)</f>
        <v>2845534.5769663714</v>
      </c>
      <c r="I9">
        <f t="shared" si="0"/>
        <v>48.997078357155416</v>
      </c>
      <c r="K9">
        <f t="shared" si="1"/>
        <v>82974.485666978755</v>
      </c>
      <c r="M9">
        <f t="shared" si="2"/>
        <v>141.00020869188549</v>
      </c>
    </row>
    <row r="10" spans="2:13" x14ac:dyDescent="0.25">
      <c r="B10">
        <v>320</v>
      </c>
      <c r="C10">
        <v>5.2682000000000002</v>
      </c>
      <c r="D10">
        <v>169</v>
      </c>
      <c r="F10" s="2" t="s">
        <v>54</v>
      </c>
      <c r="G10">
        <f>SUM(I3:I42)</f>
        <v>4398.1475518659872</v>
      </c>
      <c r="I10">
        <f t="shared" si="0"/>
        <v>34.504321758157403</v>
      </c>
      <c r="K10">
        <f t="shared" si="1"/>
        <v>91533.887422816551</v>
      </c>
      <c r="M10">
        <f t="shared" si="2"/>
        <v>163.12596205679964</v>
      </c>
    </row>
    <row r="11" spans="2:13" x14ac:dyDescent="0.25">
      <c r="B11">
        <v>320</v>
      </c>
      <c r="C11">
        <v>7.1967999999999996</v>
      </c>
      <c r="D11">
        <v>235</v>
      </c>
      <c r="I11">
        <f t="shared" si="0"/>
        <v>443.8077873041517</v>
      </c>
      <c r="K11">
        <f t="shared" si="1"/>
        <v>11397.225150078491</v>
      </c>
      <c r="M11">
        <f t="shared" si="2"/>
        <v>213.93325399345804</v>
      </c>
    </row>
    <row r="12" spans="2:13" x14ac:dyDescent="0.25">
      <c r="B12">
        <v>320</v>
      </c>
      <c r="C12">
        <v>8.5524000000000004</v>
      </c>
      <c r="D12">
        <v>273</v>
      </c>
      <c r="F12" s="2" t="s">
        <v>53</v>
      </c>
      <c r="G12">
        <f>(G9-G10)/G9</f>
        <v>0.99845436861408499</v>
      </c>
      <c r="I12">
        <f t="shared" si="0"/>
        <v>51.364300359659211</v>
      </c>
      <c r="K12">
        <f t="shared" si="1"/>
        <v>81616.31897899101</v>
      </c>
      <c r="M12">
        <f t="shared" si="2"/>
        <v>265.83311083107463</v>
      </c>
    </row>
    <row r="13" spans="2:13" x14ac:dyDescent="0.25">
      <c r="B13">
        <v>320</v>
      </c>
      <c r="C13">
        <v>9.7932000000000006</v>
      </c>
      <c r="D13">
        <v>327</v>
      </c>
      <c r="I13">
        <f t="shared" si="0"/>
        <v>1.4243083696608414</v>
      </c>
      <c r="K13">
        <f t="shared" si="1"/>
        <v>112644.60488234354</v>
      </c>
      <c r="M13">
        <f t="shared" si="2"/>
        <v>328.19344391140129</v>
      </c>
    </row>
    <row r="14" spans="2:13" x14ac:dyDescent="0.25">
      <c r="B14">
        <v>320</v>
      </c>
      <c r="C14">
        <v>10.465999999999999</v>
      </c>
      <c r="D14">
        <v>371</v>
      </c>
      <c r="I14">
        <f t="shared" si="0"/>
        <v>3.9834392596756869</v>
      </c>
      <c r="K14">
        <f t="shared" si="1"/>
        <v>110933.33388338817</v>
      </c>
      <c r="M14">
        <f t="shared" si="2"/>
        <v>369.00414447925812</v>
      </c>
    </row>
    <row r="15" spans="2:13" x14ac:dyDescent="0.25">
      <c r="B15">
        <v>320</v>
      </c>
      <c r="C15">
        <v>10.936</v>
      </c>
      <c r="D15">
        <v>401</v>
      </c>
      <c r="I15">
        <f t="shared" si="0"/>
        <v>4.4763727135697332E-2</v>
      </c>
      <c r="K15">
        <f t="shared" si="1"/>
        <v>113572.52927532909</v>
      </c>
      <c r="M15">
        <f t="shared" si="2"/>
        <v>400.78842559905388</v>
      </c>
    </row>
    <row r="16" spans="2:13" x14ac:dyDescent="0.25">
      <c r="B16">
        <v>320</v>
      </c>
      <c r="C16">
        <v>12.266</v>
      </c>
      <c r="D16">
        <v>500</v>
      </c>
      <c r="I16">
        <f t="shared" si="0"/>
        <v>50.810172286314689</v>
      </c>
      <c r="K16">
        <f t="shared" si="1"/>
        <v>81933.238969560247</v>
      </c>
      <c r="M16">
        <f t="shared" si="2"/>
        <v>507.12812543985547</v>
      </c>
    </row>
    <row r="17" spans="2:13" x14ac:dyDescent="0.25">
      <c r="B17">
        <v>320</v>
      </c>
      <c r="C17">
        <v>13.022</v>
      </c>
      <c r="D17">
        <v>567</v>
      </c>
      <c r="I17">
        <f t="shared" si="0"/>
        <v>161.07653492005073</v>
      </c>
      <c r="K17">
        <f t="shared" si="1"/>
        <v>30966.660412244128</v>
      </c>
      <c r="M17">
        <f t="shared" si="2"/>
        <v>579.69159308046278</v>
      </c>
    </row>
    <row r="18" spans="2:13" x14ac:dyDescent="0.25">
      <c r="B18">
        <v>320</v>
      </c>
      <c r="C18">
        <v>14.004</v>
      </c>
      <c r="D18">
        <v>676</v>
      </c>
      <c r="I18">
        <f t="shared" si="0"/>
        <v>166.44594863246741</v>
      </c>
      <c r="K18">
        <f t="shared" si="1"/>
        <v>29105.742343015703</v>
      </c>
      <c r="M18">
        <f t="shared" si="2"/>
        <v>688.9013932826058</v>
      </c>
    </row>
    <row r="19" spans="2:13" x14ac:dyDescent="0.25">
      <c r="B19">
        <v>320</v>
      </c>
      <c r="C19">
        <v>14.683</v>
      </c>
      <c r="D19">
        <v>768</v>
      </c>
      <c r="I19">
        <f t="shared" si="0"/>
        <v>53.657296707038164</v>
      </c>
      <c r="K19">
        <f t="shared" si="1"/>
        <v>80311.424279692714</v>
      </c>
      <c r="M19">
        <f t="shared" si="2"/>
        <v>775.3251141088067</v>
      </c>
    </row>
    <row r="20" spans="2:13" x14ac:dyDescent="0.25">
      <c r="B20">
        <v>320</v>
      </c>
      <c r="C20">
        <v>15.212999999999999</v>
      </c>
      <c r="D20">
        <v>852</v>
      </c>
      <c r="I20">
        <f t="shared" si="0"/>
        <v>6.041321387553519</v>
      </c>
      <c r="K20">
        <f t="shared" si="1"/>
        <v>109566.74531675789</v>
      </c>
      <c r="M20">
        <f t="shared" si="2"/>
        <v>849.54209003672759</v>
      </c>
    </row>
    <row r="21" spans="2:13" x14ac:dyDescent="0.25">
      <c r="B21">
        <v>320</v>
      </c>
      <c r="C21">
        <v>15.651</v>
      </c>
      <c r="D21">
        <v>928</v>
      </c>
      <c r="I21">
        <f t="shared" si="0"/>
        <v>152.8016923638589</v>
      </c>
      <c r="K21">
        <f t="shared" si="1"/>
        <v>33947.438866782097</v>
      </c>
      <c r="M21">
        <f t="shared" si="2"/>
        <v>915.63870183338906</v>
      </c>
    </row>
    <row r="22" spans="2:13" x14ac:dyDescent="0.25">
      <c r="B22">
        <v>320</v>
      </c>
      <c r="C22">
        <v>16.026</v>
      </c>
      <c r="D22">
        <v>1002</v>
      </c>
      <c r="I22">
        <f t="shared" si="0"/>
        <v>684.90776279623083</v>
      </c>
      <c r="K22">
        <f t="shared" si="1"/>
        <v>121005.02313759878</v>
      </c>
      <c r="M22">
        <f t="shared" si="2"/>
        <v>975.82925750391792</v>
      </c>
    </row>
    <row r="23" spans="2:13" x14ac:dyDescent="0.25">
      <c r="B23">
        <v>380</v>
      </c>
      <c r="C23">
        <v>3.1759999999999997E-2</v>
      </c>
      <c r="D23">
        <v>117</v>
      </c>
      <c r="I23">
        <f t="shared" si="0"/>
        <v>160.52420966640628</v>
      </c>
      <c r="K23">
        <f t="shared" si="1"/>
        <v>31161.354652899896</v>
      </c>
    </row>
    <row r="24" spans="2:13" ht="18" thickBot="1" x14ac:dyDescent="0.35">
      <c r="B24">
        <v>380</v>
      </c>
      <c r="C24">
        <v>0.68120999999999998</v>
      </c>
      <c r="D24">
        <v>121</v>
      </c>
      <c r="I24">
        <f t="shared" si="0"/>
        <v>88.214837978945951</v>
      </c>
      <c r="K24">
        <f t="shared" si="1"/>
        <v>61918.937858044228</v>
      </c>
      <c r="M24" s="1" t="s">
        <v>95</v>
      </c>
    </row>
    <row r="25" spans="2:13" ht="15.75" thickTop="1" x14ac:dyDescent="0.25">
      <c r="B25">
        <v>380</v>
      </c>
      <c r="C25">
        <v>1.0638000000000001</v>
      </c>
      <c r="D25">
        <v>124</v>
      </c>
      <c r="I25">
        <f t="shared" si="0"/>
        <v>55.342026501479381</v>
      </c>
      <c r="K25">
        <f t="shared" si="1"/>
        <v>79359.382332643203</v>
      </c>
      <c r="M25">
        <f>$G$3+$G$4*B23+$G$5*C23^2+$G$6*C23^4</f>
        <v>129.66981490261031</v>
      </c>
    </row>
    <row r="26" spans="2:13" x14ac:dyDescent="0.25">
      <c r="B26">
        <v>380</v>
      </c>
      <c r="C26">
        <v>1.4804999999999999</v>
      </c>
      <c r="D26">
        <v>128</v>
      </c>
      <c r="I26">
        <f t="shared" si="0"/>
        <v>26.15938903753684</v>
      </c>
      <c r="K26">
        <f t="shared" si="1"/>
        <v>96652.971984613614</v>
      </c>
      <c r="M26">
        <f t="shared" ref="M26:M44" si="3">$G$3+$G$4*B24+$G$5*C24^2+$G$6*C24^4</f>
        <v>130.39227544202927</v>
      </c>
    </row>
    <row r="27" spans="2:13" x14ac:dyDescent="0.25">
      <c r="B27">
        <v>380</v>
      </c>
      <c r="C27">
        <v>1.7033</v>
      </c>
      <c r="D27">
        <v>131</v>
      </c>
      <c r="I27">
        <f t="shared" si="0"/>
        <v>10.525878433586666</v>
      </c>
      <c r="K27">
        <f t="shared" si="1"/>
        <v>106618.00196471787</v>
      </c>
      <c r="M27">
        <f t="shared" si="3"/>
        <v>131.43922217046108</v>
      </c>
    </row>
    <row r="28" spans="2:13" x14ac:dyDescent="0.25">
      <c r="B28">
        <v>380</v>
      </c>
      <c r="C28">
        <v>1.9367000000000001</v>
      </c>
      <c r="D28">
        <v>133</v>
      </c>
      <c r="I28">
        <f t="shared" si="0"/>
        <v>6.79482824572281</v>
      </c>
      <c r="K28">
        <f t="shared" si="1"/>
        <v>109068.47847044715</v>
      </c>
      <c r="M28">
        <f t="shared" si="3"/>
        <v>133.11462501436193</v>
      </c>
    </row>
    <row r="29" spans="2:13" x14ac:dyDescent="0.25">
      <c r="B29">
        <v>380</v>
      </c>
      <c r="C29">
        <v>2.1814</v>
      </c>
      <c r="D29">
        <v>137</v>
      </c>
      <c r="I29">
        <f t="shared" si="0"/>
        <v>5.5538215634019707E-2</v>
      </c>
      <c r="K29">
        <f t="shared" si="1"/>
        <v>113565.2672733345</v>
      </c>
      <c r="M29">
        <f t="shared" si="3"/>
        <v>134.2443610208463</v>
      </c>
    </row>
    <row r="30" spans="2:13" x14ac:dyDescent="0.25">
      <c r="B30">
        <v>380</v>
      </c>
      <c r="C30">
        <v>2.4380999999999999</v>
      </c>
      <c r="D30">
        <v>140</v>
      </c>
      <c r="I30">
        <f t="shared" si="0"/>
        <v>0.68759927274009547</v>
      </c>
      <c r="K30">
        <f t="shared" si="1"/>
        <v>113139.66462300578</v>
      </c>
      <c r="M30">
        <f t="shared" si="3"/>
        <v>135.60668913484574</v>
      </c>
    </row>
    <row r="31" spans="2:13" x14ac:dyDescent="0.25">
      <c r="B31">
        <v>380</v>
      </c>
      <c r="C31">
        <v>2.7075</v>
      </c>
      <c r="D31">
        <v>145</v>
      </c>
      <c r="I31">
        <f t="shared" si="0"/>
        <v>12.546693592151163</v>
      </c>
      <c r="K31">
        <f t="shared" si="1"/>
        <v>105302.39586962624</v>
      </c>
      <c r="M31">
        <f t="shared" si="3"/>
        <v>137.23566547399656</v>
      </c>
    </row>
    <row r="32" spans="2:13" x14ac:dyDescent="0.25">
      <c r="B32">
        <v>380</v>
      </c>
      <c r="C32">
        <v>2.99</v>
      </c>
      <c r="D32">
        <v>150</v>
      </c>
      <c r="I32">
        <f t="shared" si="0"/>
        <v>34.256098400973734</v>
      </c>
      <c r="K32">
        <f t="shared" si="1"/>
        <v>91684.146845560826</v>
      </c>
      <c r="M32">
        <f t="shared" si="3"/>
        <v>139.17078394085732</v>
      </c>
    </row>
    <row r="33" spans="2:13" x14ac:dyDescent="0.25">
      <c r="B33">
        <v>380</v>
      </c>
      <c r="C33">
        <v>3.5947</v>
      </c>
      <c r="D33">
        <v>162</v>
      </c>
      <c r="I33">
        <f t="shared" si="0"/>
        <v>121.97688374543299</v>
      </c>
      <c r="K33">
        <f t="shared" si="1"/>
        <v>46256.445335450502</v>
      </c>
      <c r="M33">
        <f t="shared" si="3"/>
        <v>141.45786877824224</v>
      </c>
    </row>
    <row r="34" spans="2:13" x14ac:dyDescent="0.25">
      <c r="B34">
        <v>380</v>
      </c>
      <c r="C34">
        <v>4.2488000000000001</v>
      </c>
      <c r="D34">
        <v>174</v>
      </c>
      <c r="I34">
        <f t="shared" si="0"/>
        <v>194.45194086594654</v>
      </c>
      <c r="K34">
        <f t="shared" si="1"/>
        <v>20334.20646879901</v>
      </c>
      <c r="M34">
        <f t="shared" si="3"/>
        <v>144.14712904627362</v>
      </c>
    </row>
    <row r="35" spans="2:13" x14ac:dyDescent="0.25">
      <c r="B35">
        <v>380</v>
      </c>
      <c r="C35">
        <v>4.9379</v>
      </c>
      <c r="D35">
        <v>188</v>
      </c>
      <c r="I35">
        <f t="shared" si="0"/>
        <v>262.72344392554498</v>
      </c>
      <c r="K35">
        <f t="shared" si="1"/>
        <v>5524.4369378891079</v>
      </c>
      <c r="M35">
        <f t="shared" si="3"/>
        <v>150.95568545606233</v>
      </c>
    </row>
    <row r="36" spans="2:13" x14ac:dyDescent="0.25">
      <c r="B36">
        <v>380</v>
      </c>
      <c r="C36">
        <v>7.9962999999999997</v>
      </c>
      <c r="D36">
        <v>278</v>
      </c>
      <c r="I36">
        <f t="shared" si="0"/>
        <v>407.09935379767819</v>
      </c>
      <c r="K36">
        <f t="shared" si="1"/>
        <v>4906.9119674722906</v>
      </c>
      <c r="M36">
        <f t="shared" si="3"/>
        <v>160.05539742889937</v>
      </c>
    </row>
    <row r="37" spans="2:13" x14ac:dyDescent="0.25">
      <c r="B37">
        <v>380</v>
      </c>
      <c r="C37">
        <v>9.7614000000000001</v>
      </c>
      <c r="D37">
        <v>355</v>
      </c>
      <c r="I37">
        <f t="shared" si="0"/>
        <v>181.24944096698789</v>
      </c>
      <c r="K37">
        <f t="shared" si="1"/>
        <v>24273.814194999093</v>
      </c>
      <c r="M37">
        <f t="shared" si="3"/>
        <v>171.79125409152377</v>
      </c>
    </row>
    <row r="38" spans="2:13" x14ac:dyDescent="0.25">
      <c r="B38">
        <v>380</v>
      </c>
      <c r="C38">
        <v>11.608000000000001</v>
      </c>
      <c r="D38">
        <v>467</v>
      </c>
      <c r="I38">
        <f t="shared" si="0"/>
        <v>0.27773347239383422</v>
      </c>
      <c r="K38">
        <f t="shared" si="1"/>
        <v>113415.55950214101</v>
      </c>
      <c r="M38">
        <f t="shared" si="3"/>
        <v>257.8232967559693</v>
      </c>
    </row>
    <row r="39" spans="2:13" x14ac:dyDescent="0.25">
      <c r="B39">
        <v>380</v>
      </c>
      <c r="C39">
        <v>12.678000000000001</v>
      </c>
      <c r="D39">
        <v>552</v>
      </c>
      <c r="I39">
        <f t="shared" si="0"/>
        <v>74.706920346861637</v>
      </c>
      <c r="K39">
        <f t="shared" si="1"/>
        <v>68823.891441892905</v>
      </c>
      <c r="M39">
        <f t="shared" si="3"/>
        <v>341.53710874414458</v>
      </c>
    </row>
    <row r="40" spans="2:13" x14ac:dyDescent="0.25">
      <c r="B40">
        <v>380</v>
      </c>
      <c r="C40">
        <v>13.439</v>
      </c>
      <c r="D40">
        <v>624</v>
      </c>
      <c r="I40">
        <f t="shared" si="0"/>
        <v>226.32362448655087</v>
      </c>
      <c r="K40">
        <f t="shared" si="1"/>
        <v>12260.330234345351</v>
      </c>
      <c r="M40">
        <f t="shared" si="3"/>
        <v>466.47299575675913</v>
      </c>
    </row>
    <row r="41" spans="2:13" x14ac:dyDescent="0.25">
      <c r="B41">
        <v>380</v>
      </c>
      <c r="C41">
        <v>14.034000000000001</v>
      </c>
      <c r="D41">
        <v>695</v>
      </c>
      <c r="I41">
        <f t="shared" si="0"/>
        <v>160.46008024798064</v>
      </c>
      <c r="K41">
        <f t="shared" si="1"/>
        <v>31183.999758024642</v>
      </c>
      <c r="M41">
        <f t="shared" si="3"/>
        <v>560.6433165131715</v>
      </c>
    </row>
    <row r="42" spans="2:13" x14ac:dyDescent="0.25">
      <c r="B42">
        <v>380</v>
      </c>
      <c r="C42">
        <v>14.525</v>
      </c>
      <c r="D42">
        <v>761</v>
      </c>
      <c r="I42">
        <f t="shared" si="0"/>
        <v>72.474453924910065</v>
      </c>
      <c r="K42">
        <f t="shared" si="1"/>
        <v>70000.219580932055</v>
      </c>
      <c r="M42">
        <f t="shared" si="3"/>
        <v>639.04405611816685</v>
      </c>
    </row>
    <row r="43" spans="2:13" x14ac:dyDescent="0.25">
      <c r="H43" s="2" t="s">
        <v>42</v>
      </c>
      <c r="I43">
        <f>SUM(I3:I42)</f>
        <v>4398.1475518659872</v>
      </c>
      <c r="M43">
        <f t="shared" si="3"/>
        <v>707.6672838544016</v>
      </c>
    </row>
    <row r="44" spans="2:13" x14ac:dyDescent="0.25">
      <c r="M44">
        <f t="shared" si="3"/>
        <v>769.51319293361257</v>
      </c>
    </row>
  </sheetData>
  <mergeCells count="1">
    <mergeCell ref="F2:G2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F576-B25D-400F-BED7-C0C686DF2E60}">
  <dimension ref="B2:M21"/>
  <sheetViews>
    <sheetView workbookViewId="0">
      <selection activeCell="D15" activeCellId="3" sqref="C12 C15 D12 D15"/>
    </sheetView>
  </sheetViews>
  <sheetFormatPr defaultRowHeight="15" x14ac:dyDescent="0.25"/>
  <cols>
    <col min="2" max="2" width="18.85546875" bestFit="1" customWidth="1"/>
    <col min="3" max="3" width="18.140625" bestFit="1" customWidth="1"/>
    <col min="4" max="4" width="32.42578125" bestFit="1" customWidth="1"/>
    <col min="6" max="6" width="22.5703125" bestFit="1" customWidth="1"/>
    <col min="8" max="8" width="10.140625" bestFit="1" customWidth="1"/>
    <col min="9" max="9" width="16.85546875" bestFit="1" customWidth="1"/>
    <col min="11" max="11" width="18.140625" bestFit="1" customWidth="1"/>
    <col min="13" max="13" width="12" bestFit="1" customWidth="1"/>
  </cols>
  <sheetData>
    <row r="2" spans="2:13" ht="18" thickBot="1" x14ac:dyDescent="0.35">
      <c r="B2" s="1" t="s">
        <v>96</v>
      </c>
      <c r="C2" s="1" t="s">
        <v>97</v>
      </c>
      <c r="D2" s="1" t="s">
        <v>98</v>
      </c>
      <c r="F2" s="13" t="s">
        <v>50</v>
      </c>
      <c r="G2" s="13"/>
      <c r="I2" s="2" t="s">
        <v>41</v>
      </c>
      <c r="K2" s="2" t="s">
        <v>99</v>
      </c>
      <c r="M2" s="2" t="s">
        <v>103</v>
      </c>
    </row>
    <row r="3" spans="2:13" ht="15.75" thickTop="1" x14ac:dyDescent="0.25">
      <c r="B3">
        <v>0</v>
      </c>
      <c r="C3">
        <v>0</v>
      </c>
      <c r="D3">
        <v>14.6</v>
      </c>
      <c r="F3" s="7" t="s">
        <v>100</v>
      </c>
      <c r="G3" s="3">
        <v>13.728451023604631</v>
      </c>
      <c r="I3">
        <f>(D3-$G$3-$G$4*B3-$G$5*C3)^2</f>
        <v>0.75959761825581507</v>
      </c>
      <c r="K3">
        <f>$G$3+$G$4*B3+$G$5*C3</f>
        <v>13.728451023604631</v>
      </c>
      <c r="M3">
        <f>(K3-$G$7)^2</f>
        <v>14.772115770847501</v>
      </c>
    </row>
    <row r="4" spans="2:13" x14ac:dyDescent="0.25">
      <c r="B4">
        <v>0</v>
      </c>
      <c r="C4">
        <v>10</v>
      </c>
      <c r="D4">
        <v>12.9</v>
      </c>
      <c r="F4" s="7" t="s">
        <v>102</v>
      </c>
      <c r="G4" s="3">
        <v>-0.21860946692898467</v>
      </c>
      <c r="I4">
        <f t="shared" ref="I4:I20" si="0">(D4-$G$3-$G$4*B4-$G$5*C4)^2</f>
        <v>7.9739724914623916E-2</v>
      </c>
      <c r="K4">
        <f t="shared" ref="K4:K20" si="1">$G$3+$G$4*B4+$G$5*C4</f>
        <v>12.617617768061402</v>
      </c>
      <c r="M4">
        <f t="shared" ref="M4:M20" si="2">(K4-$G$7)^2</f>
        <v>7.46719986632489</v>
      </c>
    </row>
    <row r="5" spans="2:13" x14ac:dyDescent="0.25">
      <c r="B5">
        <v>0</v>
      </c>
      <c r="C5">
        <v>20</v>
      </c>
      <c r="D5">
        <v>11.4</v>
      </c>
      <c r="F5" s="7" t="s">
        <v>101</v>
      </c>
      <c r="G5" s="3">
        <v>-0.11108332555432281</v>
      </c>
      <c r="I5">
        <f t="shared" si="0"/>
        <v>1.1402932113744131E-2</v>
      </c>
      <c r="K5">
        <f t="shared" si="1"/>
        <v>11.506784512518175</v>
      </c>
      <c r="M5">
        <f t="shared" si="2"/>
        <v>2.6301850050438214</v>
      </c>
    </row>
    <row r="6" spans="2:13" x14ac:dyDescent="0.25">
      <c r="B6">
        <v>5</v>
      </c>
      <c r="C6">
        <v>0</v>
      </c>
      <c r="D6">
        <v>12.8</v>
      </c>
      <c r="I6">
        <f t="shared" si="0"/>
        <v>2.7091945608072966E-2</v>
      </c>
      <c r="K6">
        <f t="shared" si="1"/>
        <v>12.635403688959707</v>
      </c>
      <c r="M6">
        <f t="shared" si="2"/>
        <v>7.5647204522431766</v>
      </c>
    </row>
    <row r="7" spans="2:13" x14ac:dyDescent="0.25">
      <c r="B7">
        <v>5</v>
      </c>
      <c r="C7">
        <v>10</v>
      </c>
      <c r="D7">
        <v>11.3</v>
      </c>
      <c r="F7" s="14" t="s">
        <v>56</v>
      </c>
      <c r="G7">
        <f>AVERAGE(D3:D20)</f>
        <v>9.884999999999998</v>
      </c>
      <c r="I7">
        <f t="shared" si="0"/>
        <v>5.043187956486507E-2</v>
      </c>
      <c r="K7">
        <f t="shared" si="1"/>
        <v>11.524570433416478</v>
      </c>
      <c r="M7">
        <f t="shared" si="2"/>
        <v>2.6881912061335056</v>
      </c>
    </row>
    <row r="8" spans="2:13" x14ac:dyDescent="0.25">
      <c r="B8">
        <v>5</v>
      </c>
      <c r="C8">
        <v>20</v>
      </c>
      <c r="D8">
        <v>10.3</v>
      </c>
      <c r="I8">
        <f t="shared" si="0"/>
        <v>1.2936145630571385E-2</v>
      </c>
      <c r="K8">
        <f t="shared" si="1"/>
        <v>10.413737177873251</v>
      </c>
      <c r="M8">
        <f t="shared" si="2"/>
        <v>0.27956300326537248</v>
      </c>
    </row>
    <row r="9" spans="2:13" x14ac:dyDescent="0.25">
      <c r="B9">
        <v>10</v>
      </c>
      <c r="C9">
        <v>0</v>
      </c>
      <c r="D9">
        <v>11.3</v>
      </c>
      <c r="F9" s="14" t="s">
        <v>55</v>
      </c>
      <c r="G9">
        <f>SUM(M3:M20)</f>
        <v>77.531911237609492</v>
      </c>
      <c r="I9">
        <f t="shared" si="0"/>
        <v>5.8736602476752782E-2</v>
      </c>
      <c r="K9">
        <f t="shared" si="1"/>
        <v>11.542356354314784</v>
      </c>
      <c r="M9">
        <f t="shared" si="2"/>
        <v>2.7468300851875971</v>
      </c>
    </row>
    <row r="10" spans="2:13" x14ac:dyDescent="0.25">
      <c r="B10">
        <v>10</v>
      </c>
      <c r="C10">
        <v>10</v>
      </c>
      <c r="D10">
        <v>10.1</v>
      </c>
      <c r="F10" s="2" t="s">
        <v>54</v>
      </c>
      <c r="G10">
        <f>SUM(I3:I20)</f>
        <v>2.1705040476291844</v>
      </c>
      <c r="I10">
        <f t="shared" si="0"/>
        <v>0.10990756501909506</v>
      </c>
      <c r="K10">
        <f t="shared" si="1"/>
        <v>10.431523098771555</v>
      </c>
      <c r="M10">
        <f t="shared" si="2"/>
        <v>0.29868749749086482</v>
      </c>
    </row>
    <row r="11" spans="2:13" x14ac:dyDescent="0.25">
      <c r="B11">
        <v>10</v>
      </c>
      <c r="C11">
        <v>20</v>
      </c>
      <c r="D11">
        <v>8.9600000000000009</v>
      </c>
      <c r="I11">
        <f t="shared" si="0"/>
        <v>0.13009716300807508</v>
      </c>
      <c r="K11">
        <f t="shared" si="1"/>
        <v>9.3206898432283278</v>
      </c>
      <c r="M11">
        <f t="shared" si="2"/>
        <v>0.31844595303566697</v>
      </c>
    </row>
    <row r="12" spans="2:13" x14ac:dyDescent="0.25">
      <c r="B12">
        <v>15</v>
      </c>
      <c r="C12">
        <v>0</v>
      </c>
      <c r="D12">
        <v>10.1</v>
      </c>
      <c r="F12" s="2" t="s">
        <v>53</v>
      </c>
      <c r="G12">
        <f>(G9-G10)/G9</f>
        <v>0.97200502331256466</v>
      </c>
      <c r="I12">
        <f t="shared" si="0"/>
        <v>0.12201679122271945</v>
      </c>
      <c r="K12">
        <f t="shared" si="1"/>
        <v>10.449309019669862</v>
      </c>
      <c r="M12">
        <f t="shared" si="2"/>
        <v>0.31844466968076263</v>
      </c>
    </row>
    <row r="13" spans="2:13" x14ac:dyDescent="0.25">
      <c r="B13">
        <v>15</v>
      </c>
      <c r="C13">
        <v>10</v>
      </c>
      <c r="D13">
        <v>9.0299999999999994</v>
      </c>
      <c r="I13">
        <f t="shared" si="0"/>
        <v>9.5157297053510337E-2</v>
      </c>
      <c r="K13">
        <f t="shared" si="1"/>
        <v>9.3384757641266329</v>
      </c>
      <c r="M13">
        <f t="shared" si="2"/>
        <v>0.29868874039696558</v>
      </c>
    </row>
    <row r="14" spans="2:13" x14ac:dyDescent="0.25">
      <c r="B14">
        <v>15</v>
      </c>
      <c r="C14">
        <v>20</v>
      </c>
      <c r="D14">
        <v>8.08</v>
      </c>
      <c r="F14" s="2" t="s">
        <v>104</v>
      </c>
      <c r="G14">
        <v>17</v>
      </c>
      <c r="I14">
        <f t="shared" si="0"/>
        <v>2.1798310340800688E-2</v>
      </c>
      <c r="K14">
        <f t="shared" si="1"/>
        <v>8.227642508583406</v>
      </c>
      <c r="M14">
        <f t="shared" si="2"/>
        <v>2.7468338543546991</v>
      </c>
    </row>
    <row r="15" spans="2:13" x14ac:dyDescent="0.25">
      <c r="B15">
        <v>20</v>
      </c>
      <c r="C15">
        <v>0</v>
      </c>
      <c r="D15">
        <v>9.09</v>
      </c>
      <c r="F15" s="2" t="s">
        <v>105</v>
      </c>
      <c r="G15">
        <v>5</v>
      </c>
      <c r="I15">
        <f t="shared" si="0"/>
        <v>7.0895284912318918E-2</v>
      </c>
      <c r="K15">
        <f t="shared" si="1"/>
        <v>9.3562616850249363</v>
      </c>
      <c r="M15">
        <f t="shared" si="2"/>
        <v>0.2795642057226676</v>
      </c>
    </row>
    <row r="16" spans="2:13" x14ac:dyDescent="0.25">
      <c r="B16">
        <v>20</v>
      </c>
      <c r="C16">
        <v>10</v>
      </c>
      <c r="D16">
        <v>8.17</v>
      </c>
      <c r="F16" s="2" t="s">
        <v>99</v>
      </c>
      <c r="G16" s="2">
        <f>G3+G4*G14+G5*G15</f>
        <v>9.456673458040278</v>
      </c>
      <c r="I16">
        <f t="shared" si="0"/>
        <v>5.6894479740771681E-3</v>
      </c>
      <c r="K16">
        <f t="shared" si="1"/>
        <v>8.2454284294817075</v>
      </c>
      <c r="M16">
        <f t="shared" si="2"/>
        <v>2.6881949348518135</v>
      </c>
    </row>
    <row r="17" spans="2:13" x14ac:dyDescent="0.25">
      <c r="B17">
        <v>20</v>
      </c>
      <c r="C17">
        <v>20</v>
      </c>
      <c r="D17">
        <v>7.35</v>
      </c>
      <c r="I17">
        <f t="shared" si="0"/>
        <v>4.6399239090593111E-2</v>
      </c>
      <c r="K17">
        <f t="shared" si="1"/>
        <v>7.1345951739384805</v>
      </c>
      <c r="M17">
        <f t="shared" si="2"/>
        <v>7.5647267072224862</v>
      </c>
    </row>
    <row r="18" spans="2:13" x14ac:dyDescent="0.25">
      <c r="B18">
        <v>25</v>
      </c>
      <c r="C18">
        <v>0</v>
      </c>
      <c r="D18">
        <v>8.26</v>
      </c>
      <c r="I18">
        <f t="shared" si="0"/>
        <v>1.0332048365500053E-5</v>
      </c>
      <c r="K18">
        <f t="shared" si="1"/>
        <v>8.2632143503800144</v>
      </c>
      <c r="M18">
        <f t="shared" si="2"/>
        <v>2.6301886933133121</v>
      </c>
    </row>
    <row r="19" spans="2:13" x14ac:dyDescent="0.25">
      <c r="B19">
        <v>25</v>
      </c>
      <c r="C19">
        <v>10</v>
      </c>
      <c r="D19">
        <v>7.46</v>
      </c>
      <c r="I19">
        <f t="shared" si="0"/>
        <v>9.4629390813814246E-2</v>
      </c>
      <c r="K19">
        <f t="shared" si="1"/>
        <v>7.1523810948367865</v>
      </c>
      <c r="M19">
        <f t="shared" si="2"/>
        <v>7.4672060808553882</v>
      </c>
    </row>
    <row r="20" spans="2:13" x14ac:dyDescent="0.25">
      <c r="B20">
        <v>25</v>
      </c>
      <c r="C20">
        <v>20</v>
      </c>
      <c r="D20">
        <v>6.73</v>
      </c>
      <c r="I20">
        <f t="shared" si="0"/>
        <v>0.47396637758136895</v>
      </c>
      <c r="K20">
        <f t="shared" si="1"/>
        <v>6.0415478392935587</v>
      </c>
      <c r="M20">
        <f t="shared" si="2"/>
        <v>14.772124511638998</v>
      </c>
    </row>
    <row r="21" spans="2:13" x14ac:dyDescent="0.25">
      <c r="H21" s="2" t="s">
        <v>42</v>
      </c>
      <c r="I21" s="2">
        <f>SUM(I3:I20)</f>
        <v>2.1705040476291844</v>
      </c>
    </row>
  </sheetData>
  <mergeCells count="1">
    <mergeCell ref="F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3F32-931A-4693-AF5A-80D40E15E9AF}">
  <dimension ref="B2:M21"/>
  <sheetViews>
    <sheetView workbookViewId="0">
      <selection activeCell="D9" sqref="D9"/>
    </sheetView>
  </sheetViews>
  <sheetFormatPr defaultRowHeight="15" x14ac:dyDescent="0.25"/>
  <cols>
    <col min="2" max="2" width="18.85546875" bestFit="1" customWidth="1"/>
    <col min="3" max="3" width="18.140625" bestFit="1" customWidth="1"/>
    <col min="4" max="4" width="32.42578125" bestFit="1" customWidth="1"/>
    <col min="6" max="6" width="22.5703125" bestFit="1" customWidth="1"/>
    <col min="7" max="7" width="12.7109375" bestFit="1" customWidth="1"/>
    <col min="8" max="8" width="10.140625" bestFit="1" customWidth="1"/>
    <col min="9" max="9" width="16.85546875" bestFit="1" customWidth="1"/>
    <col min="11" max="11" width="18.140625" bestFit="1" customWidth="1"/>
    <col min="13" max="13" width="12" bestFit="1" customWidth="1"/>
  </cols>
  <sheetData>
    <row r="2" spans="2:13" ht="18" thickBot="1" x14ac:dyDescent="0.35">
      <c r="B2" s="1" t="s">
        <v>96</v>
      </c>
      <c r="C2" s="1" t="s">
        <v>97</v>
      </c>
      <c r="D2" s="1" t="s">
        <v>98</v>
      </c>
      <c r="F2" s="13" t="s">
        <v>50</v>
      </c>
      <c r="G2" s="13"/>
      <c r="I2" s="2" t="s">
        <v>41</v>
      </c>
      <c r="K2" s="2" t="s">
        <v>99</v>
      </c>
      <c r="M2" s="2" t="s">
        <v>103</v>
      </c>
    </row>
    <row r="3" spans="2:13" ht="15.75" thickTop="1" x14ac:dyDescent="0.25">
      <c r="B3">
        <v>0</v>
      </c>
      <c r="C3">
        <v>0</v>
      </c>
      <c r="D3">
        <v>14.6</v>
      </c>
      <c r="F3" s="7" t="s">
        <v>13</v>
      </c>
      <c r="G3" s="3">
        <v>14.08525251840841</v>
      </c>
      <c r="I3">
        <f>(D3-$G$3-$G$4*B3-$G$5*B3^2-$G$6*B3^3-$G$7*C3)^2</f>
        <v>0.26496496980488382</v>
      </c>
      <c r="K3">
        <f>$G$3+$G$4*B3+$G$5*C3</f>
        <v>14.08525251840841</v>
      </c>
      <c r="M3">
        <f>(K3-$G$9)^2</f>
        <v>17.642121218396209</v>
      </c>
    </row>
    <row r="4" spans="2:13" x14ac:dyDescent="0.25">
      <c r="B4">
        <v>0</v>
      </c>
      <c r="C4">
        <v>10</v>
      </c>
      <c r="D4">
        <v>12.9</v>
      </c>
      <c r="F4" s="7" t="s">
        <v>12</v>
      </c>
      <c r="G4" s="3">
        <v>-0.33201186640747332</v>
      </c>
      <c r="I4">
        <f t="shared" ref="I4:I21" si="0">(D4-$G$3-$G$4*B4-$G$5*B4^2-$G$6*B4^3-$G$7*C4)^2</f>
        <v>5.5377643330845328E-3</v>
      </c>
      <c r="K4">
        <f t="shared" ref="K4:K20" si="1">$G$3+$G$4*B4+$G$5*C4</f>
        <v>14.13719702977969</v>
      </c>
      <c r="M4">
        <f>(K4-$G$9)^2</f>
        <v>18.081179580067236</v>
      </c>
    </row>
    <row r="5" spans="2:13" x14ac:dyDescent="0.25">
      <c r="B5">
        <v>0</v>
      </c>
      <c r="C5">
        <v>20</v>
      </c>
      <c r="D5">
        <v>11.4</v>
      </c>
      <c r="F5" s="7" t="s">
        <v>25</v>
      </c>
      <c r="G5" s="3">
        <v>5.1944511371280781E-3</v>
      </c>
      <c r="I5">
        <f t="shared" si="0"/>
        <v>0.21490622576485083</v>
      </c>
      <c r="K5">
        <f t="shared" si="1"/>
        <v>14.189141541150972</v>
      </c>
      <c r="M5">
        <f>(K5-$G$9)^2</f>
        <v>18.525634406261485</v>
      </c>
    </row>
    <row r="6" spans="2:13" x14ac:dyDescent="0.25">
      <c r="B6">
        <v>5</v>
      </c>
      <c r="C6">
        <v>0</v>
      </c>
      <c r="D6">
        <v>12.8</v>
      </c>
      <c r="F6" s="15" t="s">
        <v>26</v>
      </c>
      <c r="G6" s="3">
        <v>-2.7661780901320619E-5</v>
      </c>
      <c r="I6">
        <f t="shared" si="0"/>
        <v>6.170417849232062E-2</v>
      </c>
      <c r="K6">
        <f t="shared" si="1"/>
        <v>12.425193186371043</v>
      </c>
      <c r="M6">
        <f>(K6-$G$9)^2</f>
        <v>6.4525814240858832</v>
      </c>
    </row>
    <row r="7" spans="2:13" x14ac:dyDescent="0.25">
      <c r="B7">
        <v>5</v>
      </c>
      <c r="C7">
        <v>10</v>
      </c>
      <c r="D7">
        <v>11.3</v>
      </c>
      <c r="F7" s="15" t="s">
        <v>106</v>
      </c>
      <c r="G7" s="3">
        <v>-0.11108363620101885</v>
      </c>
      <c r="I7">
        <f t="shared" si="0"/>
        <v>1.9813484627402199E-2</v>
      </c>
      <c r="K7">
        <f t="shared" si="1"/>
        <v>12.477137697742323</v>
      </c>
      <c r="M7">
        <f>(K7-$G$9)^2</f>
        <v>6.7191778440568832</v>
      </c>
    </row>
    <row r="8" spans="2:13" x14ac:dyDescent="0.25">
      <c r="B8">
        <v>5</v>
      </c>
      <c r="C8">
        <v>20</v>
      </c>
      <c r="D8">
        <v>10.3</v>
      </c>
      <c r="I8">
        <f t="shared" si="0"/>
        <v>8.9544686321122347E-4</v>
      </c>
      <c r="K8">
        <f t="shared" si="1"/>
        <v>12.529082209113605</v>
      </c>
      <c r="M8">
        <f>(K8-$G$9)^2</f>
        <v>6.9911707285510944</v>
      </c>
    </row>
    <row r="9" spans="2:13" x14ac:dyDescent="0.25">
      <c r="B9">
        <v>10</v>
      </c>
      <c r="C9">
        <v>0</v>
      </c>
      <c r="D9">
        <v>11.3</v>
      </c>
      <c r="F9" s="14" t="s">
        <v>56</v>
      </c>
      <c r="G9">
        <f>AVERAGE(D3:D20)</f>
        <v>9.884999999999998</v>
      </c>
      <c r="I9">
        <f t="shared" si="0"/>
        <v>1.8561287634848913E-3</v>
      </c>
      <c r="K9">
        <f t="shared" si="1"/>
        <v>10.765133854333676</v>
      </c>
      <c r="M9">
        <f>(K9-$G$9)^2</f>
        <v>0.77463560154425648</v>
      </c>
    </row>
    <row r="10" spans="2:13" x14ac:dyDescent="0.25">
      <c r="B10">
        <v>10</v>
      </c>
      <c r="C10">
        <v>10</v>
      </c>
      <c r="D10">
        <v>10.1</v>
      </c>
      <c r="I10">
        <f t="shared" si="0"/>
        <v>2.1234424451202173E-3</v>
      </c>
      <c r="K10">
        <f t="shared" si="1"/>
        <v>10.817078365704957</v>
      </c>
      <c r="M10">
        <f>(K10-$G$9)^2</f>
        <v>0.86877007981522636</v>
      </c>
    </row>
    <row r="11" spans="2:13" x14ac:dyDescent="0.25">
      <c r="B11">
        <v>10</v>
      </c>
      <c r="C11">
        <v>20</v>
      </c>
      <c r="D11">
        <v>8.9600000000000009</v>
      </c>
      <c r="F11" s="14" t="s">
        <v>55</v>
      </c>
      <c r="G11">
        <f>SUM(M3:M20)</f>
        <v>144.89917141400534</v>
      </c>
      <c r="I11">
        <f t="shared" si="0"/>
        <v>5.6617292309373048E-3</v>
      </c>
      <c r="K11">
        <f t="shared" si="1"/>
        <v>10.869022877076238</v>
      </c>
      <c r="M11">
        <f>(K11-$G$9)^2</f>
        <v>0.96830102260940187</v>
      </c>
    </row>
    <row r="12" spans="2:13" x14ac:dyDescent="0.25">
      <c r="B12">
        <v>15</v>
      </c>
      <c r="C12">
        <v>0</v>
      </c>
      <c r="D12">
        <v>10.1</v>
      </c>
      <c r="F12" s="2" t="s">
        <v>54</v>
      </c>
      <c r="G12">
        <f>SUM(I3:I20)</f>
        <v>0.95845251360564754</v>
      </c>
      <c r="I12">
        <f t="shared" si="0"/>
        <v>6.4750213900213374E-3</v>
      </c>
      <c r="K12">
        <f t="shared" si="1"/>
        <v>9.1050745222963094</v>
      </c>
      <c r="M12">
        <f>(K12-$G$9)^2</f>
        <v>0.60828375077132679</v>
      </c>
    </row>
    <row r="13" spans="2:13" x14ac:dyDescent="0.25">
      <c r="B13">
        <v>15</v>
      </c>
      <c r="C13">
        <v>10</v>
      </c>
      <c r="D13">
        <v>9.0299999999999994</v>
      </c>
      <c r="I13">
        <f t="shared" si="0"/>
        <v>1.5706284940315324E-3</v>
      </c>
      <c r="K13">
        <f t="shared" si="1"/>
        <v>9.1570190336675896</v>
      </c>
      <c r="M13">
        <f>(K13-$G$9)^2</f>
        <v>0.52995628734226707</v>
      </c>
    </row>
    <row r="14" spans="2:13" x14ac:dyDescent="0.25">
      <c r="B14">
        <v>15</v>
      </c>
      <c r="C14">
        <v>20</v>
      </c>
      <c r="D14">
        <v>8.08</v>
      </c>
      <c r="F14" s="2" t="s">
        <v>53</v>
      </c>
      <c r="G14">
        <f>(G11-G12)/G11</f>
        <v>0.99338538306152802</v>
      </c>
      <c r="I14">
        <f t="shared" si="0"/>
        <v>1.4690702061425408E-2</v>
      </c>
      <c r="K14">
        <f t="shared" si="1"/>
        <v>9.2089635450388716</v>
      </c>
      <c r="M14">
        <f>(K14-$G$9)^2</f>
        <v>0.45702528843640711</v>
      </c>
    </row>
    <row r="15" spans="2:13" x14ac:dyDescent="0.25">
      <c r="B15">
        <v>20</v>
      </c>
      <c r="C15">
        <v>0</v>
      </c>
      <c r="D15">
        <v>9.09</v>
      </c>
      <c r="I15">
        <f t="shared" si="0"/>
        <v>4.4732841313489029E-2</v>
      </c>
      <c r="K15">
        <f t="shared" si="1"/>
        <v>7.4450151902589434</v>
      </c>
      <c r="M15">
        <f>(K15-$G$9)^2</f>
        <v>5.9535258717670905</v>
      </c>
    </row>
    <row r="16" spans="2:13" x14ac:dyDescent="0.25">
      <c r="B16">
        <v>20</v>
      </c>
      <c r="C16">
        <v>10</v>
      </c>
      <c r="D16">
        <v>8.17</v>
      </c>
      <c r="F16" s="2" t="s">
        <v>104</v>
      </c>
      <c r="G16">
        <v>17</v>
      </c>
      <c r="I16">
        <f t="shared" si="0"/>
        <v>4.2704370831106404E-4</v>
      </c>
      <c r="K16">
        <f t="shared" si="1"/>
        <v>7.4969597016302245</v>
      </c>
      <c r="M16">
        <f>(K16-$G$9)^2</f>
        <v>5.7027364666379965</v>
      </c>
    </row>
    <row r="17" spans="2:13" x14ac:dyDescent="0.25">
      <c r="B17">
        <v>20</v>
      </c>
      <c r="C17">
        <v>20</v>
      </c>
      <c r="D17">
        <v>7.35</v>
      </c>
      <c r="F17" s="2" t="s">
        <v>105</v>
      </c>
      <c r="G17">
        <v>5</v>
      </c>
      <c r="I17">
        <f t="shared" si="0"/>
        <v>7.299254545785383E-2</v>
      </c>
      <c r="K17">
        <f t="shared" si="1"/>
        <v>7.5489042130015047</v>
      </c>
      <c r="M17">
        <f>(K17-$G$9)^2</f>
        <v>5.4573435260321101</v>
      </c>
    </row>
    <row r="18" spans="2:13" x14ac:dyDescent="0.25">
      <c r="B18">
        <v>25</v>
      </c>
      <c r="C18">
        <v>0</v>
      </c>
      <c r="D18">
        <v>8.26</v>
      </c>
      <c r="F18" s="2" t="s">
        <v>99</v>
      </c>
      <c r="G18" s="2">
        <f>G3+G4*G16+G5*G17</f>
        <v>8.4670230451670037</v>
      </c>
      <c r="I18">
        <f t="shared" si="0"/>
        <v>0.11510582406096476</v>
      </c>
      <c r="K18">
        <f t="shared" si="1"/>
        <v>5.7849558582215774</v>
      </c>
      <c r="M18">
        <f>(K18-$G$9)^2</f>
        <v>16.810361964531545</v>
      </c>
    </row>
    <row r="19" spans="2:13" x14ac:dyDescent="0.25">
      <c r="B19">
        <v>25</v>
      </c>
      <c r="C19">
        <v>10</v>
      </c>
      <c r="D19">
        <v>7.46</v>
      </c>
      <c r="I19">
        <f t="shared" si="0"/>
        <v>8.0861350833261712E-4</v>
      </c>
      <c r="K19">
        <f t="shared" si="1"/>
        <v>5.8369003695928585</v>
      </c>
      <c r="M19">
        <f>(K19-$G$9)^2</f>
        <v>16.387110617702419</v>
      </c>
    </row>
    <row r="20" spans="2:13" x14ac:dyDescent="0.25">
      <c r="B20">
        <v>25</v>
      </c>
      <c r="C20">
        <v>20</v>
      </c>
      <c r="D20">
        <v>6.73</v>
      </c>
      <c r="I20">
        <f t="shared" si="0"/>
        <v>0.12418592328592258</v>
      </c>
      <c r="K20">
        <f t="shared" si="1"/>
        <v>5.8888448809641387</v>
      </c>
      <c r="M20">
        <f>(K20-$G$9)^2</f>
        <v>15.969255735396503</v>
      </c>
    </row>
    <row r="21" spans="2:13" x14ac:dyDescent="0.25">
      <c r="H21" s="2" t="s">
        <v>42</v>
      </c>
      <c r="I21">
        <f>SUM(I3:I20)</f>
        <v>0.95845251360564754</v>
      </c>
    </row>
  </sheetData>
  <mergeCells count="1">
    <mergeCell ref="F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B43D-D424-4802-96C5-D17B758654AD}">
  <dimension ref="B2:O13"/>
  <sheetViews>
    <sheetView tabSelected="1" workbookViewId="0">
      <selection activeCell="F10" sqref="F10"/>
    </sheetView>
  </sheetViews>
  <sheetFormatPr defaultRowHeight="15" x14ac:dyDescent="0.25"/>
  <cols>
    <col min="2" max="2" width="11.140625" bestFit="1" customWidth="1"/>
    <col min="3" max="3" width="27.42578125" bestFit="1" customWidth="1"/>
    <col min="5" max="5" width="21" customWidth="1"/>
    <col min="6" max="6" width="14.5703125" customWidth="1"/>
    <col min="7" max="7" width="10.140625" bestFit="1" customWidth="1"/>
    <col min="8" max="8" width="16.85546875" bestFit="1" customWidth="1"/>
    <col min="9" max="9" width="11.7109375" bestFit="1" customWidth="1"/>
    <col min="10" max="10" width="17.85546875" bestFit="1" customWidth="1"/>
    <col min="11" max="11" width="14.7109375" customWidth="1"/>
    <col min="12" max="12" width="22.140625" customWidth="1"/>
    <col min="13" max="13" width="13" customWidth="1"/>
    <col min="14" max="14" width="16.85546875" bestFit="1" customWidth="1"/>
    <col min="15" max="15" width="11.7109375" bestFit="1" customWidth="1"/>
    <col min="16" max="16" width="11.7109375" customWidth="1"/>
    <col min="18" max="18" width="16.85546875" bestFit="1" customWidth="1"/>
  </cols>
  <sheetData>
    <row r="2" spans="2:15" ht="18" thickBot="1" x14ac:dyDescent="0.35">
      <c r="B2" s="1" t="s">
        <v>107</v>
      </c>
      <c r="C2" s="1" t="s">
        <v>108</v>
      </c>
      <c r="E2" s="12" t="s">
        <v>109</v>
      </c>
      <c r="F2" s="12"/>
      <c r="H2" s="2" t="s">
        <v>41</v>
      </c>
      <c r="I2" s="2" t="s">
        <v>91</v>
      </c>
      <c r="K2" s="16" t="s">
        <v>110</v>
      </c>
      <c r="L2" s="17"/>
      <c r="N2" s="2" t="s">
        <v>41</v>
      </c>
      <c r="O2" s="2" t="s">
        <v>91</v>
      </c>
    </row>
    <row r="3" spans="2:15" ht="15.75" thickTop="1" x14ac:dyDescent="0.25">
      <c r="B3">
        <v>3</v>
      </c>
      <c r="C3">
        <v>54</v>
      </c>
      <c r="E3" s="7" t="s">
        <v>13</v>
      </c>
      <c r="F3" s="3">
        <v>-46.53997445049044</v>
      </c>
      <c r="H3">
        <f>(C3-$F$3-$F$4*B3)^2</f>
        <v>19.884367109172079</v>
      </c>
      <c r="I3">
        <f>($F$6-C3)^2</f>
        <v>4356</v>
      </c>
      <c r="K3" s="7" t="s">
        <v>13</v>
      </c>
      <c r="L3" s="3">
        <v>101.47003214609106</v>
      </c>
      <c r="N3">
        <f>(C3-$L$3-$L$4*B3-$L$5*B3^2)^2</f>
        <v>62.230084139176697</v>
      </c>
      <c r="O3">
        <f>($F$6-C3)^2</f>
        <v>4356</v>
      </c>
    </row>
    <row r="4" spans="2:15" x14ac:dyDescent="0.25">
      <c r="B4">
        <v>3</v>
      </c>
      <c r="C4">
        <v>62</v>
      </c>
      <c r="E4" s="7" t="s">
        <v>12</v>
      </c>
      <c r="F4" s="3">
        <v>32.026928462138251</v>
      </c>
      <c r="H4">
        <f t="shared" ref="H4:H12" si="0">(C4-$F$3-$F$4*B4)^2</f>
        <v>155.23139213438284</v>
      </c>
      <c r="I4">
        <f t="shared" ref="I4:I12" si="1">($F$6-C4)^2</f>
        <v>3364</v>
      </c>
      <c r="K4" s="7" t="s">
        <v>12</v>
      </c>
      <c r="L4" s="3">
        <v>-31.347524795134859</v>
      </c>
      <c r="N4">
        <f>(C4-$L$3-$L$4*B4-$L$5*B4^2)^2</f>
        <v>1.2408912490500391E-2</v>
      </c>
      <c r="O4">
        <f t="shared" ref="O4:O12" si="2">($F$6-C4)^2</f>
        <v>3364</v>
      </c>
    </row>
    <row r="5" spans="2:15" x14ac:dyDescent="0.25">
      <c r="B5">
        <v>3</v>
      </c>
      <c r="C5">
        <v>65</v>
      </c>
      <c r="H5">
        <f t="shared" si="0"/>
        <v>238.98652651883688</v>
      </c>
      <c r="I5">
        <f t="shared" si="1"/>
        <v>3025</v>
      </c>
      <c r="K5" s="7" t="s">
        <v>25</v>
      </c>
      <c r="L5" s="3">
        <v>6.0512385489979339</v>
      </c>
      <c r="N5">
        <f>(C5-$L$3-$L$4*B5-$L$5*B5^2)^2</f>
        <v>9.680780702483176</v>
      </c>
      <c r="O5">
        <f t="shared" si="2"/>
        <v>3025</v>
      </c>
    </row>
    <row r="6" spans="2:15" x14ac:dyDescent="0.25">
      <c r="B6">
        <v>5</v>
      </c>
      <c r="C6">
        <v>94</v>
      </c>
      <c r="E6" s="2" t="s">
        <v>56</v>
      </c>
      <c r="F6">
        <f>AVERAGE(C3:C12)</f>
        <v>120</v>
      </c>
      <c r="H6">
        <f t="shared" si="0"/>
        <v>383.95100855158677</v>
      </c>
      <c r="I6">
        <f t="shared" si="1"/>
        <v>676</v>
      </c>
      <c r="N6">
        <f>(C6-$L$3-$L$4*B6-$L$5*B6^2)^2</f>
        <v>4.0536663890461</v>
      </c>
      <c r="O6">
        <f t="shared" si="2"/>
        <v>676</v>
      </c>
    </row>
    <row r="7" spans="2:15" x14ac:dyDescent="0.25">
      <c r="B7">
        <v>5</v>
      </c>
      <c r="C7">
        <v>122</v>
      </c>
      <c r="E7" s="2" t="s">
        <v>55</v>
      </c>
      <c r="F7">
        <f>SUM(I3:I12)</f>
        <v>35618</v>
      </c>
      <c r="H7">
        <f t="shared" si="0"/>
        <v>70.649608380341149</v>
      </c>
      <c r="I7">
        <f t="shared" si="1"/>
        <v>4</v>
      </c>
      <c r="K7" s="2" t="s">
        <v>56</v>
      </c>
      <c r="L7">
        <f>AVERAGE(C3:C12)</f>
        <v>120</v>
      </c>
      <c r="N7">
        <f>(C7-$L$3-$L$4*B7-$L$5*B7^2)^2</f>
        <v>675.30484024859993</v>
      </c>
      <c r="O7">
        <f t="shared" si="2"/>
        <v>4</v>
      </c>
    </row>
    <row r="8" spans="2:15" x14ac:dyDescent="0.25">
      <c r="B8">
        <v>5</v>
      </c>
      <c r="C8">
        <v>84</v>
      </c>
      <c r="E8" s="2" t="s">
        <v>54</v>
      </c>
      <c r="F8">
        <f>SUM(H3:H12)</f>
        <v>5256.3783786946215</v>
      </c>
      <c r="H8">
        <f t="shared" si="0"/>
        <v>875.84436575560312</v>
      </c>
      <c r="I8">
        <f t="shared" si="1"/>
        <v>1296</v>
      </c>
      <c r="K8" s="2" t="s">
        <v>55</v>
      </c>
      <c r="L8">
        <f>SUM(O3:O12)</f>
        <v>35618</v>
      </c>
      <c r="N8">
        <f>(C8-$L$3-$L$4*B8-$L$5*B8^2)^2</f>
        <v>144.32110429634832</v>
      </c>
      <c r="O8">
        <f t="shared" si="2"/>
        <v>1296</v>
      </c>
    </row>
    <row r="9" spans="2:15" x14ac:dyDescent="0.25">
      <c r="B9">
        <v>6</v>
      </c>
      <c r="C9">
        <v>142</v>
      </c>
      <c r="H9">
        <f t="shared" si="0"/>
        <v>13.115959921980002</v>
      </c>
      <c r="I9">
        <f t="shared" si="1"/>
        <v>484</v>
      </c>
      <c r="K9" s="2" t="s">
        <v>54</v>
      </c>
      <c r="L9">
        <f>SUM(N3:N12)</f>
        <v>2862.3687477462231</v>
      </c>
      <c r="N9">
        <f>(C9-$L$3-$L$4*B9-$L$5*B9^2)^2</f>
        <v>116.00429194116349</v>
      </c>
      <c r="O9">
        <f t="shared" si="2"/>
        <v>484</v>
      </c>
    </row>
    <row r="10" spans="2:15" x14ac:dyDescent="0.25">
      <c r="B10">
        <v>7</v>
      </c>
      <c r="C10">
        <v>139</v>
      </c>
      <c r="E10" s="2" t="s">
        <v>53</v>
      </c>
      <c r="F10">
        <f>(F7-F8)/F7</f>
        <v>0.85242353925839121</v>
      </c>
      <c r="H10">
        <f t="shared" si="0"/>
        <v>1493.7084680163584</v>
      </c>
      <c r="I10">
        <f t="shared" si="1"/>
        <v>361</v>
      </c>
      <c r="N10">
        <f>(C10-$L$3-$L$4*B10-$L$5*B10^2)^2</f>
        <v>1564.0480595630518</v>
      </c>
      <c r="O10">
        <f t="shared" si="2"/>
        <v>361</v>
      </c>
    </row>
    <row r="11" spans="2:15" x14ac:dyDescent="0.25">
      <c r="B11">
        <v>7</v>
      </c>
      <c r="C11">
        <v>184</v>
      </c>
      <c r="H11">
        <f t="shared" si="0"/>
        <v>40.34123741339873</v>
      </c>
      <c r="I11">
        <f t="shared" si="1"/>
        <v>4096</v>
      </c>
      <c r="K11" s="2" t="s">
        <v>53</v>
      </c>
      <c r="L11">
        <f>(L8-L9)/L8</f>
        <v>0.91963701645948048</v>
      </c>
      <c r="N11">
        <f>(C11-$L$3-$L$4*B11-$L$5*B11^2)^2</f>
        <v>29.72378626893121</v>
      </c>
      <c r="O11">
        <f t="shared" si="2"/>
        <v>4096</v>
      </c>
    </row>
    <row r="12" spans="2:15" x14ac:dyDescent="0.25">
      <c r="B12">
        <v>8</v>
      </c>
      <c r="C12">
        <v>254</v>
      </c>
      <c r="H12">
        <f t="shared" si="0"/>
        <v>1964.6654448929617</v>
      </c>
      <c r="I12">
        <f t="shared" si="1"/>
        <v>17956</v>
      </c>
      <c r="N12">
        <f>(C12-$L$3-$L$4*B12-$L$5*B12^2)^2</f>
        <v>256.98972528493198</v>
      </c>
      <c r="O12">
        <f t="shared" si="2"/>
        <v>17956</v>
      </c>
    </row>
    <row r="13" spans="2:15" x14ac:dyDescent="0.25">
      <c r="G13" s="2" t="s">
        <v>42</v>
      </c>
      <c r="H13">
        <f>SUM(H3:H12)</f>
        <v>5256.3783786946215</v>
      </c>
      <c r="M13" s="2" t="s">
        <v>42</v>
      </c>
      <c r="N13">
        <f>SUM(N3:N12)</f>
        <v>2862.3687477462231</v>
      </c>
    </row>
  </sheetData>
  <mergeCells count="2">
    <mergeCell ref="E2:F2"/>
    <mergeCell ref="K2:L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3E04D-429A-4063-9883-D77E2FF90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Problema 1</vt:lpstr>
      <vt:lpstr>Problema 1 v2 Cúbico</vt:lpstr>
      <vt:lpstr>Problema 1 v2</vt:lpstr>
      <vt:lpstr>Problema 2</vt:lpstr>
      <vt:lpstr>Problema 3</vt:lpstr>
      <vt:lpstr>Problema 4</vt:lpstr>
      <vt:lpstr>Problema 5</vt:lpstr>
      <vt:lpstr>Problema 6</vt:lpstr>
      <vt:lpstr>Problema 7</vt:lpstr>
      <vt:lpstr>Problema 8</vt:lpstr>
      <vt:lpstr>Problema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Martin Heim</dc:creator>
  <cp:lastModifiedBy>Germán Martin Heim</cp:lastModifiedBy>
  <dcterms:created xsi:type="dcterms:W3CDTF">2023-10-06T11:42:25Z</dcterms:created>
  <dcterms:modified xsi:type="dcterms:W3CDTF">2023-10-11T18:15:44Z</dcterms:modified>
</cp:coreProperties>
</file>