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jgorsch\Documents\02 Master-und Bachelorarbeiten\04 Julian Callard\"/>
    </mc:Choice>
  </mc:AlternateContent>
  <xr:revisionPtr revIDLastSave="0" documentId="8_{EB2EC7CE-019C-49E9-B35C-AF2CCF3E66AB}" xr6:coauthVersionLast="36" xr6:coauthVersionMax="36" xr10:uidLastSave="{00000000-0000-0000-0000-000000000000}"/>
  <bookViews>
    <workbookView xWindow="0" yWindow="0" windowWidth="19200" windowHeight="6640" xr2:uid="{00000000-000D-0000-FFFF-FFFF00000000}"/>
  </bookViews>
  <sheets>
    <sheet name="Zellspezifikationen" sheetId="7" r:id="rId1"/>
    <sheet name="Stoffeigenschaften" sheetId="8" r:id="rId2"/>
  </sheets>
  <externalReferences>
    <externalReference r:id="rId3"/>
  </externalReferences>
  <definedNames>
    <definedName name="Behälter_Art">[1]Behälter!$B$3:OFFSET([1]Behälter!$B$3,MATCH("",[1]Behälter!$B:$B,-1)-3,0)</definedName>
    <definedName name="Behälter_Art_filtered">#REF!:OFFSET(#REF!,MATCH("",#REF!,-1)-3,0)</definedName>
    <definedName name="Kaufkosten_Volumen">[1]Behälter!$G$3:OFFSET([1]Behälter!$G$3,MATCH("",[1]Behälter!$B:$B,-1)-3,0)</definedName>
    <definedName name="Kaufpreis">[1]Behälter!$E$3:OFFSET([1]Behälter!$E$3,MATCH("",[1]Behälter!$B:$B,-1)-3,0)</definedName>
    <definedName name="Mietkosten_Monat">[1]Behälter!$D$3:OFFSET([1]Behälter!$D$3,MATCH("",[1]Behälter!$B:$B,-1)-3,0)</definedName>
    <definedName name="Mietkosten_Volumen">[1]Behälter!$F$3:OFFSET([1]Behälter!$F$3,MATCH("",[1]Behälter!$B:$B,-1)-3,0)</definedName>
    <definedName name="Modell">[1]Behälter!$O$3:OFFSET([1]Behälter!$O$3,MATCH("",[1]Behälter!$B:$B,-1)-3,0)</definedName>
    <definedName name="Modell_Fass">#REF!:OFFSET(#REF!,MATCH("",[1]Behälter!$B:$B,-1)-3,0)</definedName>
    <definedName name="Modell_Spalte_L">#REF!:OFFSET(#REF!,MATCH("",[1]Behälter!$B:$B,-1)-3,0)</definedName>
    <definedName name="Modell_Spalte_M">#REF!:OFFSET(#REF!,MATCH("",[1]Behälter!$B:$B,-1)-3,0)</definedName>
    <definedName name="Modell_Spalte_N">#REF!:OFFSET(#REF!,MATCH("",[1]Behälter!$B:$B,-1)-3,0)</definedName>
    <definedName name="Modell_Spalte_O">#REF!:OFFSET(#REF!,MATCH("",[1]Behälter!$B:$B,-1)-3,0)</definedName>
    <definedName name="Modell_Spalte_P">#REF!:OFFSET(#REF!,MATCH("",[1]Behälter!$B:$B,-1)-3,0)</definedName>
    <definedName name="Modell_Spalte_Q">#REF!:OFFSET(#REF!,MATCH("",[1]Behälter!$B:$B,-1)-3,0)</definedName>
    <definedName name="Modell_Spalte_R">#REF!:OFFSET(#REF!,MATCH("",[1]Behälter!$B:$B,-1)-3,0)</definedName>
    <definedName name="Modell_Spalte_S">#REF!:OFFSET(#REF!,MATCH("",[1]Behälter!$B:$B,-1)-3,0)</definedName>
    <definedName name="Modell_Spalte_T">#REF!:OFFSET(#REF!,MATCH("",[1]Behälter!$B:$B,-1)-3,0)</definedName>
    <definedName name="Modell_Spundfass">#REF!:OFFSET(#REF!,MATCH("",[1]Behälter!$B:$B,-1)-3,0)</definedName>
    <definedName name="Modelle_Batteriezellen_Sicherheitsbehälter">#REF!:OFFSET(#REF!,MATCH("",[1]Behälter!$B:$B,-1)-3,0)</definedName>
    <definedName name="Modelle_Chemiemülltonne">#REF!:OFFSET(#REF!,MATCH("",[1]Behälter!$B:$B,-1)-3,0)</definedName>
    <definedName name="Modelle_Elektrodenabfälle">#REF!:OFFSET(#REF!,MATCH("",[1]Behälter!$B:$B,-1)-3,0)</definedName>
    <definedName name="Modelle_Elektrolyt">#REF!:OFFSET(#REF!,MATCH("",[1]Behälter!$B:$B,-1)-3,0)</definedName>
    <definedName name="Modelle_Slurry_Abfall">#REF!:OFFSET(#REF!,MATCH("",[1]Behälter!$B:$B,-1)-3,0)</definedName>
    <definedName name="Modelle_Unkritisch">#REF!:OFFSET(#REF!,MATCH("",[1]Behälter!$B:$B,-1)-3,0)</definedName>
    <definedName name="Volumen">[1]Behälter!$K$3:OFFSET([1]Behälter!$K$3,MATCH("",[1]Behälter!$B:$B,-1)-3,0)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7" l="1"/>
  <c r="H47" i="7" l="1"/>
  <c r="C47" i="7"/>
  <c r="M27" i="7" l="1"/>
  <c r="N27" i="7"/>
  <c r="C10" i="7" l="1"/>
  <c r="C11" i="7" s="1"/>
  <c r="C16" i="7" s="1"/>
  <c r="C14" i="7"/>
  <c r="C19" i="7"/>
  <c r="C24" i="7"/>
  <c r="C27" i="7"/>
  <c r="C32" i="7"/>
  <c r="C34" i="7"/>
  <c r="C36" i="7"/>
  <c r="C42" i="7" s="1"/>
  <c r="C48" i="7"/>
  <c r="C15" i="7" l="1"/>
  <c r="C21" i="7"/>
  <c r="C18" i="7"/>
  <c r="C20" i="7" s="1"/>
  <c r="C41" i="7"/>
  <c r="C33" i="7" l="1"/>
  <c r="C35" i="7" s="1"/>
  <c r="C30" i="7"/>
  <c r="C28" i="7" s="1"/>
  <c r="H48" i="7"/>
  <c r="C29" i="7" l="1"/>
  <c r="C37" i="7"/>
  <c r="C49" i="7" l="1"/>
  <c r="C43" i="7"/>
  <c r="C44" i="7" s="1"/>
  <c r="C38" i="7"/>
  <c r="H40" i="7"/>
  <c r="H36" i="7"/>
  <c r="H34" i="7"/>
  <c r="H32" i="7"/>
  <c r="H27" i="7"/>
  <c r="H24" i="7"/>
  <c r="H19" i="7"/>
  <c r="H14" i="7"/>
  <c r="H10" i="7"/>
  <c r="H11" i="7" s="1"/>
  <c r="H16" i="7" s="1"/>
  <c r="H42" i="7" l="1"/>
  <c r="F48" i="7"/>
  <c r="F20" i="7"/>
  <c r="F15" i="7"/>
  <c r="F28" i="7"/>
  <c r="F47" i="7"/>
  <c r="F35" i="7"/>
  <c r="F29" i="7"/>
  <c r="H41" i="7"/>
  <c r="H18" i="7"/>
  <c r="H20" i="7" s="1"/>
  <c r="H21" i="7"/>
  <c r="M26" i="7" l="1"/>
  <c r="H33" i="7"/>
  <c r="H30" i="7"/>
  <c r="H28" i="7" s="1"/>
  <c r="M13" i="7" l="1"/>
  <c r="H35" i="7"/>
  <c r="M15" i="7"/>
  <c r="M14" i="7"/>
  <c r="H29" i="7"/>
  <c r="H37" i="7"/>
  <c r="M20" i="7" l="1"/>
  <c r="M25" i="7"/>
  <c r="H43" i="7"/>
  <c r="H38" i="7"/>
  <c r="J15" i="7" l="1"/>
  <c r="J48" i="7"/>
  <c r="J29" i="7"/>
  <c r="J20" i="7"/>
  <c r="J28" i="7"/>
  <c r="J35" i="7"/>
  <c r="H44" i="7"/>
  <c r="H49" i="7" l="1"/>
  <c r="K47" i="7" s="1"/>
  <c r="M19" i="7"/>
  <c r="K48" i="7" l="1"/>
  <c r="K20" i="7"/>
  <c r="K15" i="7"/>
  <c r="K28" i="7"/>
  <c r="K29" i="7"/>
  <c r="K35" i="7"/>
  <c r="N25" i="7"/>
  <c r="N26" i="7" l="1"/>
</calcChain>
</file>

<file path=xl/sharedStrings.xml><?xml version="1.0" encoding="utf-8"?>
<sst xmlns="http://schemas.openxmlformats.org/spreadsheetml/2006/main" count="237" uniqueCount="106">
  <si>
    <t>Quelle</t>
  </si>
  <si>
    <t>Graphit</t>
  </si>
  <si>
    <t>Elektrolyt</t>
  </si>
  <si>
    <t>Kapazität</t>
  </si>
  <si>
    <t>Ah</t>
  </si>
  <si>
    <t>mAh/cm2</t>
  </si>
  <si>
    <t>m</t>
  </si>
  <si>
    <t>Beschichtung</t>
  </si>
  <si>
    <t>beidseitig</t>
  </si>
  <si>
    <t>m2</t>
  </si>
  <si>
    <t>Anzahl Anodensheets</t>
  </si>
  <si>
    <t>Anzahl</t>
  </si>
  <si>
    <t>Anode Sheet Breite</t>
  </si>
  <si>
    <t>Anode Sheet Länge</t>
  </si>
  <si>
    <t>Reale Fläche Anode</t>
  </si>
  <si>
    <t>Anzahl Kathodensheets</t>
  </si>
  <si>
    <t>Kathode Sheet Breite</t>
  </si>
  <si>
    <t>Kathode Sheet Länge</t>
  </si>
  <si>
    <t xml:space="preserve">Reale Fläche Kathode </t>
  </si>
  <si>
    <t>Separatordicke</t>
  </si>
  <si>
    <t>Anzahl Separatorschichten pro Stapel</t>
  </si>
  <si>
    <t>Stapelbreite</t>
  </si>
  <si>
    <t>Stapellänge</t>
  </si>
  <si>
    <t>Stapeldicke</t>
  </si>
  <si>
    <t>Stapelvolumen</t>
  </si>
  <si>
    <t>m3</t>
  </si>
  <si>
    <t>Überstand Separator Stapel (Breite/Länge)</t>
  </si>
  <si>
    <t>Dicke Pouchfolie</t>
  </si>
  <si>
    <t>Zellenbreite</t>
  </si>
  <si>
    <t>Zellenlänge</t>
  </si>
  <si>
    <t>Zellendicke</t>
  </si>
  <si>
    <t>Zellenvolumen</t>
  </si>
  <si>
    <t xml:space="preserve">Überstand Pouchfolie Siegelnaht </t>
  </si>
  <si>
    <t>Überstand Pouchfolie Sicherheitsabstand</t>
  </si>
  <si>
    <t>Dicke Gehäuse</t>
  </si>
  <si>
    <t>Benötigte Fläche Beschichtung Kathode gesamt</t>
  </si>
  <si>
    <t>Benötigte Reale Fläche Kathode gesamt</t>
  </si>
  <si>
    <t>Beschichtungsdicke Anode</t>
  </si>
  <si>
    <t>mg/cm2</t>
  </si>
  <si>
    <t>%</t>
  </si>
  <si>
    <t>Porösität Anode</t>
  </si>
  <si>
    <t>Beschichtungsdicke Kathode</t>
  </si>
  <si>
    <t>Dicke Anodenableiter</t>
  </si>
  <si>
    <t>Masse Ableiterfolie Kathode</t>
  </si>
  <si>
    <t>Dicke Kathodenableiter</t>
  </si>
  <si>
    <t>g</t>
  </si>
  <si>
    <t>Masse Kathodenmaterial</t>
  </si>
  <si>
    <t>Flächenbeladung Kathodenmaterial</t>
  </si>
  <si>
    <t>Flächenbeladung Anodenmaterial</t>
  </si>
  <si>
    <t>Masse Anodenmaterial</t>
  </si>
  <si>
    <t>Porösität Separator</t>
  </si>
  <si>
    <t>Masse Separator</t>
  </si>
  <si>
    <t>Masse Pouchfolie</t>
  </si>
  <si>
    <t>Masse Elektrolyt</t>
  </si>
  <si>
    <t>Gesamtmasse</t>
  </si>
  <si>
    <t>Masse Ableiterfolie Anode</t>
  </si>
  <si>
    <t>Masse Gehäuse</t>
  </si>
  <si>
    <t>Kupfer</t>
  </si>
  <si>
    <t>kJ/(kg*K)</t>
  </si>
  <si>
    <t>Aluminium</t>
  </si>
  <si>
    <t>Korthauer</t>
  </si>
  <si>
    <t>NCA Schicht</t>
  </si>
  <si>
    <t>NMC Schicht</t>
  </si>
  <si>
    <t>LFP Schicht</t>
  </si>
  <si>
    <t>U</t>
  </si>
  <si>
    <t>Spannung pro Schicht</t>
  </si>
  <si>
    <t>Energiegehalt pro Schicht</t>
  </si>
  <si>
    <t>Masse pro Schicht</t>
  </si>
  <si>
    <t>Kapazität pro Fläche NMC 811</t>
  </si>
  <si>
    <t>Quellen / Kommentare</t>
  </si>
  <si>
    <t>Material</t>
  </si>
  <si>
    <t>chemie.de; PEM intern</t>
  </si>
  <si>
    <t>Rheinfeld, A et al. (Electro-thermal modeling of large format lithium-ion pouch cells: A cell temperature dependent linear polarization expression) 2016.</t>
  </si>
  <si>
    <t>PEM intern</t>
  </si>
  <si>
    <t>NMC 111</t>
  </si>
  <si>
    <t>Litarion Zelldatenblatt</t>
  </si>
  <si>
    <t xml:space="preserve">NMC 811 </t>
  </si>
  <si>
    <t>PE Pouchfolie</t>
  </si>
  <si>
    <t>http://www.auer-kunststofftechnik.de/pdf/Technisch.Datenblatt%20PE%20-LD%20natur%2070093.pdf</t>
  </si>
  <si>
    <t>Pouchfolie gesamt 1</t>
  </si>
  <si>
    <t>PEM intern 1</t>
  </si>
  <si>
    <t>Pouchfolie gesamt 2</t>
  </si>
  <si>
    <t xml:space="preserve">Wärmeleitfähigkeit quer; Goutam, S et al. (Three-dimensional electro-thermal model of Li-ion pouch cell: Analysis and comparison of cell design factors and model assumptions) 2017.
Wu, B et al. (Thermal design for the pouch-type large-format lithium-ion batteries: I. Thermo-electrical modeling and origins of temperature non-uniformity) 2014.
</t>
  </si>
  <si>
    <t>Separator PE</t>
  </si>
  <si>
    <t>Wärmekapazittät pro Schicht</t>
  </si>
  <si>
    <t>Massenanteil Stapel</t>
  </si>
  <si>
    <t>Einheit</t>
  </si>
  <si>
    <t>Pouchzelle 1</t>
  </si>
  <si>
    <t>Prismatische Zelle 2</t>
  </si>
  <si>
    <t>Masse</t>
  </si>
  <si>
    <t xml:space="preserve">Wärmekapazität </t>
  </si>
  <si>
    <t xml:space="preserve">Gespeicherte Energie </t>
  </si>
  <si>
    <t>Zelle 1 (Pouch)</t>
  </si>
  <si>
    <t>Zelle 2 (prismatisch)</t>
  </si>
  <si>
    <t>Massenanteil Zelle</t>
  </si>
  <si>
    <t>KJ</t>
  </si>
  <si>
    <t>J</t>
  </si>
  <si>
    <t>Daten einer Zellschicht</t>
  </si>
  <si>
    <t>Zellvergleich</t>
  </si>
  <si>
    <t>PEM RWTH - Hendrik Löbberding und Jonas Gorsch</t>
  </si>
  <si>
    <t>Zellspezifikationen</t>
  </si>
  <si>
    <t>Stand: 02.11.2020</t>
  </si>
  <si>
    <t>Stoffeigenschaften der Zellkomponenten</t>
  </si>
  <si>
    <t>Wärmekapazität kJ/(kg*K)</t>
  </si>
  <si>
    <t>Dichte g/cm3</t>
  </si>
  <si>
    <t>Wärmeleitfähigkeit W/(m*K)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</si>
</sst>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0"/>
      <name val="Arial"/>
      <family val="2"/>
    </font>
    <font>
      <sz val="11"/>
      <color theme="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A4D6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0" xfId="0" applyBorder="1"/>
    <xf numFmtId="0" fontId="0" fillId="0" borderId="7" xfId="0" applyBorder="1"/>
    <xf numFmtId="0" fontId="0" fillId="0" borderId="2" xfId="0" applyBorder="1"/>
    <xf numFmtId="0" fontId="4" fillId="0" borderId="0" xfId="0" applyFont="1"/>
    <xf numFmtId="0" fontId="4" fillId="0" borderId="5" xfId="0" applyFont="1" applyBorder="1"/>
    <xf numFmtId="0" fontId="4" fillId="0" borderId="0" xfId="0" applyFont="1" applyBorder="1"/>
    <xf numFmtId="0" fontId="0" fillId="0" borderId="11" xfId="0" applyBorder="1"/>
    <xf numFmtId="0" fontId="0" fillId="0" borderId="12" xfId="0" applyBorder="1"/>
    <xf numFmtId="0" fontId="0" fillId="0" borderId="17" xfId="0" applyBorder="1"/>
    <xf numFmtId="0" fontId="2" fillId="0" borderId="12" xfId="0" applyFont="1" applyBorder="1"/>
    <xf numFmtId="0" fontId="2" fillId="0" borderId="10" xfId="0" applyFont="1" applyBorder="1"/>
    <xf numFmtId="0" fontId="0" fillId="0" borderId="9" xfId="0" applyBorder="1"/>
    <xf numFmtId="0" fontId="0" fillId="0" borderId="18" xfId="0" applyBorder="1"/>
    <xf numFmtId="0" fontId="2" fillId="0" borderId="15" xfId="0" applyFont="1" applyBorder="1"/>
    <xf numFmtId="0" fontId="0" fillId="2" borderId="11" xfId="0" applyFill="1" applyBorder="1"/>
    <xf numFmtId="0" fontId="0" fillId="2" borderId="11" xfId="0" applyFill="1" applyBorder="1" applyAlignment="1">
      <alignment horizontal="center"/>
    </xf>
    <xf numFmtId="2" fontId="0" fillId="2" borderId="11" xfId="0" applyNumberForma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166" fontId="3" fillId="2" borderId="11" xfId="0" applyNumberFormat="1" applyFont="1" applyFill="1" applyBorder="1" applyAlignment="1">
      <alignment horizontal="center"/>
    </xf>
    <xf numFmtId="165" fontId="0" fillId="2" borderId="11" xfId="0" applyNumberForma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1" fontId="0" fillId="2" borderId="11" xfId="0" applyNumberFormat="1" applyFill="1" applyBorder="1" applyAlignment="1">
      <alignment horizontal="center"/>
    </xf>
    <xf numFmtId="164" fontId="1" fillId="2" borderId="11" xfId="0" applyNumberFormat="1" applyFont="1" applyFill="1" applyBorder="1" applyAlignment="1">
      <alignment horizontal="center"/>
    </xf>
    <xf numFmtId="164" fontId="3" fillId="2" borderId="11" xfId="0" applyNumberFormat="1" applyFont="1" applyFill="1" applyBorder="1" applyAlignment="1">
      <alignment horizontal="center"/>
    </xf>
    <xf numFmtId="0" fontId="0" fillId="2" borderId="12" xfId="0" applyFill="1" applyBorder="1"/>
    <xf numFmtId="0" fontId="0" fillId="2" borderId="17" xfId="0" applyFill="1" applyBorder="1"/>
    <xf numFmtId="0" fontId="2" fillId="2" borderId="12" xfId="0" applyFont="1" applyFill="1" applyBorder="1"/>
    <xf numFmtId="0" fontId="0" fillId="2" borderId="10" xfId="0" applyFill="1" applyBorder="1"/>
    <xf numFmtId="164" fontId="0" fillId="2" borderId="9" xfId="0" applyNumberFormat="1" applyFill="1" applyBorder="1" applyAlignment="1">
      <alignment horizontal="center"/>
    </xf>
    <xf numFmtId="0" fontId="0" fillId="2" borderId="9" xfId="0" applyFill="1" applyBorder="1"/>
    <xf numFmtId="0" fontId="0" fillId="2" borderId="18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15" xfId="0" applyFill="1" applyBorder="1"/>
    <xf numFmtId="164" fontId="3" fillId="2" borderId="14" xfId="0" applyNumberFormat="1" applyFont="1" applyFill="1" applyBorder="1" applyAlignment="1">
      <alignment horizontal="center"/>
    </xf>
    <xf numFmtId="0" fontId="0" fillId="2" borderId="14" xfId="0" applyFill="1" applyBorder="1"/>
    <xf numFmtId="0" fontId="0" fillId="2" borderId="13" xfId="0" applyFill="1" applyBorder="1"/>
    <xf numFmtId="0" fontId="0" fillId="2" borderId="21" xfId="0" applyFill="1" applyBorder="1"/>
    <xf numFmtId="0" fontId="0" fillId="2" borderId="20" xfId="0" applyFill="1" applyBorder="1" applyAlignment="1">
      <alignment horizontal="center"/>
    </xf>
    <xf numFmtId="0" fontId="0" fillId="2" borderId="20" xfId="0" applyFill="1" applyBorder="1"/>
    <xf numFmtId="0" fontId="0" fillId="2" borderId="19" xfId="0" applyFill="1" applyBorder="1"/>
    <xf numFmtId="0" fontId="0" fillId="2" borderId="14" xfId="0" applyFill="1" applyBorder="1" applyAlignment="1">
      <alignment horizontal="center"/>
    </xf>
    <xf numFmtId="0" fontId="2" fillId="2" borderId="10" xfId="0" applyFont="1" applyFill="1" applyBorder="1"/>
    <xf numFmtId="2" fontId="0" fillId="2" borderId="9" xfId="0" applyNumberForma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2" fontId="3" fillId="2" borderId="14" xfId="0" applyNumberFormat="1" applyFont="1" applyFill="1" applyBorder="1" applyAlignment="1">
      <alignment horizontal="center"/>
    </xf>
    <xf numFmtId="2" fontId="0" fillId="2" borderId="14" xfId="0" applyNumberForma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166" fontId="3" fillId="2" borderId="14" xfId="0" applyNumberFormat="1" applyFont="1" applyFill="1" applyBorder="1" applyAlignment="1">
      <alignment horizontal="center"/>
    </xf>
    <xf numFmtId="164" fontId="1" fillId="2" borderId="23" xfId="0" applyNumberFormat="1" applyFont="1" applyFill="1" applyBorder="1" applyAlignment="1">
      <alignment horizontal="center"/>
    </xf>
    <xf numFmtId="0" fontId="0" fillId="0" borderId="14" xfId="0" applyBorder="1"/>
    <xf numFmtId="0" fontId="0" fillId="0" borderId="13" xfId="0" applyBorder="1"/>
    <xf numFmtId="0" fontId="0" fillId="0" borderId="14" xfId="0" applyFont="1" applyBorder="1"/>
    <xf numFmtId="0" fontId="0" fillId="0" borderId="13" xfId="0" applyFont="1" applyBorder="1"/>
    <xf numFmtId="164" fontId="0" fillId="0" borderId="11" xfId="0" applyNumberFormat="1" applyFont="1" applyBorder="1"/>
    <xf numFmtId="0" fontId="0" fillId="0" borderId="17" xfId="0" applyFont="1" applyBorder="1"/>
    <xf numFmtId="0" fontId="0" fillId="0" borderId="11" xfId="0" applyFont="1" applyBorder="1"/>
    <xf numFmtId="0" fontId="0" fillId="0" borderId="9" xfId="0" applyFont="1" applyBorder="1"/>
    <xf numFmtId="0" fontId="0" fillId="0" borderId="18" xfId="0" applyFont="1" applyBorder="1"/>
    <xf numFmtId="0" fontId="6" fillId="3" borderId="1" xfId="0" applyFont="1" applyFill="1" applyBorder="1" applyAlignment="1"/>
    <xf numFmtId="0" fontId="7" fillId="3" borderId="2" xfId="0" applyFont="1" applyFill="1" applyBorder="1"/>
    <xf numFmtId="14" fontId="7" fillId="3" borderId="4" xfId="0" applyNumberFormat="1" applyFont="1" applyFill="1" applyBorder="1" applyAlignment="1">
      <alignment horizontal="left" vertical="top"/>
    </xf>
    <xf numFmtId="0" fontId="7" fillId="3" borderId="0" xfId="0" applyFont="1" applyFill="1" applyBorder="1"/>
    <xf numFmtId="0" fontId="7" fillId="3" borderId="6" xfId="0" applyFont="1" applyFill="1" applyBorder="1" applyAlignment="1"/>
    <xf numFmtId="0" fontId="7" fillId="3" borderId="7" xfId="0" applyFont="1" applyFill="1" applyBorder="1"/>
    <xf numFmtId="0" fontId="6" fillId="3" borderId="2" xfId="0" applyFont="1" applyFill="1" applyBorder="1" applyAlignment="1"/>
    <xf numFmtId="0" fontId="4" fillId="0" borderId="2" xfId="0" applyFont="1" applyBorder="1"/>
    <xf numFmtId="0" fontId="4" fillId="0" borderId="3" xfId="0" applyFont="1" applyBorder="1"/>
    <xf numFmtId="0" fontId="4" fillId="0" borderId="7" xfId="0" applyFont="1" applyBorder="1"/>
    <xf numFmtId="0" fontId="4" fillId="0" borderId="8" xfId="0" applyFont="1" applyBorder="1"/>
    <xf numFmtId="0" fontId="4" fillId="2" borderId="11" xfId="0" applyFont="1" applyFill="1" applyBorder="1" applyAlignment="1">
      <alignment horizontal="center" vertical="center"/>
    </xf>
    <xf numFmtId="0" fontId="4" fillId="2" borderId="11" xfId="0" applyFont="1" applyFill="1" applyBorder="1"/>
    <xf numFmtId="0" fontId="8" fillId="2" borderId="11" xfId="0" applyFont="1" applyFill="1" applyBorder="1" applyAlignment="1">
      <alignment wrapText="1"/>
    </xf>
    <xf numFmtId="0" fontId="4" fillId="2" borderId="11" xfId="0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0" xfId="0" applyFont="1" applyFill="1" applyBorder="1"/>
    <xf numFmtId="0" fontId="4" fillId="2" borderId="16" xfId="0" applyFont="1" applyFill="1" applyBorder="1"/>
    <xf numFmtId="0" fontId="5" fillId="2" borderId="16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0" xfId="0" applyFont="1"/>
  </cellXfs>
  <cellStyles count="1">
    <cellStyle name="Standard" xfId="0" builtinId="0"/>
  </cellStyles>
  <dxfs count="9">
    <dxf>
      <font>
        <strike val="0"/>
        <outline val="0"/>
        <shadow val="0"/>
        <u val="none"/>
        <vertAlign val="baseline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31750</xdr:colOff>
      <xdr:row>1</xdr:row>
      <xdr:rowOff>142875</xdr:rowOff>
    </xdr:from>
    <xdr:to>
      <xdr:col>12</xdr:col>
      <xdr:colOff>180192</xdr:colOff>
      <xdr:row>5</xdr:row>
      <xdr:rowOff>52736</xdr:rowOff>
    </xdr:to>
    <xdr:pic>
      <xdr:nvPicPr>
        <xdr:cNvPr id="6" name="Grafik 21">
          <a:extLst>
            <a:ext uri="{FF2B5EF4-FFF2-40B4-BE49-F238E27FC236}">
              <a16:creationId xmlns:a16="http://schemas.microsoft.com/office/drawing/2014/main" id="{A4E7B592-EB01-4568-AFB6-AA342C08F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8875" y="333375"/>
          <a:ext cx="1926442" cy="671861"/>
        </a:xfrm>
        <a:prstGeom prst="rect">
          <a:avLst/>
        </a:prstGeom>
      </xdr:spPr>
    </xdr:pic>
    <xdr:clientData/>
  </xdr:twoCellAnchor>
  <xdr:twoCellAnchor editAs="oneCell">
    <xdr:from>
      <xdr:col>14</xdr:col>
      <xdr:colOff>61024</xdr:colOff>
      <xdr:row>2</xdr:row>
      <xdr:rowOff>56024</xdr:rowOff>
    </xdr:from>
    <xdr:to>
      <xdr:col>14</xdr:col>
      <xdr:colOff>1174995</xdr:colOff>
      <xdr:row>4</xdr:row>
      <xdr:rowOff>116236</xdr:rowOff>
    </xdr:to>
    <xdr:pic>
      <xdr:nvPicPr>
        <xdr:cNvPr id="7" name="Picture 2">
          <a:extLst>
            <a:ext uri="{FF2B5EF4-FFF2-40B4-BE49-F238E27FC236}">
              <a16:creationId xmlns:a16="http://schemas.microsoft.com/office/drawing/2014/main" id="{2A4C26C5-8035-4D22-B56F-F77908FA7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8774" y="437024"/>
          <a:ext cx="1113971" cy="4412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1035050</xdr:colOff>
      <xdr:row>0</xdr:row>
      <xdr:rowOff>120650</xdr:rowOff>
    </xdr:from>
    <xdr:to>
      <xdr:col>5</xdr:col>
      <xdr:colOff>561192</xdr:colOff>
      <xdr:row>4</xdr:row>
      <xdr:rowOff>49561</xdr:rowOff>
    </xdr:to>
    <xdr:pic>
      <xdr:nvPicPr>
        <xdr:cNvPr id="4" name="Grafik 21">
          <a:extLst>
            <a:ext uri="{FF2B5EF4-FFF2-40B4-BE49-F238E27FC236}">
              <a16:creationId xmlns:a16="http://schemas.microsoft.com/office/drawing/2014/main" id="{AB2A0802-1302-4A66-9F34-EB50EA2BB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0650" y="120650"/>
          <a:ext cx="1926442" cy="671861"/>
        </a:xfrm>
        <a:prstGeom prst="rect">
          <a:avLst/>
        </a:prstGeom>
      </xdr:spPr>
    </xdr:pic>
    <xdr:clientData/>
  </xdr:twoCellAnchor>
  <xdr:twoCellAnchor editAs="oneCell">
    <xdr:from>
      <xdr:col>5</xdr:col>
      <xdr:colOff>1826324</xdr:colOff>
      <xdr:row>1</xdr:row>
      <xdr:rowOff>59199</xdr:rowOff>
    </xdr:from>
    <xdr:to>
      <xdr:col>5</xdr:col>
      <xdr:colOff>2940295</xdr:colOff>
      <xdr:row>3</xdr:row>
      <xdr:rowOff>125761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DCE3A8B3-1BD1-4D33-9D2B-CB779166A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2224" y="243349"/>
          <a:ext cx="1113971" cy="4412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LOEBB~1/AppData/Local/Temp/200909_Abf&#228;lle%20in%20der%20FFB_%20Mengenabsch&#228;tzung_v16_k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leitung"/>
      <sheetName val="Output"/>
      <sheetName val="Ausschuss"/>
      <sheetName val="Abfall"/>
      <sheetName val="Coils"/>
      <sheetName val="Produktionsszenario"/>
      <sheetName val="relevantes Zelldesign"/>
      <sheetName val="alle Informationen Zelle"/>
      <sheetName val="Behälter"/>
      <sheetName val="Informationen Behäl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4">
          <cell r="B34">
            <v>1E-4</v>
          </cell>
        </row>
      </sheetData>
      <sheetData sheetId="6" refreshError="1"/>
      <sheetData sheetId="7" refreshError="1"/>
      <sheetData sheetId="8">
        <row r="1">
          <cell r="B1" t="str">
            <v>Allgemeines</v>
          </cell>
        </row>
        <row r="2">
          <cell r="B2" t="str">
            <v>Art</v>
          </cell>
        </row>
        <row r="3">
          <cell r="B3" t="str">
            <v>Sicherheitsbehälter</v>
          </cell>
          <cell r="D3">
            <v>60</v>
          </cell>
          <cell r="E3">
            <v>4199</v>
          </cell>
          <cell r="F3">
            <v>472.58979206049145</v>
          </cell>
          <cell r="G3">
            <v>33073.40894770006</v>
          </cell>
          <cell r="K3">
            <v>0.12696000000000002</v>
          </cell>
          <cell r="O3" t="str">
            <v>RETRON 240</v>
          </cell>
        </row>
        <row r="4">
          <cell r="B4" t="str">
            <v xml:space="preserve"> Sicherheitsbehälter</v>
          </cell>
        </row>
        <row r="5">
          <cell r="B5" t="str">
            <v>Sicherheitsbehälter</v>
          </cell>
        </row>
        <row r="6">
          <cell r="B6" t="str">
            <v>Sicherheitsbehälter</v>
          </cell>
        </row>
        <row r="7">
          <cell r="B7" t="str">
            <v>Sicherheitsbehälter</v>
          </cell>
        </row>
        <row r="8">
          <cell r="B8" t="str">
            <v>Sicherheitsbehälter</v>
          </cell>
        </row>
        <row r="9">
          <cell r="B9" t="str">
            <v>Slurry Sammelbehälter</v>
          </cell>
        </row>
        <row r="10">
          <cell r="B10" t="str">
            <v>Slurry Sammelbehälter</v>
          </cell>
        </row>
        <row r="11">
          <cell r="B11" t="str">
            <v>Unkritische Materialien (Kupferfolie, Isolator, etc.)</v>
          </cell>
        </row>
        <row r="12">
          <cell r="B12" t="str">
            <v>Unkritische Materialien (Kupferfolie, Isolator, etc.)</v>
          </cell>
        </row>
        <row r="13">
          <cell r="B13" t="str">
            <v>Unkritische Materialien (Kupferfolie, Isolator, etc.)</v>
          </cell>
        </row>
        <row r="14">
          <cell r="B14" t="str">
            <v>Elektrodenabfälle</v>
          </cell>
        </row>
        <row r="15">
          <cell r="B15" t="str">
            <v>Elektrolyt/Slurry</v>
          </cell>
        </row>
        <row r="16">
          <cell r="B16" t="str">
            <v>Elektrolyt/Slurry</v>
          </cell>
        </row>
        <row r="17">
          <cell r="B17" t="str">
            <v>Elektrolyt/Slurry</v>
          </cell>
        </row>
      </sheetData>
      <sheetData sheetId="9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B5:F15" totalsRowShown="0" headerRowDxfId="8" dataDxfId="6" headerRowBorderDxfId="7" tableBorderDxfId="5">
  <autoFilter ref="B5:F15" xr:uid="{C4890F52-DB95-42AA-B701-DE77C2464283}"/>
  <sortState ref="B6:F15">
    <sortCondition ref="B5:B15"/>
  </sortState>
  <tableColumns count="5">
    <tableColumn id="1" xr3:uid="{00000000-0010-0000-0000-000001000000}" name="Material" dataDxfId="4"/>
    <tableColumn id="2" xr3:uid="{00000000-0010-0000-0000-000002000000}" name="Wärmekapazität kJ/(kg*K)" dataDxfId="3"/>
    <tableColumn id="3" xr3:uid="{00000000-0010-0000-0000-000003000000}" name="Dichte g/cm3" dataDxfId="2"/>
    <tableColumn id="4" xr3:uid="{00000000-0010-0000-0000-000004000000}" name="Wärmeleitfähigkeit W/(m*K)" dataDxfId="1"/>
    <tableColumn id="5" xr3:uid="{00000000-0010-0000-0000-000005000000}" name="Quellen / Kommentar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O49"/>
  <sheetViews>
    <sheetView showGridLines="0" tabSelected="1" topLeftCell="D1" zoomScale="70" zoomScaleNormal="70" workbookViewId="0">
      <selection activeCell="H29" sqref="H29"/>
    </sheetView>
  </sheetViews>
  <sheetFormatPr baseColWidth="10" defaultColWidth="8.7265625" defaultRowHeight="14.5" x14ac:dyDescent="0.35"/>
  <cols>
    <col min="1" max="1" width="24.81640625" customWidth="1"/>
    <col min="2" max="2" width="48.26953125" bestFit="1" customWidth="1"/>
    <col min="3" max="3" width="9.81640625" bestFit="1" customWidth="1"/>
    <col min="4" max="5" width="20.81640625" bestFit="1" customWidth="1"/>
    <col min="6" max="6" width="19.453125" bestFit="1" customWidth="1"/>
    <col min="7" max="7" width="45" bestFit="1" customWidth="1"/>
    <col min="8" max="8" width="16.08984375" customWidth="1"/>
    <col min="9" max="10" width="22.26953125" customWidth="1"/>
    <col min="11" max="11" width="20.81640625" bestFit="1" customWidth="1"/>
    <col min="12" max="12" width="25.453125" bestFit="1" customWidth="1"/>
    <col min="13" max="13" width="14.26953125" bestFit="1" customWidth="1"/>
    <col min="14" max="14" width="13.54296875" customWidth="1"/>
    <col min="15" max="15" width="18.54296875" customWidth="1"/>
  </cols>
  <sheetData>
    <row r="1" spans="1:15" x14ac:dyDescent="0.35">
      <c r="A1" s="1"/>
      <c r="B1" s="7"/>
      <c r="C1" s="7"/>
    </row>
    <row r="2" spans="1:15" ht="15" thickBot="1" x14ac:dyDescent="0.4"/>
    <row r="3" spans="1:15" ht="15.5" x14ac:dyDescent="0.35">
      <c r="B3" s="65" t="s">
        <v>100</v>
      </c>
      <c r="C3" s="71"/>
      <c r="D3" s="71"/>
      <c r="E3" s="66"/>
      <c r="F3" s="66"/>
      <c r="G3" s="66"/>
      <c r="H3" s="66"/>
      <c r="I3" s="66"/>
      <c r="J3" s="66"/>
      <c r="K3" s="66"/>
      <c r="L3" s="7"/>
      <c r="M3" s="7"/>
      <c r="N3" s="7"/>
      <c r="O3" s="2"/>
    </row>
    <row r="4" spans="1:15" x14ac:dyDescent="0.35">
      <c r="B4" s="67" t="s">
        <v>101</v>
      </c>
      <c r="C4" s="68"/>
      <c r="D4" s="68"/>
      <c r="E4" s="68"/>
      <c r="F4" s="68"/>
      <c r="G4" s="68"/>
      <c r="H4" s="68"/>
      <c r="I4" s="68"/>
      <c r="J4" s="68"/>
      <c r="K4" s="68"/>
      <c r="L4" s="5"/>
      <c r="M4" s="5"/>
      <c r="N4" s="5"/>
      <c r="O4" s="3"/>
    </row>
    <row r="5" spans="1:15" ht="15" thickBot="1" x14ac:dyDescent="0.4">
      <c r="B5" s="69" t="s">
        <v>99</v>
      </c>
      <c r="C5" s="70"/>
      <c r="D5" s="70"/>
      <c r="E5" s="70"/>
      <c r="F5" s="70"/>
      <c r="G5" s="70"/>
      <c r="H5" s="70"/>
      <c r="I5" s="70"/>
      <c r="J5" s="70"/>
      <c r="K5" s="70"/>
      <c r="L5" s="6"/>
      <c r="M5" s="6"/>
      <c r="N5" s="6"/>
      <c r="O5" s="4"/>
    </row>
    <row r="6" spans="1:15" s="91" customFormat="1" ht="15" thickBot="1" x14ac:dyDescent="0.4">
      <c r="B6" s="85" t="s">
        <v>87</v>
      </c>
      <c r="C6" s="86"/>
      <c r="D6" s="87"/>
      <c r="E6" s="86"/>
      <c r="F6" s="87"/>
      <c r="G6" s="85" t="s">
        <v>88</v>
      </c>
      <c r="H6" s="86"/>
      <c r="I6" s="86"/>
      <c r="J6" s="86"/>
      <c r="K6" s="87"/>
      <c r="L6" s="88" t="s">
        <v>97</v>
      </c>
      <c r="M6" s="89"/>
      <c r="N6" s="89"/>
      <c r="O6" s="90"/>
    </row>
    <row r="7" spans="1:15" x14ac:dyDescent="0.35">
      <c r="B7" s="39" t="s">
        <v>3</v>
      </c>
      <c r="C7" s="47">
        <v>60</v>
      </c>
      <c r="D7" s="41" t="s">
        <v>4</v>
      </c>
      <c r="E7" s="47" t="s">
        <v>85</v>
      </c>
      <c r="F7" s="42" t="s">
        <v>94</v>
      </c>
      <c r="G7" s="39" t="s">
        <v>3</v>
      </c>
      <c r="H7" s="47">
        <v>108</v>
      </c>
      <c r="I7" s="41" t="s">
        <v>4</v>
      </c>
      <c r="J7" s="47" t="s">
        <v>85</v>
      </c>
      <c r="K7" s="42" t="s">
        <v>94</v>
      </c>
      <c r="L7" s="18" t="s">
        <v>65</v>
      </c>
      <c r="M7" s="56"/>
      <c r="N7" s="56" t="s">
        <v>86</v>
      </c>
      <c r="O7" s="57" t="s">
        <v>0</v>
      </c>
    </row>
    <row r="8" spans="1:15" x14ac:dyDescent="0.35">
      <c r="B8" s="29" t="s">
        <v>68</v>
      </c>
      <c r="C8" s="20">
        <v>4.7</v>
      </c>
      <c r="D8" s="19" t="s">
        <v>5</v>
      </c>
      <c r="E8" s="20"/>
      <c r="F8" s="30"/>
      <c r="G8" s="29" t="s">
        <v>68</v>
      </c>
      <c r="H8" s="20">
        <v>4.7</v>
      </c>
      <c r="I8" s="19" t="s">
        <v>5</v>
      </c>
      <c r="J8" s="20"/>
      <c r="K8" s="30"/>
      <c r="L8" s="12" t="s">
        <v>61</v>
      </c>
      <c r="M8" s="11">
        <v>3.6</v>
      </c>
      <c r="N8" s="11" t="s">
        <v>64</v>
      </c>
      <c r="O8" s="13" t="s">
        <v>60</v>
      </c>
    </row>
    <row r="9" spans="1:15" x14ac:dyDescent="0.35">
      <c r="B9" s="29" t="s">
        <v>7</v>
      </c>
      <c r="C9" s="20">
        <v>2</v>
      </c>
      <c r="D9" s="19" t="s">
        <v>8</v>
      </c>
      <c r="E9" s="20"/>
      <c r="F9" s="30"/>
      <c r="G9" s="29" t="s">
        <v>7</v>
      </c>
      <c r="H9" s="20">
        <v>2</v>
      </c>
      <c r="I9" s="19" t="s">
        <v>8</v>
      </c>
      <c r="J9" s="20"/>
      <c r="K9" s="30"/>
      <c r="L9" s="12" t="s">
        <v>62</v>
      </c>
      <c r="M9" s="11">
        <v>3.6</v>
      </c>
      <c r="N9" s="11" t="s">
        <v>64</v>
      </c>
      <c r="O9" s="13" t="s">
        <v>60</v>
      </c>
    </row>
    <row r="10" spans="1:15" x14ac:dyDescent="0.35">
      <c r="B10" s="29" t="s">
        <v>35</v>
      </c>
      <c r="C10" s="21">
        <f>C7/(C8*10^-3)*10^-4</f>
        <v>1.2765957446808511</v>
      </c>
      <c r="D10" s="19" t="s">
        <v>9</v>
      </c>
      <c r="E10" s="21"/>
      <c r="F10" s="30"/>
      <c r="G10" s="29" t="s">
        <v>35</v>
      </c>
      <c r="H10" s="21">
        <f>H7/(H8*10^-3)*10^-4</f>
        <v>2.2978723404255317</v>
      </c>
      <c r="I10" s="19" t="s">
        <v>9</v>
      </c>
      <c r="J10" s="21"/>
      <c r="K10" s="30"/>
      <c r="L10" s="12" t="s">
        <v>63</v>
      </c>
      <c r="M10" s="11">
        <v>3.2</v>
      </c>
      <c r="N10" s="11" t="s">
        <v>64</v>
      </c>
      <c r="O10" s="13" t="s">
        <v>60</v>
      </c>
    </row>
    <row r="11" spans="1:15" x14ac:dyDescent="0.35">
      <c r="B11" s="29" t="s">
        <v>36</v>
      </c>
      <c r="C11" s="21">
        <f>C10/C9</f>
        <v>0.63829787234042556</v>
      </c>
      <c r="D11" s="19" t="s">
        <v>9</v>
      </c>
      <c r="E11" s="21"/>
      <c r="F11" s="30"/>
      <c r="G11" s="29" t="s">
        <v>36</v>
      </c>
      <c r="H11" s="21">
        <f>H10/H9</f>
        <v>1.1489361702127658</v>
      </c>
      <c r="I11" s="19" t="s">
        <v>9</v>
      </c>
      <c r="J11" s="21"/>
      <c r="K11" s="30"/>
      <c r="L11" s="12"/>
      <c r="M11" s="11"/>
      <c r="N11" s="11"/>
      <c r="O11" s="13"/>
    </row>
    <row r="12" spans="1:15" x14ac:dyDescent="0.35">
      <c r="B12" s="29" t="s">
        <v>16</v>
      </c>
      <c r="C12" s="22">
        <v>0.3</v>
      </c>
      <c r="D12" s="19" t="s">
        <v>6</v>
      </c>
      <c r="E12" s="22"/>
      <c r="F12" s="30"/>
      <c r="G12" s="29" t="s">
        <v>16</v>
      </c>
      <c r="H12" s="22">
        <v>0.15</v>
      </c>
      <c r="I12" s="19" t="s">
        <v>6</v>
      </c>
      <c r="J12" s="22"/>
      <c r="K12" s="30"/>
      <c r="L12" s="14" t="s">
        <v>66</v>
      </c>
      <c r="M12" s="11"/>
      <c r="N12" s="11"/>
      <c r="O12" s="13"/>
    </row>
    <row r="13" spans="1:15" x14ac:dyDescent="0.35">
      <c r="B13" s="29" t="s">
        <v>17</v>
      </c>
      <c r="C13" s="22">
        <v>0.125</v>
      </c>
      <c r="D13" s="19" t="s">
        <v>6</v>
      </c>
      <c r="E13" s="22"/>
      <c r="F13" s="30"/>
      <c r="G13" s="29" t="s">
        <v>17</v>
      </c>
      <c r="H13" s="22">
        <v>0.1</v>
      </c>
      <c r="I13" s="19" t="s">
        <v>6</v>
      </c>
      <c r="J13" s="22"/>
      <c r="K13" s="30"/>
      <c r="L13" s="12" t="s">
        <v>61</v>
      </c>
      <c r="M13" s="11">
        <f>($H$7/$H$33)*M8*60*60</f>
        <v>8904.2988630211148</v>
      </c>
      <c r="N13" s="11" t="s">
        <v>96</v>
      </c>
      <c r="O13" s="13"/>
    </row>
    <row r="14" spans="1:15" x14ac:dyDescent="0.35">
      <c r="B14" s="29" t="s">
        <v>41</v>
      </c>
      <c r="C14" s="22">
        <f>60/1000000</f>
        <v>6.0000000000000002E-5</v>
      </c>
      <c r="D14" s="19" t="s">
        <v>6</v>
      </c>
      <c r="E14" s="22"/>
      <c r="F14" s="30"/>
      <c r="G14" s="29" t="s">
        <v>41</v>
      </c>
      <c r="H14" s="22">
        <f>60/1000000</f>
        <v>6.0000000000000002E-5</v>
      </c>
      <c r="I14" s="19" t="s">
        <v>6</v>
      </c>
      <c r="J14" s="22"/>
      <c r="K14" s="30"/>
      <c r="L14" s="12" t="s">
        <v>62</v>
      </c>
      <c r="M14" s="11">
        <f>($H$7/$H$33)*M9*60*60</f>
        <v>8904.2988630211148</v>
      </c>
      <c r="N14" s="11" t="s">
        <v>96</v>
      </c>
      <c r="O14" s="13"/>
    </row>
    <row r="15" spans="1:15" ht="15" thickBot="1" x14ac:dyDescent="0.4">
      <c r="B15" s="48" t="s">
        <v>46</v>
      </c>
      <c r="C15" s="50">
        <f>C10*C17*10000/1000</f>
        <v>287.2340425531915</v>
      </c>
      <c r="D15" s="34" t="s">
        <v>45</v>
      </c>
      <c r="E15" s="50"/>
      <c r="F15" s="35">
        <f>C15/$C$49</f>
        <v>0.32780071412341105</v>
      </c>
      <c r="G15" s="31" t="s">
        <v>46</v>
      </c>
      <c r="H15" s="22">
        <f>H10*H17*10000/1000</f>
        <v>517.02127659574467</v>
      </c>
      <c r="I15" s="19" t="s">
        <v>45</v>
      </c>
      <c r="J15" s="22">
        <f>(H15/$H$33)/$M$20</f>
        <v>0.32997049619398872</v>
      </c>
      <c r="K15" s="30">
        <f>H15/$H$49</f>
        <v>0.31217100929685254</v>
      </c>
      <c r="L15" s="12" t="s">
        <v>63</v>
      </c>
      <c r="M15" s="11">
        <f>($H$7/$H$33)*M10*60*60</f>
        <v>7914.9323226854367</v>
      </c>
      <c r="N15" s="11" t="s">
        <v>96</v>
      </c>
      <c r="O15" s="13"/>
    </row>
    <row r="16" spans="1:15" x14ac:dyDescent="0.35">
      <c r="B16" s="39" t="s">
        <v>15</v>
      </c>
      <c r="C16" s="54">
        <f>C11/(C12*C13)</f>
        <v>17.021276595744684</v>
      </c>
      <c r="D16" s="41" t="s">
        <v>11</v>
      </c>
      <c r="E16" s="54"/>
      <c r="F16" s="42"/>
      <c r="G16" s="29" t="s">
        <v>15</v>
      </c>
      <c r="H16" s="23">
        <f>H11/(H12*H13)</f>
        <v>76.595744680851055</v>
      </c>
      <c r="I16" s="19" t="s">
        <v>11</v>
      </c>
      <c r="J16" s="23"/>
      <c r="K16" s="30"/>
      <c r="L16" s="12"/>
      <c r="M16" s="11"/>
      <c r="N16" s="11"/>
      <c r="O16" s="13"/>
    </row>
    <row r="17" spans="2:15" x14ac:dyDescent="0.35">
      <c r="B17" s="29" t="s">
        <v>47</v>
      </c>
      <c r="C17" s="22">
        <v>22.5</v>
      </c>
      <c r="D17" s="19" t="s">
        <v>38</v>
      </c>
      <c r="E17" s="22"/>
      <c r="F17" s="30"/>
      <c r="G17" s="29" t="s">
        <v>47</v>
      </c>
      <c r="H17" s="22">
        <v>22.5</v>
      </c>
      <c r="I17" s="19" t="s">
        <v>38</v>
      </c>
      <c r="J17" s="22"/>
      <c r="K17" s="30"/>
      <c r="L17" s="12"/>
      <c r="M17" s="11"/>
      <c r="N17" s="11"/>
      <c r="O17" s="13"/>
    </row>
    <row r="18" spans="2:15" x14ac:dyDescent="0.35">
      <c r="B18" s="29" t="s">
        <v>18</v>
      </c>
      <c r="C18" s="21">
        <f>C12*C13*C16</f>
        <v>0.63829787234042568</v>
      </c>
      <c r="D18" s="19" t="s">
        <v>9</v>
      </c>
      <c r="E18" s="21"/>
      <c r="F18" s="30"/>
      <c r="G18" s="29" t="s">
        <v>18</v>
      </c>
      <c r="H18" s="21">
        <f>H12*H13*H16</f>
        <v>1.1489361702127658</v>
      </c>
      <c r="I18" s="19" t="s">
        <v>9</v>
      </c>
      <c r="J18" s="21"/>
      <c r="K18" s="30"/>
      <c r="L18" s="12"/>
      <c r="M18" s="11"/>
      <c r="N18" s="11"/>
      <c r="O18" s="13"/>
    </row>
    <row r="19" spans="2:15" x14ac:dyDescent="0.35">
      <c r="B19" s="29" t="s">
        <v>44</v>
      </c>
      <c r="C19" s="24">
        <f>15/1000000</f>
        <v>1.5E-5</v>
      </c>
      <c r="D19" s="19" t="s">
        <v>6</v>
      </c>
      <c r="E19" s="24"/>
      <c r="F19" s="30"/>
      <c r="G19" s="29" t="s">
        <v>44</v>
      </c>
      <c r="H19" s="24">
        <f>15/1000000</f>
        <v>1.5E-5</v>
      </c>
      <c r="I19" s="19" t="s">
        <v>6</v>
      </c>
      <c r="J19" s="24"/>
      <c r="K19" s="30"/>
      <c r="L19" s="14" t="s">
        <v>84</v>
      </c>
      <c r="M19" s="11">
        <f>J15*Stoffeigenschaften!C10+J20*Stoffeigenschaften!C6+J28*Stoffeigenschaften!C9+J29*Stoffeigenschaften!C8+J35*Stoffeigenschaften!C15+J48*Stoffeigenschaften!C7</f>
        <v>1.5157040435403653</v>
      </c>
      <c r="N19" s="11" t="s">
        <v>58</v>
      </c>
      <c r="O19" s="13"/>
    </row>
    <row r="20" spans="2:15" ht="15" thickBot="1" x14ac:dyDescent="0.4">
      <c r="B20" s="48" t="s">
        <v>43</v>
      </c>
      <c r="C20" s="49">
        <f>C18*C19*Stoffeigenschaften!D6*1000*1000</f>
        <v>22.021276595744684</v>
      </c>
      <c r="D20" s="34" t="s">
        <v>45</v>
      </c>
      <c r="E20" s="49"/>
      <c r="F20" s="35">
        <f>C20/$C$49</f>
        <v>2.5131388082794852E-2</v>
      </c>
      <c r="G20" s="48" t="s">
        <v>43</v>
      </c>
      <c r="H20" s="49">
        <f>H18*H19*Stoffeigenschaften!D6*1000*1000</f>
        <v>39.638297872340416</v>
      </c>
      <c r="I20" s="34" t="s">
        <v>45</v>
      </c>
      <c r="J20" s="50">
        <f>(H20/$H$33)/$M$20</f>
        <v>2.5297738041539126E-2</v>
      </c>
      <c r="K20" s="35">
        <f>H20/$H$49</f>
        <v>2.3933110712758689E-2</v>
      </c>
      <c r="L20" s="15" t="s">
        <v>67</v>
      </c>
      <c r="M20" s="16">
        <f>(H15+H28+H29+H20+H35+H48)/H33</f>
        <v>9.9679138764103961</v>
      </c>
      <c r="N20" s="16" t="s">
        <v>45</v>
      </c>
      <c r="O20" s="17"/>
    </row>
    <row r="21" spans="2:15" x14ac:dyDescent="0.35">
      <c r="B21" s="39" t="s">
        <v>10</v>
      </c>
      <c r="C21" s="51">
        <f>C16+1</f>
        <v>18.021276595744684</v>
      </c>
      <c r="D21" s="41" t="s">
        <v>11</v>
      </c>
      <c r="E21" s="51"/>
      <c r="F21" s="42"/>
      <c r="G21" s="39" t="s">
        <v>10</v>
      </c>
      <c r="H21" s="51">
        <f>H16+1</f>
        <v>77.595744680851055</v>
      </c>
      <c r="I21" s="41" t="s">
        <v>11</v>
      </c>
      <c r="J21" s="51"/>
      <c r="K21" s="42"/>
    </row>
    <row r="22" spans="2:15" ht="15" thickBot="1" x14ac:dyDescent="0.4">
      <c r="B22" s="29" t="s">
        <v>12</v>
      </c>
      <c r="C22" s="22">
        <v>0.30499999999999999</v>
      </c>
      <c r="D22" s="19" t="s">
        <v>6</v>
      </c>
      <c r="E22" s="22"/>
      <c r="F22" s="30"/>
      <c r="G22" s="29" t="s">
        <v>12</v>
      </c>
      <c r="H22" s="22">
        <v>0.155</v>
      </c>
      <c r="I22" s="19" t="s">
        <v>6</v>
      </c>
      <c r="J22" s="22"/>
      <c r="K22" s="30"/>
    </row>
    <row r="23" spans="2:15" ht="15" thickBot="1" x14ac:dyDescent="0.4">
      <c r="B23" s="29" t="s">
        <v>13</v>
      </c>
      <c r="C23" s="22">
        <v>0.13</v>
      </c>
      <c r="D23" s="19" t="s">
        <v>6</v>
      </c>
      <c r="E23" s="22"/>
      <c r="F23" s="30"/>
      <c r="G23" s="29" t="s">
        <v>13</v>
      </c>
      <c r="H23" s="22">
        <v>0.105</v>
      </c>
      <c r="I23" s="19" t="s">
        <v>6</v>
      </c>
      <c r="J23" s="22"/>
      <c r="K23" s="30"/>
      <c r="L23" s="88" t="s">
        <v>98</v>
      </c>
      <c r="M23" s="89"/>
      <c r="N23" s="89"/>
      <c r="O23" s="90"/>
    </row>
    <row r="24" spans="2:15" x14ac:dyDescent="0.35">
      <c r="B24" s="29" t="s">
        <v>37</v>
      </c>
      <c r="C24" s="22">
        <f>76/1000000</f>
        <v>7.6000000000000004E-5</v>
      </c>
      <c r="D24" s="19" t="s">
        <v>6</v>
      </c>
      <c r="E24" s="22"/>
      <c r="F24" s="30"/>
      <c r="G24" s="29" t="s">
        <v>37</v>
      </c>
      <c r="H24" s="22">
        <f>76/1000000</f>
        <v>7.6000000000000004E-5</v>
      </c>
      <c r="I24" s="19" t="s">
        <v>6</v>
      </c>
      <c r="J24" s="22"/>
      <c r="K24" s="30"/>
      <c r="L24" s="18"/>
      <c r="M24" s="58" t="s">
        <v>92</v>
      </c>
      <c r="N24" s="58" t="s">
        <v>93</v>
      </c>
      <c r="O24" s="59" t="s">
        <v>86</v>
      </c>
    </row>
    <row r="25" spans="2:15" x14ac:dyDescent="0.35">
      <c r="B25" s="29" t="s">
        <v>40</v>
      </c>
      <c r="C25" s="22">
        <v>30</v>
      </c>
      <c r="D25" s="19" t="s">
        <v>39</v>
      </c>
      <c r="E25" s="22"/>
      <c r="F25" s="30"/>
      <c r="G25" s="29" t="s">
        <v>40</v>
      </c>
      <c r="H25" s="22">
        <v>30</v>
      </c>
      <c r="I25" s="19" t="s">
        <v>39</v>
      </c>
      <c r="J25" s="22"/>
      <c r="K25" s="30"/>
      <c r="L25" s="14" t="s">
        <v>89</v>
      </c>
      <c r="M25" s="60">
        <f>C49</f>
        <v>876.24593290255325</v>
      </c>
      <c r="N25" s="60">
        <f>H49</f>
        <v>1656.211695507234</v>
      </c>
      <c r="O25" s="61" t="s">
        <v>45</v>
      </c>
    </row>
    <row r="26" spans="2:15" x14ac:dyDescent="0.35">
      <c r="B26" s="29" t="s">
        <v>48</v>
      </c>
      <c r="C26" s="22">
        <v>13</v>
      </c>
      <c r="D26" s="19" t="s">
        <v>38</v>
      </c>
      <c r="E26" s="22"/>
      <c r="F26" s="30"/>
      <c r="G26" s="29" t="s">
        <v>48</v>
      </c>
      <c r="H26" s="22">
        <v>13</v>
      </c>
      <c r="I26" s="19" t="s">
        <v>38</v>
      </c>
      <c r="J26" s="22"/>
      <c r="K26" s="30"/>
      <c r="L26" s="14" t="s">
        <v>90</v>
      </c>
      <c r="M26" s="62">
        <f>$F$15*Stoffeigenschaften!$C$10+$F$20*Stoffeigenschaften!$C$6+$F$28*Stoffeigenschaften!$C$9+$F$29*Stoffeigenschaften!$C$8+$F$35*Stoffeigenschaften!$C$15+$F$48*Stoffeigenschaften!$C$7+$F$47*Stoffeigenschaften!C14</f>
        <v>1.5622833526272277</v>
      </c>
      <c r="N26" s="62">
        <f>$K$15*Stoffeigenschaften!$C$10+$K$20*Stoffeigenschaften!$C$6+$K$28*Stoffeigenschaften!$C$9+$K$29*Stoffeigenschaften!$C$8+$K$35*Stoffeigenschaften!$C$15+$K$48*Stoffeigenschaften!$C$7+$K$47*Stoffeigenschaften!$C$6</f>
        <v>1.4818440165769009</v>
      </c>
      <c r="O26" s="61" t="s">
        <v>58</v>
      </c>
    </row>
    <row r="27" spans="2:15" ht="15" thickBot="1" x14ac:dyDescent="0.4">
      <c r="B27" s="29" t="s">
        <v>42</v>
      </c>
      <c r="C27" s="22">
        <f>10/1000000</f>
        <v>1.0000000000000001E-5</v>
      </c>
      <c r="D27" s="19" t="s">
        <v>6</v>
      </c>
      <c r="E27" s="22"/>
      <c r="F27" s="30"/>
      <c r="G27" s="29" t="s">
        <v>42</v>
      </c>
      <c r="H27" s="22">
        <f>10/1000000</f>
        <v>1.0000000000000001E-5</v>
      </c>
      <c r="I27" s="19" t="s">
        <v>6</v>
      </c>
      <c r="J27" s="22"/>
      <c r="K27" s="30"/>
      <c r="L27" s="15" t="s">
        <v>91</v>
      </c>
      <c r="M27" s="63">
        <f>(60*60*$M$8*$C$7)/1000</f>
        <v>777.6</v>
      </c>
      <c r="N27" s="63">
        <f>(60*60*$M$8*$H$7)/1000</f>
        <v>1399.68</v>
      </c>
      <c r="O27" s="64" t="s">
        <v>95</v>
      </c>
    </row>
    <row r="28" spans="2:15" ht="13.9" customHeight="1" x14ac:dyDescent="0.35">
      <c r="B28" s="31" t="s">
        <v>55</v>
      </c>
      <c r="C28" s="21">
        <f>C30*C27*Stoffeigenschaften!D9*1000*1000</f>
        <v>63.594381914893638</v>
      </c>
      <c r="D28" s="19" t="s">
        <v>45</v>
      </c>
      <c r="E28" s="21"/>
      <c r="F28" s="30">
        <f>C28/$C$49</f>
        <v>7.2575951028084174E-2</v>
      </c>
      <c r="G28" s="31" t="s">
        <v>55</v>
      </c>
      <c r="H28" s="21">
        <f>H30*H27*Stoffeigenschaften!D9*1000*1000</f>
        <v>112.39549627659574</v>
      </c>
      <c r="I28" s="19" t="s">
        <v>45</v>
      </c>
      <c r="J28" s="22">
        <f>(H28/$H$33)/$M$20</f>
        <v>7.1732439950157267E-2</v>
      </c>
      <c r="K28" s="30">
        <f>H28/$H$49</f>
        <v>6.7863001198148962E-2</v>
      </c>
    </row>
    <row r="29" spans="2:15" ht="13.9" customHeight="1" thickBot="1" x14ac:dyDescent="0.4">
      <c r="B29" s="48" t="s">
        <v>49</v>
      </c>
      <c r="C29" s="49">
        <f>C26*C30*2*10000/1000</f>
        <v>185.78134042553197</v>
      </c>
      <c r="D29" s="34" t="s">
        <v>45</v>
      </c>
      <c r="E29" s="49"/>
      <c r="F29" s="35">
        <f>C29/$C$49</f>
        <v>0.21201963221687511</v>
      </c>
      <c r="G29" s="48" t="s">
        <v>49</v>
      </c>
      <c r="H29" s="49">
        <f>H26*H30*2*10000/1000</f>
        <v>328.34639361702114</v>
      </c>
      <c r="I29" s="34" t="s">
        <v>45</v>
      </c>
      <c r="J29" s="50">
        <f>(H29/$H$33)/$M$20</f>
        <v>0.20955544255102115</v>
      </c>
      <c r="K29" s="35">
        <f>H29/$H$49</f>
        <v>0.19825146417436768</v>
      </c>
    </row>
    <row r="30" spans="2:15" ht="13.9" customHeight="1" x14ac:dyDescent="0.35">
      <c r="B30" s="39" t="s">
        <v>14</v>
      </c>
      <c r="C30" s="52">
        <f>C22*C23*C21</f>
        <v>0.71454361702127667</v>
      </c>
      <c r="D30" s="41" t="s">
        <v>9</v>
      </c>
      <c r="E30" s="52"/>
      <c r="F30" s="42"/>
      <c r="G30" s="39" t="s">
        <v>14</v>
      </c>
      <c r="H30" s="52">
        <f>H22*H23*H21</f>
        <v>1.2628707446808507</v>
      </c>
      <c r="I30" s="41" t="s">
        <v>9</v>
      </c>
      <c r="J30" s="52"/>
      <c r="K30" s="42"/>
    </row>
    <row r="31" spans="2:15" x14ac:dyDescent="0.35">
      <c r="B31" s="29" t="s">
        <v>50</v>
      </c>
      <c r="C31" s="21">
        <v>50</v>
      </c>
      <c r="D31" s="19" t="s">
        <v>39</v>
      </c>
      <c r="E31" s="21"/>
      <c r="F31" s="30"/>
      <c r="G31" s="29" t="s">
        <v>50</v>
      </c>
      <c r="H31" s="21">
        <v>50</v>
      </c>
      <c r="I31" s="19" t="s">
        <v>39</v>
      </c>
      <c r="J31" s="21"/>
      <c r="K31" s="30"/>
    </row>
    <row r="32" spans="2:15" x14ac:dyDescent="0.35">
      <c r="B32" s="29" t="s">
        <v>19</v>
      </c>
      <c r="C32" s="25">
        <f>12/1000/1000</f>
        <v>1.2E-5</v>
      </c>
      <c r="D32" s="19" t="s">
        <v>6</v>
      </c>
      <c r="E32" s="25"/>
      <c r="F32" s="30"/>
      <c r="G32" s="29" t="s">
        <v>19</v>
      </c>
      <c r="H32" s="25">
        <f>12/1000/1000</f>
        <v>1.2E-5</v>
      </c>
      <c r="I32" s="19" t="s">
        <v>6</v>
      </c>
      <c r="J32" s="25"/>
      <c r="K32" s="30"/>
    </row>
    <row r="33" spans="2:11" x14ac:dyDescent="0.35">
      <c r="B33" s="29" t="s">
        <v>20</v>
      </c>
      <c r="C33" s="26">
        <f>C21+C16+3</f>
        <v>38.042553191489368</v>
      </c>
      <c r="D33" s="19"/>
      <c r="E33" s="26"/>
      <c r="F33" s="30"/>
      <c r="G33" s="29" t="s">
        <v>20</v>
      </c>
      <c r="H33" s="26">
        <f>H21+H16+3</f>
        <v>157.19148936170211</v>
      </c>
      <c r="I33" s="19"/>
      <c r="J33" s="26"/>
      <c r="K33" s="30"/>
    </row>
    <row r="34" spans="2:11" x14ac:dyDescent="0.35">
      <c r="B34" s="29" t="s">
        <v>21</v>
      </c>
      <c r="C34" s="20">
        <f>C22+C39</f>
        <v>0.307</v>
      </c>
      <c r="D34" s="19" t="s">
        <v>6</v>
      </c>
      <c r="E34" s="20"/>
      <c r="F34" s="30"/>
      <c r="G34" s="29" t="s">
        <v>21</v>
      </c>
      <c r="H34" s="20">
        <f>H22+H39</f>
        <v>0.157</v>
      </c>
      <c r="I34" s="19" t="s">
        <v>6</v>
      </c>
      <c r="J34" s="20"/>
      <c r="K34" s="30"/>
    </row>
    <row r="35" spans="2:11" ht="15" thickBot="1" x14ac:dyDescent="0.4">
      <c r="B35" s="48" t="s">
        <v>51</v>
      </c>
      <c r="C35" s="53">
        <f>C33*C32*C34*C36*Stoffeigenschaften!D15*100*100*100</f>
        <v>17.204662508936178</v>
      </c>
      <c r="D35" s="34" t="s">
        <v>45</v>
      </c>
      <c r="E35" s="53"/>
      <c r="F35" s="35">
        <f>C35/$C$49</f>
        <v>1.9634513397335789E-2</v>
      </c>
      <c r="G35" s="48" t="s">
        <v>51</v>
      </c>
      <c r="H35" s="53">
        <f>H33*H32*H34*H36*Stoffeigenschaften!D15*100*100*100</f>
        <v>29.469763700425531</v>
      </c>
      <c r="I35" s="34" t="s">
        <v>45</v>
      </c>
      <c r="J35" s="50">
        <f>(H35/$H$33)/$M$20</f>
        <v>1.8808031682905488E-2</v>
      </c>
      <c r="K35" s="35">
        <f>H35/$H$49</f>
        <v>1.7793476389743809E-2</v>
      </c>
    </row>
    <row r="36" spans="2:11" x14ac:dyDescent="0.35">
      <c r="B36" s="43" t="s">
        <v>22</v>
      </c>
      <c r="C36" s="44">
        <f>C23+C39</f>
        <v>0.13200000000000001</v>
      </c>
      <c r="D36" s="45" t="s">
        <v>6</v>
      </c>
      <c r="E36" s="44"/>
      <c r="F36" s="46"/>
      <c r="G36" s="43" t="s">
        <v>22</v>
      </c>
      <c r="H36" s="44">
        <f>H23+H39</f>
        <v>0.107</v>
      </c>
      <c r="I36" s="45" t="s">
        <v>6</v>
      </c>
      <c r="J36" s="44"/>
      <c r="K36" s="46"/>
    </row>
    <row r="37" spans="2:11" x14ac:dyDescent="0.35">
      <c r="B37" s="29" t="s">
        <v>23</v>
      </c>
      <c r="C37" s="20">
        <f>C33*C32+C21*C27+C21*C9*C24+C16*C19+C9*C16*C14</f>
        <v>5.6738297872340436E-3</v>
      </c>
      <c r="D37" s="19" t="s">
        <v>6</v>
      </c>
      <c r="E37" s="20"/>
      <c r="F37" s="30"/>
      <c r="G37" s="29" t="s">
        <v>23</v>
      </c>
      <c r="H37" s="20">
        <f>H33*H32+H21*H27+H21*H9*H24+H16*H19+H9*H16*H14</f>
        <v>2.4797234042553191E-2</v>
      </c>
      <c r="I37" s="19" t="s">
        <v>6</v>
      </c>
      <c r="J37" s="20"/>
      <c r="K37" s="30"/>
    </row>
    <row r="38" spans="2:11" x14ac:dyDescent="0.35">
      <c r="B38" s="29" t="s">
        <v>24</v>
      </c>
      <c r="C38" s="20">
        <f>C34*C36*C37</f>
        <v>2.2992627829787241E-4</v>
      </c>
      <c r="D38" s="19" t="s">
        <v>25</v>
      </c>
      <c r="E38" s="20"/>
      <c r="F38" s="30"/>
      <c r="G38" s="29" t="s">
        <v>24</v>
      </c>
      <c r="H38" s="20">
        <f>H34*H36*H37</f>
        <v>4.1656873468085112E-4</v>
      </c>
      <c r="I38" s="19" t="s">
        <v>25</v>
      </c>
      <c r="J38" s="20"/>
      <c r="K38" s="30"/>
    </row>
    <row r="39" spans="2:11" x14ac:dyDescent="0.35">
      <c r="B39" s="29" t="s">
        <v>26</v>
      </c>
      <c r="C39" s="25">
        <v>2E-3</v>
      </c>
      <c r="D39" s="19" t="s">
        <v>6</v>
      </c>
      <c r="E39" s="25"/>
      <c r="F39" s="30"/>
      <c r="G39" s="29" t="s">
        <v>26</v>
      </c>
      <c r="H39" s="25">
        <v>2E-3</v>
      </c>
      <c r="I39" s="19" t="s">
        <v>6</v>
      </c>
      <c r="J39" s="25"/>
      <c r="K39" s="30"/>
    </row>
    <row r="40" spans="2:11" x14ac:dyDescent="0.35">
      <c r="B40" s="29" t="s">
        <v>27</v>
      </c>
      <c r="C40" s="25">
        <v>1.4999999999999999E-4</v>
      </c>
      <c r="D40" s="19" t="s">
        <v>6</v>
      </c>
      <c r="E40" s="25"/>
      <c r="F40" s="30"/>
      <c r="G40" s="29" t="s">
        <v>34</v>
      </c>
      <c r="H40" s="25">
        <f>0.8/1000</f>
        <v>8.0000000000000004E-4</v>
      </c>
      <c r="I40" s="19" t="s">
        <v>6</v>
      </c>
      <c r="J40" s="25"/>
      <c r="K40" s="30"/>
    </row>
    <row r="41" spans="2:11" x14ac:dyDescent="0.35">
      <c r="B41" s="29" t="s">
        <v>28</v>
      </c>
      <c r="C41" s="20">
        <f>C34+C40*2</f>
        <v>0.30730000000000002</v>
      </c>
      <c r="D41" s="19" t="s">
        <v>6</v>
      </c>
      <c r="E41" s="20"/>
      <c r="F41" s="30"/>
      <c r="G41" s="29" t="s">
        <v>28</v>
      </c>
      <c r="H41" s="20">
        <f>H34+H40*2</f>
        <v>0.15859999999999999</v>
      </c>
      <c r="I41" s="19" t="s">
        <v>6</v>
      </c>
      <c r="J41" s="20"/>
      <c r="K41" s="30"/>
    </row>
    <row r="42" spans="2:11" x14ac:dyDescent="0.35">
      <c r="B42" s="29" t="s">
        <v>29</v>
      </c>
      <c r="C42" s="20">
        <f>C36+C40*2</f>
        <v>0.1323</v>
      </c>
      <c r="D42" s="19" t="s">
        <v>6</v>
      </c>
      <c r="E42" s="20"/>
      <c r="F42" s="30"/>
      <c r="G42" s="29" t="s">
        <v>29</v>
      </c>
      <c r="H42" s="20">
        <f>H36+H40*2</f>
        <v>0.1086</v>
      </c>
      <c r="I42" s="19" t="s">
        <v>6</v>
      </c>
      <c r="J42" s="20"/>
      <c r="K42" s="30"/>
    </row>
    <row r="43" spans="2:11" x14ac:dyDescent="0.35">
      <c r="B43" s="29" t="s">
        <v>30</v>
      </c>
      <c r="C43" s="20">
        <f>C37+C40*2</f>
        <v>5.9738297872340435E-3</v>
      </c>
      <c r="D43" s="19" t="s">
        <v>6</v>
      </c>
      <c r="E43" s="20"/>
      <c r="F43" s="30"/>
      <c r="G43" s="29" t="s">
        <v>30</v>
      </c>
      <c r="H43" s="20">
        <f>H37+H40*2</f>
        <v>2.6397234042553192E-2</v>
      </c>
      <c r="I43" s="19" t="s">
        <v>6</v>
      </c>
      <c r="J43" s="20"/>
      <c r="K43" s="30"/>
    </row>
    <row r="44" spans="2:11" x14ac:dyDescent="0.35">
      <c r="B44" s="29" t="s">
        <v>31</v>
      </c>
      <c r="C44" s="20">
        <f>C41*C42*C43</f>
        <v>2.4287076932553197E-4</v>
      </c>
      <c r="D44" s="19" t="s">
        <v>25</v>
      </c>
      <c r="E44" s="20"/>
      <c r="F44" s="30"/>
      <c r="G44" s="29" t="s">
        <v>31</v>
      </c>
      <c r="H44" s="20">
        <f>H41*H42*H43*1000</f>
        <v>0.45466490325957448</v>
      </c>
      <c r="I44" s="19" t="s">
        <v>25</v>
      </c>
      <c r="J44" s="20"/>
      <c r="K44" s="30"/>
    </row>
    <row r="45" spans="2:11" x14ac:dyDescent="0.35">
      <c r="B45" s="29" t="s">
        <v>32</v>
      </c>
      <c r="C45" s="27">
        <v>0.01</v>
      </c>
      <c r="D45" s="19" t="s">
        <v>6</v>
      </c>
      <c r="E45" s="27"/>
      <c r="F45" s="30"/>
      <c r="G45" s="29"/>
      <c r="H45" s="19"/>
      <c r="I45" s="19"/>
      <c r="J45" s="19"/>
      <c r="K45" s="30"/>
    </row>
    <row r="46" spans="2:11" ht="15" thickBot="1" x14ac:dyDescent="0.4">
      <c r="B46" s="36" t="s">
        <v>33</v>
      </c>
      <c r="C46" s="55">
        <v>2E-3</v>
      </c>
      <c r="D46" s="37" t="s">
        <v>6</v>
      </c>
      <c r="E46" s="55"/>
      <c r="F46" s="38"/>
      <c r="G46" s="36"/>
      <c r="H46" s="37"/>
      <c r="I46" s="37"/>
      <c r="J46" s="37"/>
      <c r="K46" s="38"/>
    </row>
    <row r="47" spans="2:11" x14ac:dyDescent="0.35">
      <c r="B47" s="39" t="s">
        <v>52</v>
      </c>
      <c r="C47" s="40">
        <f>(C41+C45*2)*(C42+C45*2)*2*Stoffeigenschaften!D13*1000*C40*1000</f>
        <v>22.4315055</v>
      </c>
      <c r="D47" s="41" t="s">
        <v>45</v>
      </c>
      <c r="E47" s="40"/>
      <c r="F47" s="42">
        <f>C47/$C$49</f>
        <v>2.5599554483175666E-2</v>
      </c>
      <c r="G47" s="39" t="s">
        <v>56</v>
      </c>
      <c r="H47" s="40">
        <f>Stoffeigenschaften!D6*(2*H43*100*H42*100+2*H42*H41*100*100+2*H41*H43*100*100)*H40*100</f>
        <v>89.340467445106384</v>
      </c>
      <c r="I47" s="41" t="s">
        <v>45</v>
      </c>
      <c r="J47" s="40"/>
      <c r="K47" s="42">
        <f>H47/$H$49</f>
        <v>5.394266185141558E-2</v>
      </c>
    </row>
    <row r="48" spans="2:11" x14ac:dyDescent="0.35">
      <c r="B48" s="29" t="s">
        <v>53</v>
      </c>
      <c r="C48" s="28">
        <f>5*C7</f>
        <v>300</v>
      </c>
      <c r="D48" s="19" t="s">
        <v>45</v>
      </c>
      <c r="E48" s="28"/>
      <c r="F48" s="30">
        <f>C48/$C$49</f>
        <v>0.3423696347511182</v>
      </c>
      <c r="G48" s="29" t="s">
        <v>53</v>
      </c>
      <c r="H48" s="28">
        <f>5*H7</f>
        <v>540</v>
      </c>
      <c r="I48" s="19" t="s">
        <v>45</v>
      </c>
      <c r="J48" s="22">
        <f>(H48/$H$33)/$M$20</f>
        <v>0.34463585158038818</v>
      </c>
      <c r="K48" s="30">
        <f>H48/$H$49</f>
        <v>0.32604527637671266</v>
      </c>
    </row>
    <row r="49" spans="2:11" ht="15" thickBot="1" x14ac:dyDescent="0.4">
      <c r="B49" s="32" t="s">
        <v>54</v>
      </c>
      <c r="C49" s="33">
        <f>C47+C48+C35+C29+C28+C15</f>
        <v>876.24593290255325</v>
      </c>
      <c r="D49" s="34" t="s">
        <v>45</v>
      </c>
      <c r="E49" s="33"/>
      <c r="F49" s="35"/>
      <c r="G49" s="32" t="s">
        <v>54</v>
      </c>
      <c r="H49" s="33">
        <f>H47+H48+H35+H29+H28+H15+H20</f>
        <v>1656.211695507234</v>
      </c>
      <c r="I49" s="34" t="s">
        <v>45</v>
      </c>
      <c r="J49" s="33"/>
      <c r="K49" s="3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5"/>
  <sheetViews>
    <sheetView showGridLines="0" zoomScaleNormal="100" workbookViewId="0">
      <selection activeCell="C5" sqref="C5"/>
    </sheetView>
  </sheetViews>
  <sheetFormatPr baseColWidth="10" defaultRowHeight="14" x14ac:dyDescent="0.3"/>
  <cols>
    <col min="1" max="1" width="10.90625" style="8"/>
    <col min="2" max="2" width="21.54296875" style="8" customWidth="1"/>
    <col min="3" max="3" width="27.1796875" style="8" bestFit="1" customWidth="1"/>
    <col min="4" max="4" width="15.1796875" style="8" bestFit="1" customWidth="1"/>
    <col min="5" max="5" width="19.1796875" style="8" customWidth="1"/>
    <col min="6" max="6" width="57.6328125" style="8" customWidth="1"/>
    <col min="7" max="16384" width="10.90625" style="8"/>
  </cols>
  <sheetData>
    <row r="1" spans="2:6" ht="14.5" thickBot="1" x14ac:dyDescent="0.35"/>
    <row r="2" spans="2:6" ht="15.5" x14ac:dyDescent="0.35">
      <c r="B2" s="65" t="s">
        <v>102</v>
      </c>
      <c r="C2" s="71"/>
      <c r="D2" s="71"/>
      <c r="E2" s="72"/>
      <c r="F2" s="73"/>
    </row>
    <row r="3" spans="2:6" x14ac:dyDescent="0.3">
      <c r="B3" s="67" t="s">
        <v>101</v>
      </c>
      <c r="C3" s="68"/>
      <c r="D3" s="68"/>
      <c r="E3" s="10"/>
      <c r="F3" s="9"/>
    </row>
    <row r="4" spans="2:6" ht="14.5" thickBot="1" x14ac:dyDescent="0.35">
      <c r="B4" s="69" t="s">
        <v>99</v>
      </c>
      <c r="C4" s="70"/>
      <c r="D4" s="70"/>
      <c r="E4" s="74"/>
      <c r="F4" s="75"/>
    </row>
    <row r="5" spans="2:6" ht="14.5" thickBot="1" x14ac:dyDescent="0.35">
      <c r="B5" s="83" t="s">
        <v>70</v>
      </c>
      <c r="C5" s="84" t="s">
        <v>103</v>
      </c>
      <c r="D5" s="84" t="s">
        <v>104</v>
      </c>
      <c r="E5" s="84" t="s">
        <v>105</v>
      </c>
      <c r="F5" s="84" t="s">
        <v>69</v>
      </c>
    </row>
    <row r="6" spans="2:6" x14ac:dyDescent="0.3">
      <c r="B6" s="80" t="s">
        <v>59</v>
      </c>
      <c r="C6" s="81">
        <v>0.88800000000000001</v>
      </c>
      <c r="D6" s="81">
        <v>2.2999999999999998</v>
      </c>
      <c r="E6" s="81">
        <v>238</v>
      </c>
      <c r="F6" s="82" t="s">
        <v>71</v>
      </c>
    </row>
    <row r="7" spans="2:6" ht="21" x14ac:dyDescent="0.3">
      <c r="B7" s="79" t="s">
        <v>2</v>
      </c>
      <c r="C7" s="76">
        <v>2.0550000000000002</v>
      </c>
      <c r="D7" s="76">
        <v>1.1200000000000001</v>
      </c>
      <c r="E7" s="76">
        <v>0.6</v>
      </c>
      <c r="F7" s="78" t="s">
        <v>72</v>
      </c>
    </row>
    <row r="8" spans="2:6" x14ac:dyDescent="0.3">
      <c r="B8" s="79" t="s">
        <v>1</v>
      </c>
      <c r="C8" s="76">
        <v>1.4370000000000001</v>
      </c>
      <c r="D8" s="76">
        <v>1.085</v>
      </c>
      <c r="E8" s="76">
        <v>1.04</v>
      </c>
      <c r="F8" s="77" t="s">
        <v>73</v>
      </c>
    </row>
    <row r="9" spans="2:6" x14ac:dyDescent="0.3">
      <c r="B9" s="79" t="s">
        <v>57</v>
      </c>
      <c r="C9" s="76">
        <v>0.38500000000000001</v>
      </c>
      <c r="D9" s="76">
        <v>8.9</v>
      </c>
      <c r="E9" s="76">
        <v>398</v>
      </c>
      <c r="F9" s="77" t="s">
        <v>71</v>
      </c>
    </row>
    <row r="10" spans="2:6" x14ac:dyDescent="0.3">
      <c r="B10" s="79" t="s">
        <v>74</v>
      </c>
      <c r="C10" s="76">
        <v>1.27</v>
      </c>
      <c r="D10" s="76">
        <v>3</v>
      </c>
      <c r="E10" s="76">
        <v>1.58</v>
      </c>
      <c r="F10" s="77" t="s">
        <v>75</v>
      </c>
    </row>
    <row r="11" spans="2:6" x14ac:dyDescent="0.3">
      <c r="B11" s="79" t="s">
        <v>76</v>
      </c>
      <c r="C11" s="76"/>
      <c r="D11" s="76">
        <v>4.7</v>
      </c>
      <c r="E11" s="76"/>
      <c r="F11" s="77" t="s">
        <v>73</v>
      </c>
    </row>
    <row r="12" spans="2:6" ht="21" x14ac:dyDescent="0.3">
      <c r="B12" s="79" t="s">
        <v>77</v>
      </c>
      <c r="C12" s="76">
        <v>2.1</v>
      </c>
      <c r="D12" s="76">
        <v>0.93</v>
      </c>
      <c r="E12" s="76">
        <v>0.35</v>
      </c>
      <c r="F12" s="78" t="s">
        <v>78</v>
      </c>
    </row>
    <row r="13" spans="2:6" x14ac:dyDescent="0.3">
      <c r="B13" s="79" t="s">
        <v>79</v>
      </c>
      <c r="C13" s="76"/>
      <c r="D13" s="76">
        <v>1.5</v>
      </c>
      <c r="E13" s="76"/>
      <c r="F13" s="77" t="s">
        <v>80</v>
      </c>
    </row>
    <row r="14" spans="2:6" ht="61" customHeight="1" x14ac:dyDescent="0.3">
      <c r="B14" s="79" t="s">
        <v>81</v>
      </c>
      <c r="C14" s="76">
        <v>1.9</v>
      </c>
      <c r="D14" s="76">
        <v>1.1499999999999999</v>
      </c>
      <c r="E14" s="76">
        <v>0.251</v>
      </c>
      <c r="F14" s="78" t="s">
        <v>82</v>
      </c>
    </row>
    <row r="15" spans="2:6" x14ac:dyDescent="0.3">
      <c r="B15" s="79" t="s">
        <v>83</v>
      </c>
      <c r="C15" s="76">
        <v>1.978</v>
      </c>
      <c r="D15" s="76">
        <v>0.93</v>
      </c>
      <c r="E15" s="76">
        <v>0.34</v>
      </c>
      <c r="F15" s="77" t="s">
        <v>73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Zellspezifikationen</vt:lpstr>
      <vt:lpstr>Stoffeigenschaften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Löbberding</dc:creator>
  <cp:lastModifiedBy>jgorsch</cp:lastModifiedBy>
  <dcterms:created xsi:type="dcterms:W3CDTF">2020-10-20T11:15:50Z</dcterms:created>
  <dcterms:modified xsi:type="dcterms:W3CDTF">2021-06-09T14:25:59Z</dcterms:modified>
</cp:coreProperties>
</file>