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pivotTables/pivotTable1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7160" windowHeight="4950" tabRatio="908" firstSheet="1" activeTab="2"/>
  </bookViews>
  <sheets>
    <sheet name="uWave Reg Cal" sheetId="10" r:id="rId1"/>
    <sheet name="Narrowband Reg Cal" sheetId="6" r:id="rId2"/>
    <sheet name="Wideband Reg Cal" sheetId="1" r:id="rId3"/>
    <sheet name="Design Checklist" sheetId="2" r:id="rId4"/>
    <sheet name="Ref_DB" sheetId="4" r:id="rId5"/>
    <sheet name="NB REG DB" sheetId="7" r:id="rId6"/>
    <sheet name="Reg07" sheetId="11" r:id="rId7"/>
    <sheet name="Ref_Summary" sheetId="5" r:id="rId8"/>
    <sheet name="Spur Cal" sheetId="3" r:id="rId9"/>
    <sheet name="PN_Jitter" sheetId="13" r:id="rId10"/>
    <sheet name="ModeAnalysis" sheetId="14" r:id="rId11"/>
    <sheet name="Reg_Value Analyzer" sheetId="15" r:id="rId12"/>
    <sheet name="Sheet1" sheetId="16" r:id="rId13"/>
  </sheets>
  <definedNames>
    <definedName name="_xlnm._FilterDatabase" localSheetId="3" hidden="1">'Design Checklist'!$A$2:$D$2</definedName>
    <definedName name="_xlnm._FilterDatabase" localSheetId="1" hidden="1">'Narrowband Reg Cal'!$A$6:$AM$14</definedName>
    <definedName name="_xlnm._FilterDatabase" localSheetId="11" hidden="1">'Reg_Value Analyzer'!$A$1:$E$3</definedName>
    <definedName name="_xlnm._FilterDatabase" localSheetId="6" hidden="1">'Reg07'!$B$12:$D$44</definedName>
    <definedName name="_xlnm._FilterDatabase" localSheetId="8" hidden="1">'Spur Cal'!$A$1:$D$25</definedName>
    <definedName name="_xlnm._FilterDatabase" localSheetId="0" hidden="1">'uWave Reg Cal'!$A$5:$M$7</definedName>
    <definedName name="_xlnm._FilterDatabase" localSheetId="2" hidden="1">'Wideband Reg Cal'!$A$6:$AY$14</definedName>
    <definedName name="Auto_Cal">'NB REG DB'!$A$2:$G$24</definedName>
    <definedName name="LD_Timer_Speed_Reg07">'Reg07'!$B$2:$J$8</definedName>
    <definedName name="Mode">'NB REG DB'!$A$2:$D$2</definedName>
    <definedName name="Reg06H">'NB REG DB'!$A$151:$D$164</definedName>
    <definedName name="Reg07_dB">'Reg07'!$B$12:$D$44</definedName>
    <definedName name="VReg01">'NB REG DB'!$A$25:$D$46</definedName>
    <definedName name="VReg02">'NB REG DB'!$A$47:$D$68</definedName>
    <definedName name="VReg03">'NB REG DB'!$A$69:$D$152</definedName>
    <definedName name="Vreg04">'NB REG DB'!$A$91:$D$114</definedName>
    <definedName name="Vreg05">'NB REG DB'!$A$115:$D$138</definedName>
    <definedName name="Vreg06">'NB REG DB'!$A$139:$D$150</definedName>
  </definedNames>
  <calcPr calcId="114210"/>
  <pivotCaches>
    <pivotCache cacheId="0" r:id="rId14"/>
  </pivotCaches>
</workbook>
</file>

<file path=xl/calcChain.xml><?xml version="1.0" encoding="utf-8"?>
<calcChain xmlns="http://schemas.openxmlformats.org/spreadsheetml/2006/main">
  <c r="E8" i="16"/>
  <c r="E7"/>
  <c r="E6"/>
  <c r="E5"/>
  <c r="B7"/>
  <c r="AM14" i="1"/>
  <c r="AM13"/>
  <c r="AM12"/>
  <c r="AM11"/>
  <c r="AM10"/>
  <c r="AM9"/>
  <c r="AM8"/>
  <c r="AM7"/>
  <c r="AB7"/>
  <c r="AB14"/>
  <c r="AB13"/>
  <c r="AB12"/>
  <c r="AB10"/>
  <c r="AB9"/>
  <c r="AB8"/>
  <c r="AB11"/>
  <c r="R14"/>
  <c r="R13"/>
  <c r="R12"/>
  <c r="R11"/>
  <c r="R10"/>
  <c r="R9"/>
  <c r="R8"/>
  <c r="R7"/>
  <c r="D4" i="15"/>
  <c r="E4"/>
  <c r="B4"/>
  <c r="C4"/>
  <c r="D3"/>
  <c r="E3"/>
  <c r="B3"/>
  <c r="C3"/>
  <c r="C2"/>
  <c r="D2"/>
  <c r="E2"/>
  <c r="B2"/>
  <c r="AJ14" i="6"/>
  <c r="AJ13"/>
  <c r="AJ12"/>
  <c r="AJ11"/>
  <c r="AJ10"/>
  <c r="AJ9"/>
  <c r="AJ8"/>
  <c r="AJ7"/>
  <c r="AV14" i="1"/>
  <c r="AV13"/>
  <c r="AV12"/>
  <c r="AV11"/>
  <c r="AV10"/>
  <c r="AV9"/>
  <c r="AV8"/>
  <c r="AV7"/>
  <c r="B10" i="13"/>
  <c r="B9"/>
  <c r="B7"/>
  <c r="B6"/>
  <c r="B5"/>
  <c r="C130" i="11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1"/>
  <c r="C57"/>
  <c r="C56"/>
  <c r="C55"/>
  <c r="C54"/>
  <c r="C53"/>
  <c r="C52"/>
  <c r="J8"/>
  <c r="I8"/>
  <c r="H8"/>
  <c r="G8"/>
  <c r="F8"/>
  <c r="E8"/>
  <c r="D8"/>
  <c r="C8"/>
  <c r="T14" i="6"/>
  <c r="T13"/>
  <c r="T12"/>
  <c r="T11"/>
  <c r="T10"/>
  <c r="T9"/>
  <c r="T8"/>
  <c r="T7"/>
  <c r="H8" i="10"/>
  <c r="F8"/>
  <c r="E8"/>
  <c r="G18" i="7"/>
  <c r="G17"/>
  <c r="G8" i="10"/>
  <c r="H7"/>
  <c r="G7"/>
  <c r="F7"/>
  <c r="I7"/>
  <c r="J7"/>
  <c r="E7"/>
  <c r="I8"/>
  <c r="J8"/>
  <c r="K7"/>
  <c r="K8"/>
  <c r="L8"/>
  <c r="J14" i="6"/>
  <c r="H14"/>
  <c r="J13"/>
  <c r="H13"/>
  <c r="J12"/>
  <c r="H12"/>
  <c r="K12"/>
  <c r="AD12"/>
  <c r="P12"/>
  <c r="J11"/>
  <c r="H11"/>
  <c r="J10"/>
  <c r="H10"/>
  <c r="J9"/>
  <c r="H9"/>
  <c r="J8"/>
  <c r="H8"/>
  <c r="J7"/>
  <c r="H7"/>
  <c r="K7"/>
  <c r="G16" i="7"/>
  <c r="G15"/>
  <c r="G14"/>
  <c r="I14" i="6"/>
  <c r="G13" i="7"/>
  <c r="G12"/>
  <c r="I7" i="6"/>
  <c r="G11" i="7"/>
  <c r="G10"/>
  <c r="G9"/>
  <c r="G8"/>
  <c r="G7"/>
  <c r="G6"/>
  <c r="G5"/>
  <c r="I9" i="6"/>
  <c r="G4" i="7"/>
  <c r="I8" i="6"/>
  <c r="G3" i="7"/>
  <c r="AA14" i="6"/>
  <c r="AA13"/>
  <c r="AA12"/>
  <c r="AA11"/>
  <c r="AA10"/>
  <c r="AA9"/>
  <c r="AA8"/>
  <c r="AA7"/>
  <c r="X14"/>
  <c r="X13"/>
  <c r="X12"/>
  <c r="K13"/>
  <c r="AD13"/>
  <c r="P13"/>
  <c r="K14"/>
  <c r="AD14"/>
  <c r="P14"/>
  <c r="I13"/>
  <c r="I11"/>
  <c r="I12"/>
  <c r="L7"/>
  <c r="K8"/>
  <c r="AD8"/>
  <c r="P8"/>
  <c r="K10"/>
  <c r="AD10"/>
  <c r="P10"/>
  <c r="M8" i="10"/>
  <c r="O8"/>
  <c r="M7"/>
  <c r="L7"/>
  <c r="K11" i="6"/>
  <c r="AD11"/>
  <c r="P11"/>
  <c r="I10"/>
  <c r="K9"/>
  <c r="AD9"/>
  <c r="P9"/>
  <c r="L14"/>
  <c r="L12"/>
  <c r="Z14"/>
  <c r="Z13"/>
  <c r="Z12"/>
  <c r="Z11"/>
  <c r="Z10"/>
  <c r="Z9"/>
  <c r="Z8"/>
  <c r="Z7"/>
  <c r="Y14"/>
  <c r="Y13"/>
  <c r="Y12"/>
  <c r="Y11"/>
  <c r="Y10"/>
  <c r="Y9"/>
  <c r="Y8"/>
  <c r="Y7"/>
  <c r="G14"/>
  <c r="G13"/>
  <c r="O13"/>
  <c r="U13"/>
  <c r="G12"/>
  <c r="G11"/>
  <c r="O11"/>
  <c r="G10"/>
  <c r="G9"/>
  <c r="O9"/>
  <c r="G8"/>
  <c r="O8"/>
  <c r="G7"/>
  <c r="O7"/>
  <c r="J10" i="4"/>
  <c r="I10"/>
  <c r="J9"/>
  <c r="I9"/>
  <c r="J8"/>
  <c r="I8"/>
  <c r="J7"/>
  <c r="I7"/>
  <c r="J6"/>
  <c r="I6"/>
  <c r="I14" i="1"/>
  <c r="D3" i="3"/>
  <c r="D4"/>
  <c r="C4"/>
  <c r="C3"/>
  <c r="C2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D2"/>
  <c r="J24" i="4"/>
  <c r="I24"/>
  <c r="J23"/>
  <c r="I23"/>
  <c r="J22"/>
  <c r="I22"/>
  <c r="J21"/>
  <c r="I21"/>
  <c r="J20"/>
  <c r="I20"/>
  <c r="D25" i="3"/>
  <c r="K7" i="1"/>
  <c r="AI7"/>
  <c r="I7"/>
  <c r="J8"/>
  <c r="K8"/>
  <c r="AI8"/>
  <c r="I8"/>
  <c r="J14"/>
  <c r="K14"/>
  <c r="AI14"/>
  <c r="J13"/>
  <c r="K13"/>
  <c r="AI13"/>
  <c r="I13"/>
  <c r="J12"/>
  <c r="K12"/>
  <c r="AI12"/>
  <c r="I12"/>
  <c r="J11"/>
  <c r="K11"/>
  <c r="AI11"/>
  <c r="I11"/>
  <c r="J10"/>
  <c r="K10"/>
  <c r="AI10"/>
  <c r="I10"/>
  <c r="J9"/>
  <c r="K9"/>
  <c r="AI9"/>
  <c r="I9"/>
  <c r="L13" i="6"/>
  <c r="AL13"/>
  <c r="N12"/>
  <c r="V12"/>
  <c r="O12"/>
  <c r="U12"/>
  <c r="AM12"/>
  <c r="N14"/>
  <c r="Q14"/>
  <c r="S14"/>
  <c r="W14"/>
  <c r="AM14"/>
  <c r="O14"/>
  <c r="U14"/>
  <c r="U8"/>
  <c r="AM10"/>
  <c r="O10"/>
  <c r="U9"/>
  <c r="U11"/>
  <c r="U10"/>
  <c r="N11"/>
  <c r="V11"/>
  <c r="AM11"/>
  <c r="AI11"/>
  <c r="AG11"/>
  <c r="N9"/>
  <c r="V9"/>
  <c r="AM9"/>
  <c r="AI9"/>
  <c r="AG9"/>
  <c r="N13"/>
  <c r="V13"/>
  <c r="AL12"/>
  <c r="AK12"/>
  <c r="AE12"/>
  <c r="AL14"/>
  <c r="AK14"/>
  <c r="AE14"/>
  <c r="AM13"/>
  <c r="N8"/>
  <c r="V8"/>
  <c r="AM8"/>
  <c r="AI8"/>
  <c r="AG8"/>
  <c r="AI10"/>
  <c r="AG10"/>
  <c r="AL7"/>
  <c r="N7"/>
  <c r="V7"/>
  <c r="AM7"/>
  <c r="N8" i="1"/>
  <c r="AY8"/>
  <c r="N14"/>
  <c r="AY14"/>
  <c r="N9"/>
  <c r="AY9"/>
  <c r="AU9"/>
  <c r="N10"/>
  <c r="AY10"/>
  <c r="N11"/>
  <c r="AY11"/>
  <c r="AU11"/>
  <c r="N12"/>
  <c r="AY12"/>
  <c r="N13"/>
  <c r="AY13"/>
  <c r="AU13"/>
  <c r="N7"/>
  <c r="AY7"/>
  <c r="L14"/>
  <c r="L8"/>
  <c r="L9"/>
  <c r="L10"/>
  <c r="M10"/>
  <c r="L11"/>
  <c r="L12"/>
  <c r="L13"/>
  <c r="L8" i="6"/>
  <c r="M8"/>
  <c r="X10"/>
  <c r="X9"/>
  <c r="X11"/>
  <c r="X8"/>
  <c r="L10"/>
  <c r="AL10"/>
  <c r="AK10"/>
  <c r="AE10"/>
  <c r="AD7"/>
  <c r="P7"/>
  <c r="U7"/>
  <c r="Q8" i="10"/>
  <c r="O7"/>
  <c r="Q7"/>
  <c r="L11" i="6"/>
  <c r="L9"/>
  <c r="N10"/>
  <c r="V10"/>
  <c r="Q12"/>
  <c r="S12"/>
  <c r="W12"/>
  <c r="M14"/>
  <c r="AH14"/>
  <c r="M12"/>
  <c r="AF12"/>
  <c r="L7" i="1"/>
  <c r="V13"/>
  <c r="O13"/>
  <c r="V12"/>
  <c r="O12"/>
  <c r="V11"/>
  <c r="O11"/>
  <c r="V14"/>
  <c r="O14"/>
  <c r="V10"/>
  <c r="O10"/>
  <c r="V9"/>
  <c r="O9"/>
  <c r="V7"/>
  <c r="O7"/>
  <c r="V8"/>
  <c r="O8"/>
  <c r="V14" i="6"/>
  <c r="M10"/>
  <c r="AC10"/>
  <c r="Q9"/>
  <c r="S9"/>
  <c r="W9"/>
  <c r="AL10" i="1"/>
  <c r="AK10"/>
  <c r="AI14" i="6"/>
  <c r="AG14"/>
  <c r="AG12"/>
  <c r="AI12"/>
  <c r="Q11"/>
  <c r="S11"/>
  <c r="W11"/>
  <c r="Q8"/>
  <c r="S8"/>
  <c r="W8"/>
  <c r="AL11"/>
  <c r="AK11"/>
  <c r="AE11"/>
  <c r="Q13"/>
  <c r="S13"/>
  <c r="W13"/>
  <c r="AC12"/>
  <c r="AB12"/>
  <c r="AC14"/>
  <c r="AB14"/>
  <c r="AC8"/>
  <c r="AB8"/>
  <c r="AB10"/>
  <c r="AL9"/>
  <c r="AK9"/>
  <c r="AE9"/>
  <c r="AF14"/>
  <c r="AH12"/>
  <c r="AI13"/>
  <c r="AG13"/>
  <c r="AK13"/>
  <c r="AE13"/>
  <c r="AL8"/>
  <c r="AK8"/>
  <c r="AE8"/>
  <c r="AH8"/>
  <c r="AF8"/>
  <c r="AF10"/>
  <c r="AI7"/>
  <c r="AG7"/>
  <c r="AK7"/>
  <c r="AE7"/>
  <c r="AS13" i="1"/>
  <c r="AS11"/>
  <c r="AS9"/>
  <c r="M13"/>
  <c r="AX13"/>
  <c r="AW13"/>
  <c r="AQ13"/>
  <c r="M11"/>
  <c r="AX11"/>
  <c r="AW11"/>
  <c r="AQ11"/>
  <c r="M9"/>
  <c r="AX9"/>
  <c r="AW9"/>
  <c r="AQ9"/>
  <c r="M14"/>
  <c r="AX14"/>
  <c r="AW14"/>
  <c r="AQ14"/>
  <c r="AT14"/>
  <c r="M12"/>
  <c r="AX12"/>
  <c r="AW12"/>
  <c r="AQ12"/>
  <c r="AT12"/>
  <c r="AX10"/>
  <c r="AW10"/>
  <c r="AQ10"/>
  <c r="AT10"/>
  <c r="AR10"/>
  <c r="M8"/>
  <c r="AR8"/>
  <c r="AX8"/>
  <c r="AW8"/>
  <c r="AQ8"/>
  <c r="AT8"/>
  <c r="AU12"/>
  <c r="AU10"/>
  <c r="AU14"/>
  <c r="AU8"/>
  <c r="AU7"/>
  <c r="AX7"/>
  <c r="Q10" i="6"/>
  <c r="S10"/>
  <c r="W10"/>
  <c r="Q7"/>
  <c r="S7"/>
  <c r="W7"/>
  <c r="X7"/>
  <c r="M13"/>
  <c r="M9"/>
  <c r="M11"/>
  <c r="AF11"/>
  <c r="M7"/>
  <c r="M7" i="1"/>
  <c r="AK7"/>
  <c r="Q7"/>
  <c r="T7"/>
  <c r="Q14"/>
  <c r="T14"/>
  <c r="Q13"/>
  <c r="T13"/>
  <c r="Q12"/>
  <c r="T12"/>
  <c r="Q11"/>
  <c r="T11"/>
  <c r="Q9"/>
  <c r="T9"/>
  <c r="Q10"/>
  <c r="T10"/>
  <c r="X10"/>
  <c r="S10"/>
  <c r="AS7"/>
  <c r="Q8"/>
  <c r="T8"/>
  <c r="AS12"/>
  <c r="AH10" i="6"/>
  <c r="AL14" i="1"/>
  <c r="AK14"/>
  <c r="AL9"/>
  <c r="AK9"/>
  <c r="AL11"/>
  <c r="AK11"/>
  <c r="AL13"/>
  <c r="AK13"/>
  <c r="AL8"/>
  <c r="AK8"/>
  <c r="AL12"/>
  <c r="AK12"/>
  <c r="AW7"/>
  <c r="AQ7"/>
  <c r="AC7" i="6"/>
  <c r="AB7"/>
  <c r="AC9"/>
  <c r="AB9"/>
  <c r="AH9"/>
  <c r="AC11"/>
  <c r="AB11"/>
  <c r="AC13"/>
  <c r="AB13"/>
  <c r="AF9"/>
  <c r="AH11"/>
  <c r="AH13"/>
  <c r="AF13"/>
  <c r="AF7"/>
  <c r="AH7"/>
  <c r="AS10" i="1"/>
  <c r="AS8"/>
  <c r="AS14"/>
  <c r="AR13"/>
  <c r="AT13"/>
  <c r="AR7"/>
  <c r="AL7"/>
  <c r="AT7"/>
  <c r="AR12"/>
  <c r="AR14"/>
  <c r="AR9"/>
  <c r="AT9"/>
  <c r="AR11"/>
  <c r="AT11"/>
  <c r="X7"/>
  <c r="S7"/>
  <c r="X12"/>
  <c r="S12"/>
  <c r="X8"/>
  <c r="S8"/>
  <c r="X13"/>
  <c r="S13"/>
  <c r="X11"/>
  <c r="S11"/>
  <c r="X9"/>
  <c r="S9"/>
  <c r="X14"/>
  <c r="S14"/>
  <c r="D23" i="3"/>
  <c r="D24"/>
  <c r="D22"/>
  <c r="D5"/>
  <c r="D6"/>
  <c r="D15"/>
  <c r="D11"/>
  <c r="D9"/>
  <c r="D18"/>
  <c r="D10"/>
  <c r="D19"/>
  <c r="D20"/>
  <c r="D7"/>
  <c r="D21"/>
  <c r="D8"/>
  <c r="D14"/>
  <c r="D12"/>
  <c r="D13"/>
  <c r="D16"/>
  <c r="D17"/>
</calcChain>
</file>

<file path=xl/comments1.xml><?xml version="1.0" encoding="utf-8"?>
<comments xmlns="http://schemas.openxmlformats.org/spreadsheetml/2006/main">
  <authors>
    <author>Jacky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Jacky:</t>
        </r>
        <r>
          <rPr>
            <sz val="9"/>
            <color indexed="81"/>
            <rFont val="Tahoma"/>
            <family val="2"/>
          </rPr>
          <t xml:space="preserve">
Divider = 0.5
Fundamental = 1
Doubler = 2
</t>
        </r>
      </text>
    </comment>
  </commentList>
</comments>
</file>

<file path=xl/comments2.xml><?xml version="1.0" encoding="utf-8"?>
<comments xmlns="http://schemas.openxmlformats.org/spreadsheetml/2006/main">
  <authors>
    <author>Jacky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Jacky:</t>
        </r>
        <r>
          <rPr>
            <sz val="9"/>
            <color indexed="81"/>
            <rFont val="Tahoma"/>
            <family val="2"/>
          </rPr>
          <t xml:space="preserve">
Divider = 0.5
Fundamental = 1
Doubler = 2
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Jacky:</t>
        </r>
        <r>
          <rPr>
            <sz val="9"/>
            <color indexed="81"/>
            <rFont val="Tahoma"/>
            <family val="2"/>
          </rPr>
          <t xml:space="preserve">
Tell System know the CP &amp; offset setting, </t>
        </r>
        <r>
          <rPr>
            <b/>
            <sz val="9"/>
            <color indexed="81"/>
            <rFont val="Tahoma"/>
            <family val="2"/>
          </rPr>
          <t>07H &amp; 09H just once is ok unless reference changed</t>
        </r>
      </text>
    </comment>
    <comment ref="W5" authorId="0">
      <text>
        <r>
          <rPr>
            <b/>
            <sz val="9"/>
            <color indexed="81"/>
            <rFont val="Tahoma"/>
            <family val="2"/>
          </rPr>
          <t>Jacky:</t>
        </r>
        <r>
          <rPr>
            <sz val="9"/>
            <color indexed="81"/>
            <rFont val="Tahoma"/>
            <family val="2"/>
          </rPr>
          <t xml:space="preserve">
Tell system know the lock detect window setting. </t>
        </r>
        <r>
          <rPr>
            <b/>
            <sz val="9"/>
            <color indexed="81"/>
            <rFont val="Tahoma"/>
            <family val="2"/>
          </rPr>
          <t>07H &amp; 09H just once is ok unless reference changed</t>
        </r>
      </text>
    </comment>
  </commentList>
</comments>
</file>

<file path=xl/comments3.xml><?xml version="1.0" encoding="utf-8"?>
<comments xmlns="http://schemas.openxmlformats.org/spreadsheetml/2006/main">
  <authors>
    <author>Jacky</author>
    <author>TCL</author>
    <author>a</author>
  </authors>
  <commentList>
    <comment ref="AI4" authorId="0">
      <text>
        <r>
          <rPr>
            <b/>
            <sz val="9"/>
            <color indexed="81"/>
            <rFont val="Tahoma"/>
            <family val="2"/>
          </rPr>
          <t>Jacky:</t>
        </r>
        <r>
          <rPr>
            <sz val="9"/>
            <color indexed="81"/>
            <rFont val="Tahoma"/>
            <family val="2"/>
          </rPr>
          <t xml:space="preserve">
6b means process number of HMC830 DFD, to change frequency to new!!</t>
        </r>
      </text>
    </comment>
    <comment ref="T5" authorId="1">
      <text>
        <r>
          <rPr>
            <b/>
            <sz val="9"/>
            <color indexed="81"/>
            <rFont val="Tahoma"/>
            <family val="2"/>
          </rPr>
          <t>Fvco center as the fixed value here!</t>
        </r>
      </text>
    </comment>
    <comment ref="H6" authorId="2">
      <text>
        <r>
          <rPr>
            <b/>
            <sz val="9"/>
            <color indexed="10"/>
            <rFont val="Tahoma"/>
            <family val="2"/>
          </rPr>
          <t>Jacky: if you selected read LD/SDO as LD output, SPI will lose read function!!!
If you want to change back SPI read, you should write 81h or 01h to Reg 0Fh.</t>
        </r>
      </text>
    </comment>
  </commentList>
</comments>
</file>

<file path=xl/sharedStrings.xml><?xml version="1.0" encoding="utf-8"?>
<sst xmlns="http://schemas.openxmlformats.org/spreadsheetml/2006/main" count="1056" uniqueCount="403">
  <si>
    <t>Ref (MHz)</t>
    <phoneticPr fontId="2" type="noConversion"/>
  </si>
  <si>
    <t>R</t>
    <phoneticPr fontId="2" type="noConversion"/>
  </si>
  <si>
    <t>PFD (MHz)</t>
    <phoneticPr fontId="2" type="noConversion"/>
  </si>
  <si>
    <t>Fo (MHz)</t>
    <phoneticPr fontId="2" type="noConversion"/>
  </si>
  <si>
    <t>*K</t>
    <phoneticPr fontId="2" type="noConversion"/>
  </si>
  <si>
    <t>K</t>
    <phoneticPr fontId="2" type="noConversion"/>
  </si>
  <si>
    <t>Fvco (MHz)</t>
    <phoneticPr fontId="2" type="noConversion"/>
  </si>
  <si>
    <t>N_dec</t>
    <phoneticPr fontId="2" type="noConversion"/>
  </si>
  <si>
    <t>N_int</t>
    <phoneticPr fontId="2" type="noConversion"/>
  </si>
  <si>
    <t>N_frac</t>
    <phoneticPr fontId="2" type="noConversion"/>
  </si>
  <si>
    <t>03H</t>
    <phoneticPr fontId="2" type="noConversion"/>
  </si>
  <si>
    <t>04H</t>
    <phoneticPr fontId="2" type="noConversion"/>
  </si>
  <si>
    <t>01H</t>
    <phoneticPr fontId="2" type="noConversion"/>
  </si>
  <si>
    <t>CP_leakage (uA)</t>
    <phoneticPr fontId="2" type="noConversion"/>
  </si>
  <si>
    <t>CP (mA)</t>
    <phoneticPr fontId="2" type="noConversion"/>
  </si>
  <si>
    <t>LD_Window (nS)</t>
    <phoneticPr fontId="2" type="noConversion"/>
  </si>
  <si>
    <t>09H_new
(0x403264)</t>
    <phoneticPr fontId="2" type="noConversion"/>
  </si>
  <si>
    <t>07H
(0x00014D)</t>
    <phoneticPr fontId="2" type="noConversion"/>
  </si>
  <si>
    <t>09H (CP)</t>
    <phoneticPr fontId="2" type="noConversion"/>
  </si>
  <si>
    <t>07H (LD)</t>
    <phoneticPr fontId="2" type="noConversion"/>
  </si>
  <si>
    <t>07H</t>
    <phoneticPr fontId="2" type="noConversion"/>
  </si>
  <si>
    <t>09H (0-635uA)
Step=5uA</t>
    <phoneticPr fontId="2" type="noConversion"/>
  </si>
  <si>
    <t>Categories</t>
    <phoneticPr fontId="2" type="noConversion"/>
  </si>
  <si>
    <t>Checklist</t>
    <phoneticPr fontId="2" type="noConversion"/>
  </si>
  <si>
    <t>Hardware</t>
    <phoneticPr fontId="2" type="noConversion"/>
  </si>
  <si>
    <t>CE connected to High for normal operation</t>
    <phoneticPr fontId="2" type="noConversion"/>
  </si>
  <si>
    <t>Software</t>
    <phoneticPr fontId="2" type="noConversion"/>
  </si>
  <si>
    <t>DFD#</t>
    <phoneticPr fontId="2" type="noConversion"/>
  </si>
  <si>
    <t>Step2 (6b-2)</t>
    <phoneticPr fontId="2" type="noConversion"/>
  </si>
  <si>
    <t>Step3 (6b-3)</t>
    <phoneticPr fontId="2" type="noConversion"/>
  </si>
  <si>
    <t>Step1 (6b-1)</t>
    <phoneticPr fontId="2" type="noConversion"/>
  </si>
  <si>
    <t>6b-1</t>
    <phoneticPr fontId="2" type="noConversion"/>
  </si>
  <si>
    <t>6b-2</t>
    <phoneticPr fontId="2" type="noConversion"/>
  </si>
  <si>
    <t>6b-3</t>
    <phoneticPr fontId="2" type="noConversion"/>
  </si>
  <si>
    <t>Update Frequency Change use below 3 steps</t>
    <phoneticPr fontId="2" type="noConversion"/>
  </si>
  <si>
    <t>RF_P &amp; RF_N H830 does not need bias, and narrow band pllvco needs bias</t>
    <phoneticPr fontId="2" type="noConversion"/>
  </si>
  <si>
    <t>Reference (MHz)</t>
    <phoneticPr fontId="2" type="noConversion"/>
  </si>
  <si>
    <t>Fo (MHz)</t>
    <phoneticPr fontId="2" type="noConversion"/>
  </si>
  <si>
    <t>Offset_spur (MHz)</t>
    <phoneticPr fontId="2" type="noConversion"/>
  </si>
  <si>
    <t>Ref Input Freq (MHz)</t>
    <phoneticPr fontId="2" type="noConversion"/>
  </si>
  <si>
    <t>Slew &gt;0.5V/nS</t>
    <phoneticPr fontId="2" type="noConversion"/>
  </si>
  <si>
    <t>Recommended</t>
    <phoneticPr fontId="2" type="noConversion"/>
  </si>
  <si>
    <t>YES</t>
    <phoneticPr fontId="2" type="noConversion"/>
  </si>
  <si>
    <t>ok</t>
    <phoneticPr fontId="2" type="noConversion"/>
  </si>
  <si>
    <t>Square</t>
  </si>
  <si>
    <t>Square</t>
    <phoneticPr fontId="2" type="noConversion"/>
  </si>
  <si>
    <t>Min</t>
    <phoneticPr fontId="2" type="noConversion"/>
  </si>
  <si>
    <t>Max</t>
    <phoneticPr fontId="2" type="noConversion"/>
  </si>
  <si>
    <t>Vpp (V)</t>
    <phoneticPr fontId="2" type="noConversion"/>
  </si>
  <si>
    <t>Sin Wave input</t>
    <phoneticPr fontId="2" type="noConversion"/>
  </si>
  <si>
    <t>Vpp at 50 R</t>
    <phoneticPr fontId="2" type="noConversion"/>
  </si>
  <si>
    <t>Min (V)</t>
    <phoneticPr fontId="2" type="noConversion"/>
  </si>
  <si>
    <t>Max (V)</t>
    <phoneticPr fontId="2" type="noConversion"/>
  </si>
  <si>
    <t>Min (dBm)</t>
    <phoneticPr fontId="2" type="noConversion"/>
  </si>
  <si>
    <t>Max (dBm)</t>
    <phoneticPr fontId="2" type="noConversion"/>
  </si>
  <si>
    <t>值</t>
  </si>
  <si>
    <t>N/A</t>
  </si>
  <si>
    <t>&lt;10</t>
  </si>
  <si>
    <t>&lt;10</t>
    <phoneticPr fontId="2" type="noConversion"/>
  </si>
  <si>
    <t>Sin Wave input (50R)</t>
  </si>
  <si>
    <t>Sin Wave input (50R)</t>
    <phoneticPr fontId="2" type="noConversion"/>
  </si>
  <si>
    <t>Sin Wave input (100R)</t>
  </si>
  <si>
    <t>Sin Wave input (100R)</t>
    <phoneticPr fontId="2" type="noConversion"/>
  </si>
  <si>
    <t>Vpp_Min (V)</t>
  </si>
  <si>
    <t>Vpp_Max (V)</t>
  </si>
  <si>
    <t>Delta</t>
    <phoneticPr fontId="2" type="noConversion"/>
  </si>
  <si>
    <t>Spur Actual (KHz)</t>
    <phoneticPr fontId="2" type="noConversion"/>
  </si>
  <si>
    <t>Waveform (MHz)</t>
    <phoneticPr fontId="2" type="noConversion"/>
  </si>
  <si>
    <t>Ref In (MHz)</t>
  </si>
  <si>
    <t>HMC821LP6CE</t>
  </si>
  <si>
    <t>HMC820LP6CE</t>
  </si>
  <si>
    <t>AB95h</t>
  </si>
  <si>
    <t>HMC822LP6CE</t>
  </si>
  <si>
    <t>HMC824LP6CE</t>
  </si>
  <si>
    <t>0195h</t>
  </si>
  <si>
    <t>HMC826LP6CE</t>
  </si>
  <si>
    <t>HMC828LP6CE</t>
  </si>
  <si>
    <t>HMC831LP6CE</t>
  </si>
  <si>
    <t>HMC836LP6CE</t>
  </si>
  <si>
    <t>HMC837LP6CE</t>
  </si>
  <si>
    <t>2A95h</t>
  </si>
  <si>
    <t>2295h</t>
  </si>
  <si>
    <t>HMC838LP6CE</t>
  </si>
  <si>
    <t>HMC839LP6CE</t>
  </si>
  <si>
    <t>HMC840LP6CE</t>
  </si>
  <si>
    <t>PART#</t>
    <phoneticPr fontId="2" type="noConversion"/>
  </si>
  <si>
    <t>Doubler</t>
    <phoneticPr fontId="2" type="noConversion"/>
  </si>
  <si>
    <t>D11Dh</t>
  </si>
  <si>
    <t>501Dh</t>
  </si>
  <si>
    <t>401Dh</t>
  </si>
  <si>
    <t>HMC829LP6GE</t>
  </si>
  <si>
    <t>HMC830LP6GE</t>
  </si>
  <si>
    <t>211Dh</t>
  </si>
  <si>
    <t>E11Dh</t>
  </si>
  <si>
    <t>231Dh</t>
  </si>
  <si>
    <t>E31Dh</t>
  </si>
  <si>
    <t>VCO_Reg 03H
via 05H reg</t>
    <phoneticPr fontId="2" type="noConversion"/>
  </si>
  <si>
    <t>Vreg03</t>
    <phoneticPr fontId="2" type="noConversion"/>
  </si>
  <si>
    <t>VCO_Reg 02H
via 05H reg</t>
    <phoneticPr fontId="2" type="noConversion"/>
  </si>
  <si>
    <t>VReg02</t>
    <phoneticPr fontId="2" type="noConversion"/>
  </si>
  <si>
    <t>模式</t>
    <phoneticPr fontId="2" type="noConversion"/>
  </si>
  <si>
    <t>HMC PART#</t>
    <phoneticPr fontId="2" type="noConversion"/>
  </si>
  <si>
    <t>VCO_Reg 01H
via 05H reg</t>
    <phoneticPr fontId="2" type="noConversion"/>
  </si>
  <si>
    <t>E80Dh</t>
    <phoneticPr fontId="2" type="noConversion"/>
  </si>
  <si>
    <t>VReg01</t>
    <phoneticPr fontId="2" type="noConversion"/>
  </si>
  <si>
    <t>Auto Cal</t>
    <phoneticPr fontId="2" type="noConversion"/>
  </si>
  <si>
    <t>05h</t>
    <phoneticPr fontId="2" type="noConversion"/>
  </si>
  <si>
    <t>HMC830LP6CE</t>
    <phoneticPr fontId="2" type="noConversion"/>
  </si>
  <si>
    <t>HMC829LP6CE</t>
    <phoneticPr fontId="2" type="noConversion"/>
  </si>
  <si>
    <t>00h</t>
    <phoneticPr fontId="2" type="noConversion"/>
  </si>
  <si>
    <t>Write Reg 03H</t>
    <phoneticPr fontId="2" type="noConversion"/>
  </si>
  <si>
    <t>Write Reg 04H</t>
    <phoneticPr fontId="2" type="noConversion"/>
  </si>
  <si>
    <t>Reg 04H</t>
    <phoneticPr fontId="2" type="noConversion"/>
  </si>
  <si>
    <t>Reg 03H</t>
    <phoneticPr fontId="2" type="noConversion"/>
  </si>
  <si>
    <t>Fc (MHz)</t>
    <phoneticPr fontId="2" type="noConversion"/>
  </si>
  <si>
    <t>Fvco_max (MHz)</t>
    <phoneticPr fontId="2" type="noConversion"/>
  </si>
  <si>
    <t>Fvco_min (MHz)</t>
    <phoneticPr fontId="2" type="noConversion"/>
  </si>
  <si>
    <t>F_vco_center (MHz)</t>
    <phoneticPr fontId="2" type="noConversion"/>
  </si>
  <si>
    <t>F_vco_max (MHz)</t>
    <phoneticPr fontId="2" type="noConversion"/>
  </si>
  <si>
    <t>LD Timer Divide Value</t>
    <phoneticPr fontId="2" type="noConversion"/>
  </si>
  <si>
    <t>Digital Lock Detect Window Nominal Value +/225% (nS)</t>
    <phoneticPr fontId="2" type="noConversion"/>
  </si>
  <si>
    <t>LD Timer Speed Reg07 [11:10]</t>
    <phoneticPr fontId="2" type="noConversion"/>
  </si>
  <si>
    <t>LD Timer Divide Setting Reg 07 [9:7]</t>
    <phoneticPr fontId="2" type="noConversion"/>
  </si>
  <si>
    <t>F_vco_min (MHz)</t>
    <phoneticPr fontId="2" type="noConversion"/>
  </si>
  <si>
    <t>HMC821LP6CE</t>
    <phoneticPr fontId="2" type="noConversion"/>
  </si>
  <si>
    <t>Fund</t>
    <phoneticPr fontId="2" type="noConversion"/>
  </si>
  <si>
    <t>Div</t>
    <phoneticPr fontId="2" type="noConversion"/>
  </si>
  <si>
    <t>F80Dh</t>
    <phoneticPr fontId="2" type="noConversion"/>
  </si>
  <si>
    <t>Mode#</t>
    <phoneticPr fontId="2" type="noConversion"/>
  </si>
  <si>
    <t>Fout Setting</t>
    <phoneticPr fontId="2" type="noConversion"/>
  </si>
  <si>
    <t>Reg ID</t>
    <phoneticPr fontId="2" type="noConversion"/>
  </si>
  <si>
    <t>09H (0-2.54mA)
Step=20uA</t>
    <phoneticPr fontId="2" type="noConversion"/>
  </si>
  <si>
    <t>Ref (MHz)</t>
    <phoneticPr fontId="2" type="noConversion"/>
  </si>
  <si>
    <t>Fo (MHz)</t>
    <phoneticPr fontId="2" type="noConversion"/>
  </si>
  <si>
    <t>CP (mA)</t>
    <phoneticPr fontId="2" type="noConversion"/>
  </si>
  <si>
    <t>CP输出应距离loop filter第一个电容尽可能近！</t>
    <phoneticPr fontId="2" type="noConversion"/>
  </si>
  <si>
    <t>硬件设计审核</t>
    <phoneticPr fontId="2" type="noConversion"/>
  </si>
  <si>
    <t>通过read指令读出ID来确认HMC Mode时序</t>
    <phoneticPr fontId="2" type="noConversion"/>
  </si>
  <si>
    <t>用Hittite提供的PLL Sim软件来设计环路滤波器，可以从网站注册下载！</t>
    <phoneticPr fontId="2" type="noConversion"/>
  </si>
  <si>
    <t>读Reg 00H，如果读到的值正确，则当前模式验证为HMC mode, 比如 0xA7975 for HMC830; 0x95198 for 窄带的PLLVCO</t>
    <phoneticPr fontId="2" type="noConversion"/>
  </si>
  <si>
    <t>初始化流程</t>
    <phoneticPr fontId="2" type="noConversion"/>
  </si>
  <si>
    <t>通过Reg05 写所有的VCO寄存器</t>
    <phoneticPr fontId="2" type="noConversion"/>
  </si>
  <si>
    <t>写3和4寄存器，修改频率</t>
    <phoneticPr fontId="2" type="noConversion"/>
  </si>
  <si>
    <t>频综调试Checklist</t>
    <phoneticPr fontId="2" type="noConversion"/>
  </si>
  <si>
    <t>Item</t>
    <phoneticPr fontId="2" type="noConversion"/>
  </si>
  <si>
    <t>HMC764LP6CE</t>
    <phoneticPr fontId="2" type="noConversion"/>
  </si>
  <si>
    <t>HMC765LP6CE</t>
    <phoneticPr fontId="2" type="noConversion"/>
  </si>
  <si>
    <t>HMC764LP6CE</t>
    <phoneticPr fontId="2" type="noConversion"/>
  </si>
  <si>
    <t>06H</t>
    <phoneticPr fontId="2" type="noConversion"/>
  </si>
  <si>
    <t>09H</t>
    <phoneticPr fontId="2" type="noConversion"/>
  </si>
  <si>
    <t>05H</t>
    <phoneticPr fontId="2" type="noConversion"/>
  </si>
  <si>
    <t>50894CH</t>
    <phoneticPr fontId="2" type="noConversion"/>
  </si>
  <si>
    <t>07H</t>
    <phoneticPr fontId="2" type="noConversion"/>
  </si>
  <si>
    <t>4FAH</t>
    <phoneticPr fontId="2" type="noConversion"/>
  </si>
  <si>
    <t>0H</t>
    <phoneticPr fontId="2" type="noConversion"/>
  </si>
  <si>
    <t>72H</t>
    <phoneticPr fontId="2" type="noConversion"/>
  </si>
  <si>
    <t>AH</t>
    <phoneticPr fontId="2" type="noConversion"/>
  </si>
  <si>
    <t>DH</t>
    <phoneticPr fontId="2" type="noConversion"/>
  </si>
  <si>
    <t>EH</t>
    <phoneticPr fontId="2" type="noConversion"/>
  </si>
  <si>
    <t>FH</t>
    <phoneticPr fontId="2" type="noConversion"/>
  </si>
  <si>
    <t>Read Only</t>
    <phoneticPr fontId="2" type="noConversion"/>
  </si>
  <si>
    <t>Lock ID</t>
    <phoneticPr fontId="2" type="noConversion"/>
  </si>
  <si>
    <t>BH</t>
    <phoneticPr fontId="2" type="noConversion"/>
  </si>
  <si>
    <t>CH</t>
    <phoneticPr fontId="2" type="noConversion"/>
  </si>
  <si>
    <t>HMC838LP6CE</t>
    <phoneticPr fontId="2" type="noConversion"/>
  </si>
  <si>
    <t>reg 05H 
Write 5 to run auto-cal</t>
    <phoneticPr fontId="2" type="noConversion"/>
  </si>
  <si>
    <t>HMC822LP6CE</t>
    <phoneticPr fontId="2" type="noConversion"/>
  </si>
  <si>
    <t>Frequency_Change( ) use below steps</t>
    <phoneticPr fontId="2" type="noConversion"/>
  </si>
  <si>
    <t>02H</t>
    <phoneticPr fontId="2" type="noConversion"/>
  </si>
  <si>
    <t>06H
(200B4AH)</t>
    <phoneticPr fontId="2" type="noConversion"/>
  </si>
  <si>
    <t>SD CFG</t>
    <phoneticPr fontId="2" type="noConversion"/>
  </si>
  <si>
    <t>R Divider</t>
    <phoneticPr fontId="2" type="noConversion"/>
  </si>
  <si>
    <t>09H (0-635uA)
Step=5uA</t>
    <phoneticPr fontId="2" type="noConversion"/>
  </si>
  <si>
    <t>PFD (MHz)</t>
    <phoneticPr fontId="2" type="noConversion"/>
  </si>
  <si>
    <t>F_vco_min (MHz)</t>
    <phoneticPr fontId="2" type="noConversion"/>
  </si>
  <si>
    <t>F_vco_center (MHz)</t>
    <phoneticPr fontId="2" type="noConversion"/>
  </si>
  <si>
    <t>F_vco_max (MHz)</t>
    <phoneticPr fontId="2" type="noConversion"/>
  </si>
  <si>
    <t>K</t>
    <phoneticPr fontId="2" type="noConversion"/>
  </si>
  <si>
    <t>Fvco (MHz)</t>
    <phoneticPr fontId="2" type="noConversion"/>
  </si>
  <si>
    <t>N_dec</t>
    <phoneticPr fontId="2" type="noConversion"/>
  </si>
  <si>
    <t>CP_leakage (uA)</t>
    <phoneticPr fontId="2" type="noConversion"/>
  </si>
  <si>
    <t>LD_Window (nS)</t>
    <phoneticPr fontId="2" type="noConversion"/>
  </si>
  <si>
    <t>Input data</t>
    <phoneticPr fontId="2" type="noConversion"/>
  </si>
  <si>
    <t>In-Process data</t>
    <phoneticPr fontId="2" type="noConversion"/>
  </si>
  <si>
    <t>Change Freq Process</t>
    <phoneticPr fontId="2" type="noConversion"/>
  </si>
  <si>
    <t>Half Fixed Data</t>
    <phoneticPr fontId="2" type="noConversion"/>
  </si>
  <si>
    <t>202F4Ah</t>
    <phoneticPr fontId="2" type="noConversion"/>
  </si>
  <si>
    <t>Initialization Process</t>
    <phoneticPr fontId="2" type="noConversion"/>
  </si>
  <si>
    <t>2003CA_Int
200B4A_Frac</t>
    <phoneticPr fontId="2" type="noConversion"/>
  </si>
  <si>
    <t>0195h</t>
    <phoneticPr fontId="2" type="noConversion"/>
  </si>
  <si>
    <t>N/A</t>
    <phoneticPr fontId="2" type="noConversion"/>
  </si>
  <si>
    <t>A395h</t>
    <phoneticPr fontId="2" type="noConversion"/>
  </si>
  <si>
    <t>501Dh</t>
    <phoneticPr fontId="2" type="noConversion"/>
  </si>
  <si>
    <t>Reg 06H</t>
    <phoneticPr fontId="2" type="noConversion"/>
  </si>
  <si>
    <t>Vreg02</t>
    <phoneticPr fontId="2" type="noConversion"/>
  </si>
  <si>
    <t>Vreg01</t>
    <phoneticPr fontId="2" type="noConversion"/>
  </si>
  <si>
    <t>Step 3/5 Once</t>
    <phoneticPr fontId="2" type="noConversion"/>
  </si>
  <si>
    <t>HMC830LP6GE</t>
    <phoneticPr fontId="2" type="noConversion"/>
  </si>
  <si>
    <t>HMC829LP6GE</t>
    <phoneticPr fontId="2" type="noConversion"/>
  </si>
  <si>
    <t>Auto-cal Function</t>
    <phoneticPr fontId="2" type="noConversion"/>
  </si>
  <si>
    <t>HMC840LP6CE</t>
    <phoneticPr fontId="2" type="noConversion"/>
  </si>
  <si>
    <t>CP &amp; Offfset</t>
    <phoneticPr fontId="2" type="noConversion"/>
  </si>
  <si>
    <t>02H
(1H)</t>
    <phoneticPr fontId="2" type="noConversion"/>
  </si>
  <si>
    <t>07H (LD Window)</t>
    <phoneticPr fontId="2" type="noConversion"/>
  </si>
  <si>
    <t>R Div</t>
    <phoneticPr fontId="2" type="noConversion"/>
  </si>
  <si>
    <t>07H</t>
    <phoneticPr fontId="2" type="noConversion"/>
  </si>
  <si>
    <t>LD Value</t>
    <phoneticPr fontId="2" type="noConversion"/>
  </si>
  <si>
    <t>[9:7]</t>
    <phoneticPr fontId="2" type="noConversion"/>
  </si>
  <si>
    <t>[11:10]</t>
    <phoneticPr fontId="2" type="noConversion"/>
  </si>
  <si>
    <t>[7:11]</t>
    <phoneticPr fontId="2" type="noConversion"/>
  </si>
  <si>
    <t>[0:6]</t>
    <phoneticPr fontId="2" type="noConversion"/>
  </si>
  <si>
    <t>4d</t>
    <phoneticPr fontId="2" type="noConversion"/>
  </si>
  <si>
    <t>07H</t>
    <phoneticPr fontId="2" type="noConversion"/>
  </si>
  <si>
    <t>Mode</t>
    <phoneticPr fontId="2" type="noConversion"/>
  </si>
  <si>
    <t>HMC821LP6CE</t>
    <phoneticPr fontId="2" type="noConversion"/>
  </si>
  <si>
    <t>For Software Engineer Programming</t>
    <phoneticPr fontId="2" type="noConversion"/>
  </si>
  <si>
    <t>N</t>
    <phoneticPr fontId="2" type="noConversion"/>
  </si>
  <si>
    <t>Phi^2 (dB)</t>
    <phoneticPr fontId="2" type="noConversion"/>
  </si>
  <si>
    <t>Phi (rad)</t>
    <phoneticPr fontId="2" type="noConversion"/>
  </si>
  <si>
    <t>Phi (deg)</t>
    <phoneticPr fontId="2" type="noConversion"/>
  </si>
  <si>
    <t>Tpd (nS)</t>
    <phoneticPr fontId="2" type="noConversion"/>
  </si>
  <si>
    <t>Tjpn (fs)</t>
    <phoneticPr fontId="2" type="noConversion"/>
  </si>
  <si>
    <t>PN @ 10KHz (dBc/Hz)</t>
    <phoneticPr fontId="2" type="noConversion"/>
  </si>
  <si>
    <t>BW (KHz)</t>
    <phoneticPr fontId="2" type="noConversion"/>
  </si>
  <si>
    <t>Parameter Name</t>
    <phoneticPr fontId="2" type="noConversion"/>
  </si>
  <si>
    <t>Value</t>
    <phoneticPr fontId="2" type="noConversion"/>
  </si>
  <si>
    <t>PFD</t>
    <phoneticPr fontId="2" type="noConversion"/>
  </si>
  <si>
    <t>Fgcd</t>
    <phoneticPr fontId="2" type="noConversion"/>
  </si>
  <si>
    <t>0CH</t>
    <phoneticPr fontId="2" type="noConversion"/>
  </si>
  <si>
    <t>Fvco</t>
    <phoneticPr fontId="2" type="noConversion"/>
  </si>
  <si>
    <t>0h</t>
    <phoneticPr fontId="2" type="noConversion"/>
  </si>
  <si>
    <t>04H</t>
    <phoneticPr fontId="2" type="noConversion"/>
  </si>
  <si>
    <t>Channel</t>
    <phoneticPr fontId="2" type="noConversion"/>
  </si>
  <si>
    <t>Exact Mode</t>
    <phoneticPr fontId="2" type="noConversion"/>
  </si>
  <si>
    <t>Exact - Channel Mode</t>
    <phoneticPr fontId="2" type="noConversion"/>
  </si>
  <si>
    <t>Fgcd_CH</t>
    <phoneticPr fontId="2" type="noConversion"/>
  </si>
  <si>
    <t>0CH_CH</t>
    <phoneticPr fontId="2" type="noConversion"/>
  </si>
  <si>
    <t>4d</t>
    <phoneticPr fontId="2" type="noConversion"/>
  </si>
  <si>
    <t>Vreg5</t>
    <phoneticPr fontId="2" type="noConversion"/>
  </si>
  <si>
    <t>1628h</t>
    <phoneticPr fontId="2" type="noConversion"/>
  </si>
  <si>
    <t>Vreg4</t>
    <phoneticPr fontId="2" type="noConversion"/>
  </si>
  <si>
    <t>60A0h</t>
    <phoneticPr fontId="2" type="noConversion"/>
  </si>
  <si>
    <t>Reg 05H 
(v_reg_02H)
*G_max</t>
    <phoneticPr fontId="2" type="noConversion"/>
  </si>
  <si>
    <t>Reg 05H 
Write 0 to run auto-cal</t>
    <phoneticPr fontId="2" type="noConversion"/>
  </si>
  <si>
    <t>Reg 05H</t>
    <phoneticPr fontId="2" type="noConversion"/>
  </si>
  <si>
    <t>06H
(int=2003CA frac=200B4A)</t>
    <phoneticPr fontId="2" type="noConversion"/>
  </si>
  <si>
    <t xml:space="preserve">08H
</t>
    <phoneticPr fontId="2" type="noConversion"/>
  </si>
  <si>
    <t>Analog EN Reg
(C1BEFFh)</t>
    <phoneticPr fontId="2" type="noConversion"/>
  </si>
  <si>
    <t>C1BEFFh</t>
    <phoneticPr fontId="2" type="noConversion"/>
  </si>
  <si>
    <t>0AH
2205h</t>
    <phoneticPr fontId="2" type="noConversion"/>
  </si>
  <si>
    <t>0FH</t>
    <phoneticPr fontId="2" type="noConversion"/>
  </si>
  <si>
    <t>10H</t>
    <phoneticPr fontId="2" type="noConversion"/>
  </si>
  <si>
    <t>11H</t>
    <phoneticPr fontId="2" type="noConversion"/>
  </si>
  <si>
    <t>12H</t>
    <phoneticPr fontId="2" type="noConversion"/>
  </si>
  <si>
    <t>13H</t>
    <phoneticPr fontId="2" type="noConversion"/>
  </si>
  <si>
    <t>VCO AutoCal Config Reg</t>
    <phoneticPr fontId="2" type="noConversion"/>
  </si>
  <si>
    <t>PD Reg
F8061h</t>
    <phoneticPr fontId="2" type="noConversion"/>
  </si>
  <si>
    <t>GPO_SPI_RDIV Reg (1h)</t>
    <phoneticPr fontId="2" type="noConversion"/>
  </si>
  <si>
    <t>VCO Tune Reg (20h)</t>
    <phoneticPr fontId="2" type="noConversion"/>
  </si>
  <si>
    <t>SAR Reg (7FFFh)</t>
    <phoneticPr fontId="2" type="noConversion"/>
  </si>
  <si>
    <t>(0H) Read Only</t>
    <phoneticPr fontId="2" type="noConversion"/>
  </si>
  <si>
    <t>BIST Reg (0h)</t>
    <phoneticPr fontId="2" type="noConversion"/>
  </si>
  <si>
    <t>2046h</t>
    <phoneticPr fontId="2" type="noConversion"/>
  </si>
  <si>
    <t>B2h</t>
    <phoneticPr fontId="2" type="noConversion"/>
  </si>
  <si>
    <t>80002h</t>
    <phoneticPr fontId="2" type="noConversion"/>
  </si>
  <si>
    <t>3h</t>
    <phoneticPr fontId="2" type="noConversion"/>
  </si>
  <si>
    <t>1259h</t>
    <phoneticPr fontId="2" type="noConversion"/>
  </si>
  <si>
    <t>Write 0x04 for freq changing</t>
    <phoneticPr fontId="2" type="noConversion"/>
  </si>
  <si>
    <t>Exact Freq Mode</t>
    <phoneticPr fontId="2" type="noConversion"/>
  </si>
  <si>
    <t>SD CFG Reg</t>
    <phoneticPr fontId="2" type="noConversion"/>
  </si>
  <si>
    <t>Vreg2</t>
    <phoneticPr fontId="2" type="noConversion"/>
  </si>
  <si>
    <t>A395h</t>
    <phoneticPr fontId="2" type="noConversion"/>
  </si>
  <si>
    <t>0CH</t>
    <phoneticPr fontId="2" type="noConversion"/>
  </si>
  <si>
    <t>0DH</t>
    <phoneticPr fontId="2" type="noConversion"/>
  </si>
  <si>
    <t>0EH</t>
    <phoneticPr fontId="2" type="noConversion"/>
  </si>
  <si>
    <t>Fine Freq Corrrection Reg</t>
    <phoneticPr fontId="2" type="noConversion"/>
  </si>
  <si>
    <t>0h</t>
    <phoneticPr fontId="2" type="noConversion"/>
  </si>
  <si>
    <t>04H_CH(n+1)</t>
    <phoneticPr fontId="2" type="noConversion"/>
  </si>
  <si>
    <t>Channel (KHz)</t>
    <phoneticPr fontId="2" type="noConversion"/>
  </si>
  <si>
    <t>Exact Freq Mode, Special Application</t>
    <phoneticPr fontId="2" type="noConversion"/>
  </si>
  <si>
    <t>07H
(Default: 14DH)
Manually calculate</t>
    <phoneticPr fontId="2" type="noConversion"/>
  </si>
  <si>
    <t>Reg07和09设置一次就ok了</t>
    <phoneticPr fontId="2" type="noConversion"/>
  </si>
  <si>
    <t>Reg09的cp电流设置，推荐2mA，offset电流必须设置，否则可能无法锁定或者低温下spur差以及unlock</t>
    <phoneticPr fontId="2" type="noConversion"/>
  </si>
  <si>
    <t>Reg 05写入5 for 窄带，写入0 for 宽带器件，让VCO自动校准！</t>
    <phoneticPr fontId="2" type="noConversion"/>
  </si>
  <si>
    <t>Software</t>
    <phoneticPr fontId="2" type="noConversion"/>
  </si>
  <si>
    <t>07H reg LUT test result as below:</t>
    <phoneticPr fontId="2" type="noConversion"/>
  </si>
  <si>
    <t>09H
(default: 403264H)
or fixed 501E3CH for 50M Ref</t>
    <phoneticPr fontId="2" type="noConversion"/>
  </si>
  <si>
    <t>Open Mode</t>
    <phoneticPr fontId="2" type="noConversion"/>
  </si>
  <si>
    <t>d23</t>
    <phoneticPr fontId="2" type="noConversion"/>
  </si>
  <si>
    <t>d22</t>
    <phoneticPr fontId="2" type="noConversion"/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</si>
  <si>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</si>
  <si>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</si>
  <si>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</si>
  <si>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</si>
  <si>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</si>
  <si>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</si>
  <si>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</si>
  <si>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</si>
  <si>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</si>
  <si>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</si>
  <si>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</si>
  <si>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</si>
  <si>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</si>
  <si>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</si>
  <si>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</si>
  <si>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</si>
  <si>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</si>
  <si>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</si>
  <si>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</si>
  <si>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</si>
  <si>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</si>
  <si>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</si>
  <si>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r4</t>
    <phoneticPr fontId="2" type="noConversion"/>
  </si>
  <si>
    <t>r3</t>
    <phoneticPr fontId="2" type="noConversion"/>
  </si>
  <si>
    <t>r2</t>
    <phoneticPr fontId="2" type="noConversion"/>
  </si>
  <si>
    <t>r1</t>
    <phoneticPr fontId="2" type="noConversion"/>
  </si>
  <si>
    <t>r0</t>
    <phoneticPr fontId="2" type="noConversion"/>
  </si>
  <si>
    <t>a2</t>
    <phoneticPr fontId="2" type="noConversion"/>
  </si>
  <si>
    <t>a1</t>
    <phoneticPr fontId="2" type="noConversion"/>
  </si>
  <si>
    <t>a0</t>
    <phoneticPr fontId="2" type="noConversion"/>
  </si>
  <si>
    <t>Data</t>
    <phoneticPr fontId="2" type="noConversion"/>
  </si>
  <si>
    <t>Clock</t>
    <phoneticPr fontId="2" type="noConversion"/>
  </si>
  <si>
    <t>SEN</t>
    <phoneticPr fontId="2" type="noConversion"/>
  </si>
  <si>
    <t>HMC Mode</t>
    <phoneticPr fontId="2" type="noConversion"/>
  </si>
  <si>
    <t>/WR</t>
    <phoneticPr fontId="2" type="noConversion"/>
  </si>
  <si>
    <t>a5</t>
    <phoneticPr fontId="2" type="noConversion"/>
  </si>
  <si>
    <t>a4</t>
    <phoneticPr fontId="2" type="noConversion"/>
  </si>
  <si>
    <t>a3</t>
    <phoneticPr fontId="2" type="noConversion"/>
  </si>
  <si>
    <t>x</t>
    <phoneticPr fontId="2" type="noConversion"/>
  </si>
  <si>
    <t>Just for Exact Freq Mode</t>
    <phoneticPr fontId="2" type="noConversion"/>
  </si>
  <si>
    <t>HMC838LP6CE</t>
    <phoneticPr fontId="2" type="noConversion"/>
  </si>
  <si>
    <t>HMC821LP6CE</t>
    <phoneticPr fontId="2" type="noConversion"/>
  </si>
  <si>
    <t>Reg09</t>
    <phoneticPr fontId="2" type="noConversion"/>
  </si>
  <si>
    <t>479E3D</t>
    <phoneticPr fontId="2" type="noConversion"/>
  </si>
  <si>
    <t>CP_dwn</t>
    <phoneticPr fontId="2" type="noConversion"/>
  </si>
  <si>
    <t>Offset (uA)</t>
    <phoneticPr fontId="2" type="noConversion"/>
  </si>
  <si>
    <t>Right 8</t>
    <phoneticPr fontId="2" type="noConversion"/>
  </si>
  <si>
    <t>SPI Mode的闭环判断，回读ChipID，正确的模式读数正确，以此确定SPI Mode通讯方式；
带回读时，请读取12h寄存器的值来得到锁定指示，推荐使用HMC860LP3E作为掉电再上电的控制，同时得到最佳的相噪和杂散性能</t>
    <phoneticPr fontId="2" type="noConversion"/>
  </si>
  <si>
    <t>06H (17:16)</t>
    <phoneticPr fontId="2" type="noConversion"/>
  </si>
  <si>
    <t>PFD Vs. 50MHz</t>
    <phoneticPr fontId="2" type="noConversion"/>
  </si>
  <si>
    <t>0BH (WB/NB)
(int=7C061, frac=7C021)</t>
    <phoneticPr fontId="2" type="noConversion"/>
  </si>
  <si>
    <t xml:space="preserve">Mov 0, </t>
    <phoneticPr fontId="2" type="noConversion"/>
  </si>
  <si>
    <t>Open Mov 1h, @1h</t>
    <phoneticPr fontId="2" type="noConversion"/>
  </si>
  <si>
    <t>Open Mov Fh, @81h</t>
    <phoneticPr fontId="2" type="noConversion"/>
  </si>
  <si>
    <t>HMC Mode equivalent</t>
    <phoneticPr fontId="2" type="noConversion"/>
  </si>
  <si>
    <t>HMC821LP6CE</t>
    <phoneticPr fontId="2" type="noConversion"/>
  </si>
  <si>
    <t>153fff</t>
    <phoneticPr fontId="2" type="noConversion"/>
  </si>
  <si>
    <t>Write 0x03 for freq changing</t>
    <phoneticPr fontId="2" type="noConversion"/>
  </si>
  <si>
    <t>HMC1032LP6GE</t>
    <phoneticPr fontId="2" type="noConversion"/>
  </si>
  <si>
    <t>HMC1034LP6CE</t>
    <phoneticPr fontId="2" type="noConversion"/>
  </si>
  <si>
    <t>B6A0h</t>
    <phoneticPr fontId="2" type="noConversion"/>
  </si>
  <si>
    <t>60A0h</t>
    <phoneticPr fontId="2" type="noConversion"/>
  </si>
  <si>
    <t>7E28h</t>
    <phoneticPr fontId="2" type="noConversion"/>
  </si>
  <si>
    <t>1628h</t>
    <phoneticPr fontId="2" type="noConversion"/>
  </si>
  <si>
    <t>7FB0h</t>
    <phoneticPr fontId="2" type="noConversion"/>
  </si>
  <si>
    <t>Vreg03 (NB only)</t>
    <phoneticPr fontId="2" type="noConversion"/>
  </si>
  <si>
    <t>Vreg04 (WB only)</t>
    <phoneticPr fontId="2" type="noConversion"/>
  </si>
  <si>
    <t>Vreg05 (WB only)</t>
    <phoneticPr fontId="2" type="noConversion"/>
  </si>
  <si>
    <t>Vreg06 (WB only)</t>
    <phoneticPr fontId="2" type="noConversion"/>
  </si>
  <si>
    <t>Fout Mode</t>
    <phoneticPr fontId="2" type="noConversion"/>
  </si>
  <si>
    <t>Reg Ah</t>
    <phoneticPr fontId="2" type="noConversion"/>
  </si>
  <si>
    <t>Reg 5h</t>
    <phoneticPr fontId="2" type="noConversion"/>
  </si>
  <si>
    <t>3046h</t>
    <phoneticPr fontId="2" type="noConversion"/>
  </si>
  <si>
    <t>2046h</t>
    <phoneticPr fontId="2" type="noConversion"/>
  </si>
  <si>
    <t>Autocal Reg</t>
    <phoneticPr fontId="2" type="noConversion"/>
  </si>
  <si>
    <t>0h</t>
    <phoneticPr fontId="2" type="noConversion"/>
  </si>
  <si>
    <t>R</t>
    <phoneticPr fontId="2" type="noConversion"/>
  </si>
  <si>
    <t>Exact Freq Mode, &amp; Differential / Single End Output, Special Application!</t>
    <phoneticPr fontId="2" type="noConversion"/>
  </si>
  <si>
    <t>SPI Mode的开环判断， 没有回读，没有上电控制的情况下，对SPI读写系统来说属于开环，需要软件工程师做开环控制避免掉电后在上电的SPI Mode的不确定性，方法为：写C0h到Reg 0Fh，LD_SDO输出0V，写E0h到Reg 0Fh，LD_SDO输出3V，此为HMC Mode还是Open Mode的判据</t>
    <phoneticPr fontId="2" type="noConversion"/>
  </si>
  <si>
    <t>Differential output 设置新加到excel表格里面，Process# 15/15b</t>
    <phoneticPr fontId="2" type="noConversion"/>
  </si>
  <si>
    <t>Differential</t>
  </si>
  <si>
    <t>Differential /Single-ended Output Process</t>
    <phoneticPr fontId="2" type="noConversion"/>
  </si>
  <si>
    <t>Single-ended</t>
  </si>
  <si>
    <t>Vreg 3h via Reg 05h</t>
    <phoneticPr fontId="2" type="noConversion"/>
  </si>
  <si>
    <t>Read SPI Reg 12h</t>
  </si>
  <si>
    <t>H830 Reg#</t>
    <phoneticPr fontId="2" type="noConversion"/>
  </si>
  <si>
    <t>Part#</t>
    <phoneticPr fontId="2" type="noConversion"/>
  </si>
  <si>
    <t>Ref (MHz)</t>
    <phoneticPr fontId="2" type="noConversion"/>
  </si>
  <si>
    <t>Fo (MHz)</t>
    <phoneticPr fontId="2" type="noConversion"/>
  </si>
  <si>
    <t>Channel (KHz)</t>
    <phoneticPr fontId="2" type="noConversion"/>
  </si>
  <si>
    <t>CP (mA)</t>
    <phoneticPr fontId="2" type="noConversion"/>
  </si>
  <si>
    <t>R</t>
    <phoneticPr fontId="2" type="noConversion"/>
  </si>
  <si>
    <t>Read reg or LD/SDO pin</t>
    <phoneticPr fontId="2" type="noConversion"/>
  </si>
  <si>
    <t>HMC830LP6GE</t>
    <phoneticPr fontId="2" type="noConversion"/>
  </si>
  <si>
    <t>HMC829LP6GE</t>
    <phoneticPr fontId="2" type="noConversion"/>
  </si>
  <si>
    <t>Reg 05h</t>
    <phoneticPr fontId="2" type="noConversion"/>
  </si>
  <si>
    <t>LD Mode</t>
    <phoneticPr fontId="2" type="noConversion"/>
  </si>
  <si>
    <t>Fout</t>
    <phoneticPr fontId="2" type="noConversion"/>
  </si>
  <si>
    <t>Reg 02h</t>
    <phoneticPr fontId="2" type="noConversion"/>
  </si>
  <si>
    <t>Reg 09H (0-2.54mA)
Step=20uA</t>
    <phoneticPr fontId="2" type="noConversion"/>
  </si>
  <si>
    <t>Fvco (MHz)</t>
    <phoneticPr fontId="2" type="noConversion"/>
  </si>
  <si>
    <t>PFD (MHz)</t>
    <phoneticPr fontId="2" type="noConversion"/>
  </si>
  <si>
    <t>Icp (mA)</t>
    <phoneticPr fontId="2" type="noConversion"/>
  </si>
  <si>
    <t>CP_L (uA)</t>
    <phoneticPr fontId="2" type="noConversion"/>
  </si>
  <si>
    <t>Initialization Process</t>
    <phoneticPr fontId="2" type="noConversion"/>
  </si>
  <si>
    <t>Half Fixed Data</t>
    <phoneticPr fontId="2" type="noConversion"/>
  </si>
  <si>
    <t>Input data</t>
    <phoneticPr fontId="2" type="noConversion"/>
  </si>
  <si>
    <t xml:space="preserve">02h </t>
    <phoneticPr fontId="2" type="noConversion"/>
  </si>
  <si>
    <t>Vreg 0h via Reg 05h</t>
    <phoneticPr fontId="2" type="noConversion"/>
  </si>
  <si>
    <t>Reg 05h</t>
    <phoneticPr fontId="2" type="noConversion"/>
  </si>
  <si>
    <t>Hardware</t>
    <phoneticPr fontId="2" type="noConversion"/>
  </si>
  <si>
    <t>pllvco的电源管理需受cpu控制，cpu稳定后，延迟一点时间才给pllvco供电，系统工作更加稳定，上电复位电路（POR=Power on reset）也能更稳定工作。比如控制HMC1060LP3E CE管脚</t>
    <phoneticPr fontId="2" type="noConversion"/>
  </si>
  <si>
    <t>硬件设计审核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</si>
</sst>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#,##0.00_ "/>
    <numFmt numFmtId="177" formatCode="0.00_ "/>
    <numFmt numFmtId="178" formatCode="#,##0.000_ "/>
    <numFmt numFmtId="179" formatCode="#,##0.00000_ "/>
    <numFmt numFmtId="180" formatCode="#,##0_);[Red]\(#,##0\)"/>
  </numFmts>
  <fonts count="17"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12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b/>
      <i/>
      <u/>
      <sz val="10"/>
      <color indexed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9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23"/>
      <name val="微软雅黑"/>
      <family val="2"/>
      <charset val="134"/>
    </font>
    <font>
      <b/>
      <sz val="10"/>
      <color indexed="23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color indexed="10"/>
      <name val="Tahoma"/>
      <family val="2"/>
    </font>
    <font>
      <sz val="10"/>
      <color indexed="17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3" fillId="0" borderId="2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176" fontId="5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3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179" fontId="9" fillId="4" borderId="0" xfId="0" applyNumberFormat="1" applyFont="1" applyFill="1">
      <alignment vertical="center"/>
    </xf>
    <xf numFmtId="179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177" fontId="0" fillId="0" borderId="1" xfId="0" applyNumberFormat="1" applyBorder="1">
      <alignment vertical="center"/>
    </xf>
    <xf numFmtId="0" fontId="9" fillId="5" borderId="1" xfId="0" applyFont="1" applyFill="1" applyBorder="1" applyAlignment="1">
      <alignment horizontal="left" vertical="center" wrapText="1"/>
    </xf>
    <xf numFmtId="177" fontId="9" fillId="5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4" borderId="0" xfId="0" applyFont="1" applyFill="1" applyAlignment="1">
      <alignment vertical="center" wrapText="1"/>
    </xf>
    <xf numFmtId="178" fontId="9" fillId="4" borderId="0" xfId="0" applyNumberFormat="1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9" fillId="6" borderId="1" xfId="0" applyFont="1" applyFill="1" applyBorder="1">
      <alignment vertical="center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 wrapText="1"/>
    </xf>
    <xf numFmtId="176" fontId="0" fillId="0" borderId="0" xfId="0" pivotButton="1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left" vertical="center"/>
    </xf>
    <xf numFmtId="176" fontId="9" fillId="5" borderId="1" xfId="0" applyNumberFormat="1" applyFont="1" applyFill="1" applyBorder="1" applyAlignment="1">
      <alignment horizontal="left" vertical="center" wrapText="1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0" fontId="6" fillId="3" borderId="0" xfId="0" applyFont="1" applyFill="1" applyProtection="1">
      <alignment vertical="center"/>
      <protection locked="0"/>
    </xf>
    <xf numFmtId="0" fontId="5" fillId="2" borderId="1" xfId="0" applyFont="1" applyFill="1" applyBorder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176" fontId="5" fillId="2" borderId="1" xfId="0" applyNumberFormat="1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5" fillId="0" borderId="1" xfId="0" applyFont="1" applyBorder="1" applyProtection="1">
      <alignment vertical="center"/>
      <protection locked="0"/>
    </xf>
    <xf numFmtId="0" fontId="10" fillId="0" borderId="1" xfId="0" applyFont="1" applyBorder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</xf>
    <xf numFmtId="0" fontId="3" fillId="0" borderId="0" xfId="0" applyFont="1" applyProtection="1">
      <alignment vertical="center"/>
    </xf>
    <xf numFmtId="0" fontId="4" fillId="2" borderId="1" xfId="0" applyFont="1" applyFill="1" applyBorder="1" applyProtection="1">
      <alignment vertical="center"/>
    </xf>
    <xf numFmtId="0" fontId="4" fillId="2" borderId="1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4" fillId="0" borderId="1" xfId="0" applyFont="1" applyBorder="1" applyAlignment="1" applyProtection="1">
      <alignment vertical="center" wrapText="1"/>
    </xf>
    <xf numFmtId="0" fontId="4" fillId="0" borderId="1" xfId="0" applyFont="1" applyBorder="1" applyProtection="1">
      <alignment vertical="center"/>
    </xf>
    <xf numFmtId="0" fontId="10" fillId="0" borderId="0" xfId="0" applyFont="1" applyProtection="1">
      <alignment vertical="center"/>
      <protection locked="0"/>
    </xf>
    <xf numFmtId="0" fontId="0" fillId="0" borderId="0" xfId="0" applyNumberFormat="1" applyProtection="1">
      <alignment vertical="center"/>
      <protection locked="0"/>
    </xf>
    <xf numFmtId="0" fontId="5" fillId="2" borderId="1" xfId="0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Protection="1">
      <alignment vertical="center"/>
      <protection locked="0"/>
    </xf>
    <xf numFmtId="176" fontId="12" fillId="0" borderId="0" xfId="0" applyNumberFormat="1" applyFont="1" applyProtection="1">
      <alignment vertical="center"/>
      <protection locked="0"/>
    </xf>
    <xf numFmtId="0" fontId="13" fillId="2" borderId="1" xfId="0" applyFont="1" applyFill="1" applyBorder="1" applyProtection="1">
      <alignment vertical="center"/>
      <protection locked="0"/>
    </xf>
    <xf numFmtId="0" fontId="13" fillId="2" borderId="1" xfId="0" applyFont="1" applyFill="1" applyBorder="1" applyAlignment="1" applyProtection="1">
      <alignment vertical="center" wrapText="1"/>
      <protection locked="0"/>
    </xf>
    <xf numFmtId="176" fontId="13" fillId="2" borderId="1" xfId="0" applyNumberFormat="1" applyFont="1" applyFill="1" applyBorder="1" applyAlignment="1" applyProtection="1">
      <alignment vertical="center" wrapText="1"/>
      <protection locked="0"/>
    </xf>
    <xf numFmtId="0" fontId="13" fillId="0" borderId="1" xfId="0" applyFont="1" applyBorder="1" applyAlignment="1" applyProtection="1">
      <alignment vertical="center" wrapText="1"/>
      <protection locked="0"/>
    </xf>
    <xf numFmtId="0" fontId="13" fillId="0" borderId="1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</xf>
    <xf numFmtId="0" fontId="12" fillId="0" borderId="0" xfId="0" applyFont="1" applyProtection="1">
      <alignment vertical="center"/>
    </xf>
    <xf numFmtId="0" fontId="11" fillId="0" borderId="0" xfId="0" applyFont="1" applyProtection="1">
      <alignment vertical="center"/>
    </xf>
    <xf numFmtId="176" fontId="0" fillId="7" borderId="0" xfId="0" applyNumberFormat="1" applyFill="1" applyProtection="1">
      <alignment vertical="center"/>
      <protection locked="0"/>
    </xf>
    <xf numFmtId="0" fontId="0" fillId="7" borderId="0" xfId="0" applyFill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</xf>
    <xf numFmtId="0" fontId="13" fillId="0" borderId="1" xfId="0" applyFont="1" applyBorder="1" applyAlignment="1" applyProtection="1">
      <alignment horizontal="left" vertical="center"/>
      <protection locked="0"/>
    </xf>
    <xf numFmtId="176" fontId="12" fillId="0" borderId="1" xfId="0" applyNumberFormat="1" applyFont="1" applyBorder="1" applyAlignment="1" applyProtection="1">
      <alignment horizontal="left" vertical="center"/>
      <protection locked="0"/>
    </xf>
    <xf numFmtId="176" fontId="13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0" fillId="0" borderId="1" xfId="0" applyNumberFormat="1" applyFill="1" applyBorder="1" applyAlignment="1" applyProtection="1">
      <alignment horizontal="left" vertical="center"/>
      <protection locked="0"/>
    </xf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0" fontId="10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</xf>
    <xf numFmtId="0" fontId="1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80" fontId="12" fillId="0" borderId="0" xfId="0" applyNumberFormat="1" applyFont="1" applyProtection="1">
      <alignment vertical="center"/>
      <protection locked="0"/>
    </xf>
    <xf numFmtId="180" fontId="13" fillId="2" borderId="1" xfId="0" applyNumberFormat="1" applyFont="1" applyFill="1" applyBorder="1" applyAlignment="1" applyProtection="1">
      <alignment vertical="center" wrapText="1"/>
      <protection locked="0"/>
    </xf>
    <xf numFmtId="180" fontId="13" fillId="0" borderId="1" xfId="0" applyNumberFormat="1" applyFont="1" applyBorder="1" applyAlignment="1" applyProtection="1">
      <alignment horizontal="left" vertical="center" wrapText="1"/>
      <protection locked="0"/>
    </xf>
    <xf numFmtId="180" fontId="13" fillId="0" borderId="1" xfId="0" applyNumberFormat="1" applyFont="1" applyBorder="1" applyAlignment="1" applyProtection="1">
      <alignment horizontal="left" vertical="center"/>
      <protection locked="0"/>
    </xf>
    <xf numFmtId="0" fontId="0" fillId="7" borderId="0" xfId="0" applyNumberFormat="1" applyFill="1" applyProtection="1">
      <alignment vertical="center"/>
      <protection locked="0"/>
    </xf>
    <xf numFmtId="176" fontId="9" fillId="7" borderId="0" xfId="0" applyNumberFormat="1" applyFont="1" applyFill="1" applyProtection="1">
      <alignment vertical="center"/>
      <protection locked="0"/>
    </xf>
    <xf numFmtId="0" fontId="10" fillId="0" borderId="0" xfId="0" applyFont="1">
      <alignment vertical="center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3" fillId="2" borderId="1" xfId="0" applyFont="1" applyFill="1" applyBorder="1">
      <alignment vertical="center"/>
    </xf>
    <xf numFmtId="0" fontId="13" fillId="2" borderId="1" xfId="0" applyFont="1" applyFill="1" applyBorder="1" applyAlignment="1">
      <alignment vertical="center" wrapText="1"/>
    </xf>
    <xf numFmtId="0" fontId="13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6" fontId="12" fillId="0" borderId="0" xfId="0" applyNumberFormat="1" applyFont="1">
      <alignment vertical="center"/>
    </xf>
    <xf numFmtId="176" fontId="13" fillId="2" borderId="1" xfId="0" applyNumberFormat="1" applyFont="1" applyFill="1" applyBorder="1" applyAlignment="1">
      <alignment vertical="center" wrapText="1"/>
    </xf>
    <xf numFmtId="176" fontId="12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14" fillId="8" borderId="1" xfId="0" applyFont="1" applyFill="1" applyBorder="1">
      <alignment vertical="center"/>
    </xf>
    <xf numFmtId="0" fontId="14" fillId="9" borderId="1" xfId="0" applyFont="1" applyFill="1" applyBorder="1">
      <alignment vertical="center"/>
    </xf>
    <xf numFmtId="0" fontId="14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0" fontId="12" fillId="7" borderId="0" xfId="0" applyFont="1" applyFill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2" fillId="0" borderId="1" xfId="0" applyNumberFormat="1" applyFont="1" applyBorder="1">
      <alignment vertical="center"/>
    </xf>
    <xf numFmtId="11" fontId="12" fillId="0" borderId="1" xfId="0" applyNumberFormat="1" applyFont="1" applyBorder="1">
      <alignment vertical="center"/>
    </xf>
    <xf numFmtId="176" fontId="9" fillId="3" borderId="1" xfId="0" applyNumberFormat="1" applyFont="1" applyFill="1" applyBorder="1">
      <alignment vertical="center"/>
    </xf>
    <xf numFmtId="0" fontId="11" fillId="7" borderId="0" xfId="0" applyFont="1" applyFill="1" applyProtection="1">
      <alignment vertical="center"/>
    </xf>
    <xf numFmtId="0" fontId="12" fillId="7" borderId="0" xfId="0" applyFont="1" applyFill="1" applyProtection="1">
      <alignment vertical="center"/>
      <protection locked="0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80" fontId="12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0" fillId="0" borderId="1" xfId="0" applyNumberFormat="1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10" borderId="0" xfId="0" applyFont="1" applyFill="1">
      <alignment vertical="center"/>
    </xf>
    <xf numFmtId="0" fontId="11" fillId="0" borderId="1" xfId="0" applyNumberFormat="1" applyFont="1" applyFill="1" applyBorder="1">
      <alignment vertical="center"/>
    </xf>
    <xf numFmtId="0" fontId="16" fillId="7" borderId="0" xfId="0" applyFont="1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9" fillId="7" borderId="0" xfId="0" applyFont="1" applyFill="1">
      <alignment vertical="center"/>
    </xf>
    <xf numFmtId="0" fontId="9" fillId="7" borderId="0" xfId="0" applyFont="1" applyFill="1" applyProtection="1">
      <alignment vertical="center"/>
    </xf>
    <xf numFmtId="0" fontId="14" fillId="0" borderId="0" xfId="0" applyFont="1" applyProtection="1">
      <alignment vertical="center"/>
    </xf>
    <xf numFmtId="0" fontId="4" fillId="0" borderId="0" xfId="0" applyFont="1" applyProtection="1">
      <alignment vertical="center"/>
    </xf>
    <xf numFmtId="0" fontId="13" fillId="0" borderId="0" xfId="0" applyFont="1" applyProtection="1">
      <alignment vertical="center"/>
    </xf>
    <xf numFmtId="0" fontId="5" fillId="0" borderId="0" xfId="0" applyFont="1" applyProtection="1">
      <alignment vertical="center"/>
    </xf>
    <xf numFmtId="0" fontId="5" fillId="2" borderId="1" xfId="0" applyFont="1" applyFill="1" applyBorder="1">
      <alignment vertical="center"/>
    </xf>
    <xf numFmtId="0" fontId="9" fillId="6" borderId="4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 applyProtection="1">
      <alignment horizontal="center" vertical="center"/>
      <protection locked="0"/>
    </xf>
    <xf numFmtId="0" fontId="9" fillId="7" borderId="4" xfId="0" applyNumberFormat="1" applyFont="1" applyFill="1" applyBorder="1" applyAlignment="1" applyProtection="1">
      <alignment horizontal="center" vertical="center"/>
      <protection locked="0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alignment horizontal="left" readingOrder="0"/>
    </dxf>
    <dxf>
      <numFmt numFmtId="176" formatCode="#,##0.00_ "/>
    </dxf>
    <dxf>
      <numFmt numFmtId="176" formatCode="#,##0.00_ "/>
    </dxf>
    <dxf>
      <numFmt numFmtId="176" formatCode="#,##0.00_ "/>
    </dxf>
    <dxf>
      <numFmt numFmtId="176" formatCode="#,##0.00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14</xdr:row>
      <xdr:rowOff>171450</xdr:rowOff>
    </xdr:from>
    <xdr:to>
      <xdr:col>14</xdr:col>
      <xdr:colOff>1143000</xdr:colOff>
      <xdr:row>34</xdr:row>
      <xdr:rowOff>123825</xdr:rowOff>
    </xdr:to>
    <xdr:pic>
      <xdr:nvPicPr>
        <xdr:cNvPr id="20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3105150"/>
          <a:ext cx="11001375" cy="4143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10</xdr:col>
      <xdr:colOff>304800</xdr:colOff>
      <xdr:row>41</xdr:row>
      <xdr:rowOff>95250</xdr:rowOff>
    </xdr:to>
    <xdr:pic>
      <xdr:nvPicPr>
        <xdr:cNvPr id="205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5850" y="7334250"/>
          <a:ext cx="6934200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15</xdr:row>
      <xdr:rowOff>66675</xdr:rowOff>
    </xdr:from>
    <xdr:to>
      <xdr:col>14</xdr:col>
      <xdr:colOff>76200</xdr:colOff>
      <xdr:row>35</xdr:row>
      <xdr:rowOff>28575</xdr:rowOff>
    </xdr:to>
    <xdr:pic>
      <xdr:nvPicPr>
        <xdr:cNvPr id="10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50" y="4048125"/>
          <a:ext cx="10991850" cy="41529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0</xdr:row>
      <xdr:rowOff>57150</xdr:rowOff>
    </xdr:from>
    <xdr:to>
      <xdr:col>21</xdr:col>
      <xdr:colOff>95250</xdr:colOff>
      <xdr:row>11</xdr:row>
      <xdr:rowOff>47625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96125" y="57150"/>
          <a:ext cx="7181850" cy="2924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15</xdr:col>
      <xdr:colOff>180975</xdr:colOff>
      <xdr:row>26</xdr:row>
      <xdr:rowOff>190500</xdr:rowOff>
    </xdr:to>
    <xdr:pic>
      <xdr:nvPicPr>
        <xdr:cNvPr id="10241" name="图片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514600"/>
          <a:ext cx="6343650" cy="3124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26</xdr:row>
      <xdr:rowOff>123825</xdr:rowOff>
    </xdr:from>
    <xdr:to>
      <xdr:col>13</xdr:col>
      <xdr:colOff>304800</xdr:colOff>
      <xdr:row>39</xdr:row>
      <xdr:rowOff>190500</xdr:rowOff>
    </xdr:to>
    <xdr:pic>
      <xdr:nvPicPr>
        <xdr:cNvPr id="1024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5572125"/>
          <a:ext cx="5514975" cy="279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y" refreshedDate="40990.992658796298" createdVersion="3" refreshedVersion="3" minRefreshableVersion="3" recordCount="21">
  <cacheSource type="worksheet">
    <worksheetSource ref="A3:E24" sheet="Ref_DB"/>
  </cacheSource>
  <cacheFields count="5">
    <cacheField name="Ref Input Freq (MHz)" numFmtId="0">
      <sharedItems containsMixedTypes="1" containsNumber="1" containsInteger="1" minValue="10" maxValue="200" count="7">
        <s v="&lt;10"/>
        <n v="10"/>
        <n v="25"/>
        <n v="50"/>
        <n v="100"/>
        <n v="150"/>
        <n v="200"/>
      </sharedItems>
    </cacheField>
    <cacheField name="Waveform (MHz)" numFmtId="0">
      <sharedItems count="4">
        <s v="Square"/>
        <s v="Sin Wave input (50R)"/>
        <s v="Sin Wave input (100R)"/>
        <s v="s" u="1"/>
      </sharedItems>
    </cacheField>
    <cacheField name="Recommended" numFmtId="0">
      <sharedItems containsBlank="1"/>
    </cacheField>
    <cacheField name="Min" numFmtId="0">
      <sharedItems containsString="0" containsBlank="1" containsNumber="1" minValue="0.2233417960754816" maxValue="1.2"/>
    </cacheField>
    <cacheField name="Max" numFmtId="0">
      <sharedItems containsString="0" containsBlank="1" containsNumber="1" minValue="0.3971641173621408" maxValue="2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s v="YES"/>
    <n v="0.6"/>
    <n v="2.5"/>
  </r>
  <r>
    <x v="1"/>
    <x v="0"/>
    <s v="YES"/>
    <n v="0.6"/>
    <n v="2.5"/>
  </r>
  <r>
    <x v="2"/>
    <x v="0"/>
    <s v="YES"/>
    <n v="0.6"/>
    <n v="2.5"/>
  </r>
  <r>
    <x v="3"/>
    <x v="0"/>
    <s v="YES"/>
    <n v="0.6"/>
    <n v="2.5"/>
  </r>
  <r>
    <x v="4"/>
    <x v="0"/>
    <s v="YES"/>
    <n v="0.6"/>
    <n v="2.5"/>
  </r>
  <r>
    <x v="5"/>
    <x v="0"/>
    <s v="ok"/>
    <n v="0.9"/>
    <n v="2.5"/>
  </r>
  <r>
    <x v="6"/>
    <x v="0"/>
    <s v="ok"/>
    <n v="1.2"/>
    <n v="2.5"/>
  </r>
  <r>
    <x v="0"/>
    <x v="1"/>
    <m/>
    <m/>
    <m/>
  </r>
  <r>
    <x v="1"/>
    <x v="1"/>
    <m/>
    <m/>
    <m/>
  </r>
  <r>
    <x v="2"/>
    <x v="1"/>
    <s v="ok"/>
    <n v="0.3971641173621408"/>
    <n v="0.88913970501946171"/>
  </r>
  <r>
    <x v="3"/>
    <x v="1"/>
    <s v="YES"/>
    <n v="0.31547867224009668"/>
    <n v="0.88913970501946171"/>
  </r>
  <r>
    <x v="4"/>
    <x v="1"/>
    <s v="YES"/>
    <n v="0.28117066259517454"/>
    <n v="0.88913970501946171"/>
  </r>
  <r>
    <x v="5"/>
    <x v="1"/>
    <s v="YES"/>
    <n v="0.25059361681363618"/>
    <n v="0.62946270589708364"/>
  </r>
  <r>
    <x v="6"/>
    <x v="1"/>
    <s v="YES"/>
    <n v="0.2233417960754816"/>
    <n v="0.3971641173621408"/>
  </r>
  <r>
    <x v="0"/>
    <x v="2"/>
    <m/>
    <m/>
    <m/>
  </r>
  <r>
    <x v="1"/>
    <x v="2"/>
    <m/>
    <m/>
    <m/>
  </r>
  <r>
    <x v="2"/>
    <x v="2"/>
    <s v="ok"/>
    <n v="0.56167488126147924"/>
    <n v="1.2574334296829357"/>
  </r>
  <r>
    <x v="3"/>
    <x v="2"/>
    <s v="YES"/>
    <n v="0.44615421692140111"/>
    <n v="1.2574334296829357"/>
  </r>
  <r>
    <x v="4"/>
    <x v="2"/>
    <s v="YES"/>
    <n v="0.39763536438352537"/>
    <n v="1.2574334296829357"/>
  </r>
  <r>
    <x v="5"/>
    <x v="2"/>
    <s v="YES"/>
    <n v="0.35439289154197079"/>
    <n v="0.89019469568772258"/>
  </r>
  <r>
    <x v="6"/>
    <x v="2"/>
    <s v="YES"/>
    <n v="0.31585299705471215"/>
    <n v="0.5616748812614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!Error" showError="1" missingCaption="N/A" updatedVersion="3" minRefreshableVersion="3" showCalcMbrs="0" showDrill="0" useAutoFormatting="1" rowGrandTotals="0" colGrandTotals="0" itemPrintTitles="1" createdVersion="3" indent="0" outline="1" outlineData="1" multipleFieldFilters="0" rowHeaderCaption="Ref In (MHz)">
  <location ref="A3:C28" firstHeaderRow="1" firstDataRow="2" firstDataCol="1"/>
  <pivotFields count="5">
    <pivotField axis="axisRow" showAll="0" sortType="ascending" defaultSubtotal="0">
      <items count="7">
        <item x="1"/>
        <item x="2"/>
        <item x="3"/>
        <item x="4"/>
        <item x="5"/>
        <item x="6"/>
        <item x="0"/>
      </items>
    </pivotField>
    <pivotField axis="axisRow" showAll="0" defaultSubtotal="0">
      <items count="4">
        <item m="1" x="3"/>
        <item x="2"/>
        <item x="1"/>
        <item x="0"/>
      </items>
    </pivotField>
    <pivotField showAll="0" defaultSubtotal="0"/>
    <pivotField dataField="1" showAll="0" defaultSubtotal="0"/>
    <pivotField dataField="1" showAll="0" defaultSubtotal="0"/>
  </pivotFields>
  <rowFields count="2">
    <field x="1"/>
    <field x="0"/>
  </rowFields>
  <rowItems count="2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Vpp_Min (V)" fld="3" baseField="0" baseItem="0"/>
    <dataField name="Vpp_Max (V)" fld="4" baseField="0" baseItem="0"/>
  </dataFields>
  <formats count="5">
    <format dxfId="4">
      <pivotArea outline="0" collapsedLevelsAreSubtotals="1" fieldPosition="0"/>
    </format>
    <format dxfId="3">
      <pivotArea field="-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type="all" dataOnly="0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"/>
  <sheetViews>
    <sheetView zoomScale="85" zoomScaleNormal="85" workbookViewId="0">
      <pane xSplit="4" ySplit="6" topLeftCell="E7" activePane="bottomRight" state="frozen"/>
      <selection pane="topRight" activeCell="F1" sqref="F1"/>
      <selection pane="bottomLeft" activeCell="A5" sqref="A5"/>
      <selection pane="bottomRight" activeCell="I5" sqref="I5"/>
    </sheetView>
  </sheetViews>
  <sheetFormatPr defaultRowHeight="16.5"/>
  <cols>
    <col min="1" max="1" width="14.25" style="52" bestFit="1" customWidth="1"/>
    <col min="2" max="2" width="10.125" style="52" bestFit="1" customWidth="1"/>
    <col min="3" max="3" width="9.25" style="51" bestFit="1" customWidth="1"/>
    <col min="4" max="4" width="7.5" style="52" bestFit="1" customWidth="1"/>
    <col min="5" max="5" width="10.75" style="61" bestFit="1" customWidth="1"/>
    <col min="6" max="6" width="9.25" style="61" customWidth="1"/>
    <col min="7" max="7" width="12.25" style="61" bestFit="1" customWidth="1"/>
    <col min="8" max="8" width="10.75" style="61" customWidth="1"/>
    <col min="9" max="9" width="5.25" style="61" bestFit="1" customWidth="1"/>
    <col min="10" max="10" width="13.5" style="61" bestFit="1" customWidth="1"/>
    <col min="11" max="11" width="12.75" style="61" bestFit="1" customWidth="1"/>
    <col min="12" max="12" width="7.5" style="58" bestFit="1" customWidth="1"/>
    <col min="13" max="13" width="8.875" style="58" bestFit="1" customWidth="1"/>
    <col min="14" max="14" width="9" style="58" bestFit="1"/>
    <col min="15" max="15" width="8.75" style="58" bestFit="1" customWidth="1"/>
    <col min="16" max="16" width="6" style="58" bestFit="1" customWidth="1"/>
    <col min="17" max="17" width="10.125" style="58" bestFit="1" customWidth="1"/>
    <col min="18" max="18" width="4.25" style="58" bestFit="1" customWidth="1"/>
    <col min="19" max="19" width="4.875" style="58" bestFit="1" customWidth="1"/>
    <col min="20" max="20" width="4.125" style="58" bestFit="1" customWidth="1"/>
    <col min="21" max="21" width="4.375" style="58" bestFit="1" customWidth="1"/>
    <col min="22" max="22" width="4" style="58" bestFit="1" customWidth="1"/>
    <col min="23" max="23" width="9.625" style="58" bestFit="1" customWidth="1"/>
    <col min="24" max="16384" width="9" style="39"/>
  </cols>
  <sheetData>
    <row r="1" spans="1:23">
      <c r="A1" s="70" t="s">
        <v>185</v>
      </c>
    </row>
    <row r="2" spans="1:23">
      <c r="A2" s="52" t="s">
        <v>182</v>
      </c>
    </row>
    <row r="3" spans="1:23">
      <c r="A3" s="69" t="s">
        <v>183</v>
      </c>
      <c r="C3" s="52"/>
      <c r="D3" s="51"/>
    </row>
    <row r="4" spans="1:23">
      <c r="A4" s="68" t="s">
        <v>184</v>
      </c>
      <c r="C4" s="52"/>
      <c r="D4" s="51"/>
    </row>
    <row r="5" spans="1:23" s="46" customFormat="1" ht="33">
      <c r="A5" s="53"/>
      <c r="B5" s="53" t="s">
        <v>130</v>
      </c>
      <c r="C5" s="54" t="s">
        <v>129</v>
      </c>
      <c r="D5" s="53" t="s">
        <v>12</v>
      </c>
      <c r="E5" s="63"/>
      <c r="F5" s="63"/>
      <c r="G5" s="63"/>
      <c r="H5" s="63"/>
      <c r="I5" s="64" t="s">
        <v>100</v>
      </c>
      <c r="J5" s="63"/>
      <c r="K5" s="63"/>
      <c r="L5" s="42" t="s">
        <v>10</v>
      </c>
      <c r="M5" s="42" t="s">
        <v>11</v>
      </c>
      <c r="N5" s="42" t="s">
        <v>150</v>
      </c>
      <c r="O5" s="42" t="s">
        <v>148</v>
      </c>
      <c r="P5" s="42" t="s">
        <v>152</v>
      </c>
      <c r="Q5" s="42" t="s">
        <v>149</v>
      </c>
      <c r="R5" s="42" t="s">
        <v>156</v>
      </c>
      <c r="S5" s="42" t="s">
        <v>162</v>
      </c>
      <c r="T5" s="42" t="s">
        <v>163</v>
      </c>
      <c r="U5" s="42" t="s">
        <v>157</v>
      </c>
      <c r="V5" s="42" t="s">
        <v>158</v>
      </c>
      <c r="W5" s="42" t="s">
        <v>159</v>
      </c>
    </row>
    <row r="6" spans="1:23" s="47" customFormat="1" ht="33">
      <c r="A6" s="55" t="s">
        <v>101</v>
      </c>
      <c r="B6" s="56" t="s">
        <v>0</v>
      </c>
      <c r="C6" s="56" t="s">
        <v>3</v>
      </c>
      <c r="D6" s="56" t="s">
        <v>1</v>
      </c>
      <c r="E6" s="66" t="s">
        <v>2</v>
      </c>
      <c r="F6" s="66" t="s">
        <v>123</v>
      </c>
      <c r="G6" s="66" t="s">
        <v>117</v>
      </c>
      <c r="H6" s="66" t="s">
        <v>118</v>
      </c>
      <c r="I6" s="66" t="s">
        <v>5</v>
      </c>
      <c r="J6" s="66" t="s">
        <v>6</v>
      </c>
      <c r="K6" s="66" t="s">
        <v>7</v>
      </c>
      <c r="L6" s="45" t="s">
        <v>8</v>
      </c>
      <c r="M6" s="45" t="s">
        <v>9</v>
      </c>
      <c r="N6" s="45"/>
      <c r="O6" s="45"/>
      <c r="P6" s="45"/>
      <c r="Q6" s="45"/>
      <c r="R6" s="45"/>
      <c r="S6" s="45"/>
      <c r="T6" s="45"/>
      <c r="U6" s="45"/>
      <c r="V6" s="45"/>
      <c r="W6" s="45" t="s">
        <v>161</v>
      </c>
    </row>
    <row r="7" spans="1:23" s="50" customFormat="1">
      <c r="A7" s="57" t="s">
        <v>147</v>
      </c>
      <c r="B7" s="57">
        <v>50</v>
      </c>
      <c r="C7" s="57">
        <v>7810</v>
      </c>
      <c r="D7" s="57">
        <v>1</v>
      </c>
      <c r="E7" s="67">
        <f>B7/D7</f>
        <v>50</v>
      </c>
      <c r="F7" s="67">
        <f ca="1">VLOOKUP(A7,Auto_Cal,5,FALSE)</f>
        <v>7300</v>
      </c>
      <c r="G7" s="67">
        <f ca="1">VLOOKUP(A7,Auto_Cal,7,FALSE)</f>
        <v>7750</v>
      </c>
      <c r="H7" s="67">
        <f ca="1">VLOOKUP(A7,Auto_Cal,6,FALSE)</f>
        <v>8200</v>
      </c>
      <c r="I7" s="67">
        <f>IF(C7&lt;F7,0.5,IF(C7&gt;H7,2,1))</f>
        <v>1</v>
      </c>
      <c r="J7" s="67">
        <f>C7/I7</f>
        <v>7810</v>
      </c>
      <c r="K7" s="67">
        <f>J7/E7/2</f>
        <v>78.099999999999994</v>
      </c>
      <c r="L7" s="48" t="e">
        <f ca="1">DEC2HEX(INT(K7))&amp;"H"</f>
        <v>#NAME?</v>
      </c>
      <c r="M7" s="49" t="e">
        <f ca="1">LEFT(DEC2HEX((K7-INT(K7))*2^24),6)&amp;"H"</f>
        <v>#NAME?</v>
      </c>
      <c r="N7" s="49" t="s">
        <v>151</v>
      </c>
      <c r="O7" s="49" t="e">
        <f ca="1">IF(M7=0,"703387H","702F87H")</f>
        <v>#NAME?</v>
      </c>
      <c r="P7" s="49" t="s">
        <v>153</v>
      </c>
      <c r="Q7" s="49" t="e">
        <f ca="1">IF(M7=0,"900000H","900300H")</f>
        <v>#NAME?</v>
      </c>
      <c r="R7" s="49" t="s">
        <v>154</v>
      </c>
      <c r="S7" s="49" t="s">
        <v>155</v>
      </c>
      <c r="T7" s="49" t="s">
        <v>154</v>
      </c>
      <c r="U7" s="49" t="s">
        <v>156</v>
      </c>
      <c r="V7" s="49">
        <v>0</v>
      </c>
      <c r="W7" s="49" t="s">
        <v>160</v>
      </c>
    </row>
    <row r="8" spans="1:23" s="50" customFormat="1">
      <c r="A8" s="57" t="s">
        <v>147</v>
      </c>
      <c r="B8" s="57">
        <v>26</v>
      </c>
      <c r="C8" s="57">
        <v>7810.1</v>
      </c>
      <c r="D8" s="57">
        <v>1</v>
      </c>
      <c r="E8" s="67">
        <f>B8/D8</f>
        <v>26</v>
      </c>
      <c r="F8" s="67">
        <f ca="1">VLOOKUP(A8,Auto_Cal,5,FALSE)</f>
        <v>7300</v>
      </c>
      <c r="G8" s="67">
        <f ca="1">VLOOKUP(A8,Auto_Cal,7,FALSE)</f>
        <v>7750</v>
      </c>
      <c r="H8" s="67">
        <f ca="1">VLOOKUP(A8,Auto_Cal,6,FALSE)</f>
        <v>8200</v>
      </c>
      <c r="I8" s="67">
        <f>IF(C8&lt;F8,0.5,IF(C8&gt;H8,2,1))</f>
        <v>1</v>
      </c>
      <c r="J8" s="67">
        <f>C8/I8</f>
        <v>7810.1</v>
      </c>
      <c r="K8" s="67">
        <f>J8/E8/2</f>
        <v>150.19423076923078</v>
      </c>
      <c r="L8" s="48" t="e">
        <f ca="1">DEC2HEX(INT(K8))&amp;"H"</f>
        <v>#NAME?</v>
      </c>
      <c r="M8" s="49" t="e">
        <f ca="1">LEFT(DEC2HEX((K8-INT(K8))*2^24),6)&amp;"H"</f>
        <v>#NAME?</v>
      </c>
      <c r="N8" s="49" t="s">
        <v>151</v>
      </c>
      <c r="O8" s="49" t="e">
        <f ca="1">IF(M8=0,"703387H","702F87H")</f>
        <v>#NAME?</v>
      </c>
      <c r="P8" s="49" t="s">
        <v>153</v>
      </c>
      <c r="Q8" s="49" t="e">
        <f ca="1">IF(M8=0,"900000H","900300H")</f>
        <v>#NAME?</v>
      </c>
      <c r="R8" s="49" t="s">
        <v>154</v>
      </c>
      <c r="S8" s="49" t="s">
        <v>155</v>
      </c>
      <c r="T8" s="49" t="s">
        <v>154</v>
      </c>
      <c r="U8" s="49" t="s">
        <v>156</v>
      </c>
      <c r="V8" s="49">
        <v>0</v>
      </c>
      <c r="W8" s="49" t="s">
        <v>160</v>
      </c>
    </row>
  </sheetData>
  <sheetProtection selectLockedCells="1"/>
  <protectedRanges>
    <protectedRange password="CC3D" sqref="E1:N65536" name="区域1"/>
  </protectedRanges>
  <autoFilter ref="A5:M7"/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F12" sqref="F12"/>
    </sheetView>
  </sheetViews>
  <sheetFormatPr defaultRowHeight="16.5"/>
  <cols>
    <col min="1" max="1" width="19.5" bestFit="1" customWidth="1"/>
    <col min="2" max="2" width="8.5" style="105" bestFit="1" customWidth="1"/>
  </cols>
  <sheetData>
    <row r="1" spans="1:2">
      <c r="A1" s="4" t="s">
        <v>224</v>
      </c>
      <c r="B1" s="126" t="s">
        <v>225</v>
      </c>
    </row>
    <row r="2" spans="1:2">
      <c r="A2" s="4" t="s">
        <v>222</v>
      </c>
      <c r="B2" s="127">
        <v>-100</v>
      </c>
    </row>
    <row r="3" spans="1:2">
      <c r="A3" s="4" t="s">
        <v>223</v>
      </c>
      <c r="B3" s="127">
        <v>100</v>
      </c>
    </row>
    <row r="4" spans="1:2">
      <c r="A4" s="4" t="s">
        <v>216</v>
      </c>
      <c r="B4" s="127">
        <v>100</v>
      </c>
    </row>
    <row r="5" spans="1:2">
      <c r="A5" s="4" t="s">
        <v>217</v>
      </c>
      <c r="B5" s="128">
        <f>ROUND(10*LOG(10^(-100/10)*B3*1000*3.14/B4^2),0)</f>
        <v>-85</v>
      </c>
    </row>
    <row r="6" spans="1:2">
      <c r="A6" s="4" t="s">
        <v>218</v>
      </c>
      <c r="B6" s="129">
        <f>10^(B5/20)</f>
        <v>5.6234132519034887E-5</v>
      </c>
    </row>
    <row r="7" spans="1:2">
      <c r="A7" s="4" t="s">
        <v>219</v>
      </c>
      <c r="B7" s="129">
        <f>B6*180/3.14</f>
        <v>3.2236126921739742E-3</v>
      </c>
    </row>
    <row r="8" spans="1:2">
      <c r="A8" s="4" t="s">
        <v>2</v>
      </c>
      <c r="B8" s="128">
        <v>50</v>
      </c>
    </row>
    <row r="9" spans="1:2">
      <c r="A9" s="4" t="s">
        <v>220</v>
      </c>
      <c r="B9" s="128">
        <f>1/B8*1000</f>
        <v>20</v>
      </c>
    </row>
    <row r="10" spans="1:2">
      <c r="A10" s="4" t="s">
        <v>221</v>
      </c>
      <c r="B10" s="130">
        <f>B9*B6/6.28*1000000</f>
        <v>179.08959400966523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selection activeCell="AH5" sqref="A1:AH5"/>
    </sheetView>
  </sheetViews>
  <sheetFormatPr defaultRowHeight="16.5"/>
  <cols>
    <col min="1" max="1" width="16.625" bestFit="1" customWidth="1"/>
    <col min="2" max="2" width="5.75" bestFit="1" customWidth="1"/>
    <col min="3" max="16" width="4.5" bestFit="1" customWidth="1"/>
    <col min="17" max="26" width="3.5" bestFit="1" customWidth="1"/>
    <col min="27" max="31" width="3.125" bestFit="1" customWidth="1"/>
    <col min="32" max="34" width="3.375" bestFit="1" customWidth="1"/>
    <col min="35" max="35" width="19.875" bestFit="1" customWidth="1"/>
  </cols>
  <sheetData>
    <row r="1" spans="1:35">
      <c r="A1" s="4"/>
      <c r="B1" s="4" t="s">
        <v>321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</row>
    <row r="2" spans="1:35">
      <c r="A2" s="4" t="s">
        <v>287</v>
      </c>
      <c r="B2" s="4" t="s">
        <v>320</v>
      </c>
      <c r="C2" s="4" t="s">
        <v>288</v>
      </c>
      <c r="D2" s="4" t="s">
        <v>289</v>
      </c>
      <c r="E2" s="4" t="s">
        <v>290</v>
      </c>
      <c r="F2" s="4" t="s">
        <v>291</v>
      </c>
      <c r="G2" s="4" t="s">
        <v>292</v>
      </c>
      <c r="H2" s="4" t="s">
        <v>293</v>
      </c>
      <c r="I2" s="4" t="s">
        <v>294</v>
      </c>
      <c r="J2" s="4" t="s">
        <v>295</v>
      </c>
      <c r="K2" s="4" t="s">
        <v>296</v>
      </c>
      <c r="L2" s="4" t="s">
        <v>297</v>
      </c>
      <c r="M2" s="4" t="s">
        <v>298</v>
      </c>
      <c r="N2" s="4" t="s">
        <v>299</v>
      </c>
      <c r="O2" s="4" t="s">
        <v>300</v>
      </c>
      <c r="P2" s="4" t="s">
        <v>301</v>
      </c>
      <c r="Q2" s="4" t="s">
        <v>302</v>
      </c>
      <c r="R2" s="4" t="s">
        <v>303</v>
      </c>
      <c r="S2" s="4" t="s">
        <v>304</v>
      </c>
      <c r="T2" s="4" t="s">
        <v>305</v>
      </c>
      <c r="U2" s="4" t="s">
        <v>306</v>
      </c>
      <c r="V2" s="4" t="s">
        <v>307</v>
      </c>
      <c r="W2" s="4" t="s">
        <v>308</v>
      </c>
      <c r="X2" s="4" t="s">
        <v>309</v>
      </c>
      <c r="Y2" s="4" t="s">
        <v>310</v>
      </c>
      <c r="Z2" s="4" t="s">
        <v>311</v>
      </c>
      <c r="AA2" s="4" t="s">
        <v>312</v>
      </c>
      <c r="AB2" s="4" t="s">
        <v>313</v>
      </c>
      <c r="AC2" s="4" t="s">
        <v>314</v>
      </c>
      <c r="AD2" s="4" t="s">
        <v>315</v>
      </c>
      <c r="AE2" s="4" t="s">
        <v>316</v>
      </c>
      <c r="AF2" s="4" t="s">
        <v>317</v>
      </c>
      <c r="AG2" s="4" t="s">
        <v>318</v>
      </c>
      <c r="AH2" s="4" t="s">
        <v>319</v>
      </c>
    </row>
    <row r="3" spans="1:35">
      <c r="A3" s="4" t="s">
        <v>287</v>
      </c>
      <c r="B3" s="4" t="s">
        <v>322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5">
      <c r="A4" s="4" t="s">
        <v>323</v>
      </c>
      <c r="B4" s="4" t="s">
        <v>320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317</v>
      </c>
      <c r="H4" s="4" t="s">
        <v>318</v>
      </c>
      <c r="I4" s="4" t="s">
        <v>319</v>
      </c>
      <c r="J4" s="4" t="s">
        <v>288</v>
      </c>
      <c r="K4" s="4" t="s">
        <v>289</v>
      </c>
      <c r="L4" s="4" t="s">
        <v>290</v>
      </c>
      <c r="M4" s="4" t="s">
        <v>291</v>
      </c>
      <c r="N4" s="4" t="s">
        <v>292</v>
      </c>
      <c r="O4" s="4" t="s">
        <v>293</v>
      </c>
      <c r="P4" s="4" t="s">
        <v>294</v>
      </c>
      <c r="Q4" s="4" t="s">
        <v>295</v>
      </c>
      <c r="R4" s="4" t="s">
        <v>296</v>
      </c>
      <c r="S4" s="4" t="s">
        <v>297</v>
      </c>
      <c r="T4" s="4" t="s">
        <v>298</v>
      </c>
      <c r="U4" s="4" t="s">
        <v>299</v>
      </c>
      <c r="V4" s="4" t="s">
        <v>300</v>
      </c>
      <c r="W4" s="4" t="s">
        <v>301</v>
      </c>
      <c r="X4" s="4" t="s">
        <v>302</v>
      </c>
      <c r="Y4" s="4" t="s">
        <v>303</v>
      </c>
      <c r="Z4" s="4" t="s">
        <v>304</v>
      </c>
      <c r="AA4" s="4" t="s">
        <v>305</v>
      </c>
      <c r="AB4" s="4" t="s">
        <v>306</v>
      </c>
      <c r="AC4" s="4" t="s">
        <v>307</v>
      </c>
      <c r="AD4" s="4" t="s">
        <v>308</v>
      </c>
      <c r="AE4" s="4" t="s">
        <v>309</v>
      </c>
      <c r="AF4" s="4" t="s">
        <v>310</v>
      </c>
      <c r="AG4" s="4" t="s">
        <v>311</v>
      </c>
      <c r="AH4" s="4" t="s">
        <v>328</v>
      </c>
    </row>
    <row r="5" spans="1:35">
      <c r="A5" s="4" t="s">
        <v>323</v>
      </c>
      <c r="B5" s="4" t="s">
        <v>322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7" spans="1:35">
      <c r="AI7" t="s">
        <v>344</v>
      </c>
    </row>
    <row r="8" spans="1:35">
      <c r="A8" t="s">
        <v>343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 t="s">
        <v>341</v>
      </c>
    </row>
    <row r="9" spans="1:35">
      <c r="A9" t="s">
        <v>342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</row>
    <row r="10" spans="1:35">
      <c r="A10" t="s">
        <v>342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E4"/>
  <sheetViews>
    <sheetView workbookViewId="0">
      <selection activeCell="F4" sqref="F4"/>
    </sheetView>
  </sheetViews>
  <sheetFormatPr defaultRowHeight="16.5"/>
  <cols>
    <col min="3" max="3" width="10" bestFit="1" customWidth="1"/>
  </cols>
  <sheetData>
    <row r="1" spans="1:5">
      <c r="A1" s="4" t="s">
        <v>332</v>
      </c>
      <c r="B1" s="4" t="s">
        <v>14</v>
      </c>
      <c r="C1" s="4" t="s">
        <v>335</v>
      </c>
      <c r="D1" s="4" t="s">
        <v>336</v>
      </c>
      <c r="E1" s="4" t="s">
        <v>334</v>
      </c>
    </row>
    <row r="2" spans="1:5" hidden="1">
      <c r="A2" t="s">
        <v>333</v>
      </c>
      <c r="B2">
        <f>BIN2DEC(E2)*20/1000</f>
        <v>1.22</v>
      </c>
      <c r="C2">
        <f>HEX2DEC(LEFT(DEC2HEX(HEX2DEC(A2)*2^3),2))*5</f>
        <v>175</v>
      </c>
      <c r="D2" t="str">
        <f>RIGHT(A2,2)</f>
        <v>3D</v>
      </c>
      <c r="E2" t="str">
        <f>RIGHT(HEX2BIN(D2),6)</f>
        <v>111101</v>
      </c>
    </row>
    <row r="3" spans="1:5">
      <c r="A3" s="4" t="s">
        <v>346</v>
      </c>
      <c r="B3" s="4">
        <f>BIN2DEC(E3)*20/1000</f>
        <v>1.26</v>
      </c>
      <c r="C3" s="4">
        <f>HEX2DEC(LEFT(DEC2HEX(HEX2DEC(A3)*2^3),2))*5</f>
        <v>845</v>
      </c>
      <c r="D3" s="4" t="str">
        <f>RIGHT(A3,2)</f>
        <v>ff</v>
      </c>
      <c r="E3" s="4" t="str">
        <f>RIGHT(HEX2BIN(D3),6)</f>
        <v>111111</v>
      </c>
    </row>
    <row r="4" spans="1:5">
      <c r="A4" s="4" t="s">
        <v>346</v>
      </c>
      <c r="B4" s="4">
        <f>BIN2DEC(E4)*20/1000</f>
        <v>1.26</v>
      </c>
      <c r="C4" s="4">
        <f>HEX2DEC(LEFT(DEC2HEX(HEX2DEC(A4)*2^3),2))*5</f>
        <v>845</v>
      </c>
      <c r="D4" s="4" t="str">
        <f>RIGHT(A4,2)</f>
        <v>ff</v>
      </c>
      <c r="E4" s="4" t="str">
        <f>RIGHT(HEX2BIN(D4),6)</f>
        <v>111111</v>
      </c>
    </row>
  </sheetData>
  <autoFilter ref="A1:E3">
    <filterColumn colId="0">
      <filters>
        <filter val="153fff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E8"/>
  <sheetViews>
    <sheetView workbookViewId="0">
      <selection activeCell="E6" sqref="E6"/>
    </sheetView>
  </sheetViews>
  <sheetFormatPr defaultRowHeight="16.5"/>
  <cols>
    <col min="2" max="2" width="10.25" bestFit="1" customWidth="1"/>
  </cols>
  <sheetData>
    <row r="4" spans="2:5">
      <c r="B4" t="s">
        <v>390</v>
      </c>
      <c r="C4" t="s">
        <v>391</v>
      </c>
      <c r="D4" t="s">
        <v>392</v>
      </c>
      <c r="E4" t="s">
        <v>393</v>
      </c>
    </row>
    <row r="5" spans="2:5">
      <c r="B5">
        <v>1500</v>
      </c>
      <c r="C5">
        <v>50</v>
      </c>
      <c r="D5">
        <v>2</v>
      </c>
      <c r="E5">
        <f>(2.5+4/(B5/1000))*C5*D5</f>
        <v>516.66666666666663</v>
      </c>
    </row>
    <row r="6" spans="2:5">
      <c r="B6">
        <v>3000</v>
      </c>
      <c r="C6">
        <v>50</v>
      </c>
      <c r="D6">
        <v>2</v>
      </c>
      <c r="E6">
        <f>(2.5+4/(B6/1000))*C6*D6</f>
        <v>383.33333333333331</v>
      </c>
    </row>
    <row r="7" spans="2:5">
      <c r="B7">
        <f>AVERAGE((B5:B6))</f>
        <v>2250</v>
      </c>
      <c r="C7">
        <v>50</v>
      </c>
      <c r="D7">
        <v>2</v>
      </c>
      <c r="E7">
        <f>(2.5+4/(B7/1000))*C7*D7</f>
        <v>427.77777777777777</v>
      </c>
    </row>
    <row r="8" spans="2:5">
      <c r="B8">
        <v>2438</v>
      </c>
      <c r="C8">
        <v>10</v>
      </c>
      <c r="D8">
        <v>2</v>
      </c>
      <c r="E8">
        <f>(2.5+4/(B8/1000))*C8*D8</f>
        <v>82.813781788351108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M20"/>
  <sheetViews>
    <sheetView zoomScale="85" zoomScaleNormal="85" workbookViewId="0">
      <pane xSplit="6" ySplit="6" topLeftCell="G8" activePane="bottomRight" state="frozen"/>
      <selection pane="topRight" activeCell="F1" sqref="F1"/>
      <selection pane="bottomLeft" activeCell="A5" sqref="A5"/>
      <selection pane="bottomRight" activeCell="A9" sqref="A9"/>
    </sheetView>
  </sheetViews>
  <sheetFormatPr defaultRowHeight="16.5"/>
  <cols>
    <col min="1" max="1" width="14.25" style="52" bestFit="1" customWidth="1"/>
    <col min="2" max="2" width="10.125" style="52" bestFit="1" customWidth="1"/>
    <col min="3" max="3" width="9.25" style="51" bestFit="1" customWidth="1"/>
    <col min="4" max="4" width="9.25" style="51" customWidth="1"/>
    <col min="5" max="5" width="10.125" style="52" bestFit="1" customWidth="1"/>
    <col min="6" max="6" width="5.25" style="52" bestFit="1" customWidth="1"/>
    <col min="7" max="7" width="10.75" style="61" bestFit="1" customWidth="1"/>
    <col min="8" max="8" width="9.25" style="61" customWidth="1"/>
    <col min="9" max="9" width="12.25" style="61" bestFit="1" customWidth="1"/>
    <col min="10" max="10" width="10.75" style="61" customWidth="1"/>
    <col min="11" max="11" width="5.375" style="61" customWidth="1"/>
    <col min="12" max="12" width="11.5" style="61" bestFit="1" customWidth="1"/>
    <col min="13" max="13" width="10.875" style="61" bestFit="1" customWidth="1"/>
    <col min="14" max="14" width="15.75" style="61" bestFit="1" customWidth="1"/>
    <col min="15" max="16" width="15.75" style="96" customWidth="1"/>
    <col min="17" max="17" width="11.875" style="62" customWidth="1"/>
    <col min="18" max="19" width="7.5" style="96" bestFit="1" customWidth="1"/>
    <col min="20" max="20" width="11.5" style="59" bestFit="1" customWidth="1"/>
    <col min="21" max="21" width="13.25" style="40" bestFit="1" customWidth="1"/>
    <col min="22" max="22" width="20.375" style="40" customWidth="1"/>
    <col min="23" max="23" width="20.125" style="39" bestFit="1" customWidth="1"/>
    <col min="24" max="24" width="13.5" style="39" bestFit="1" customWidth="1"/>
    <col min="25" max="26" width="13.75" style="39" bestFit="1" customWidth="1"/>
    <col min="27" max="27" width="12" style="39" bestFit="1" customWidth="1"/>
    <col min="28" max="28" width="12" style="39" customWidth="1"/>
    <col min="29" max="29" width="11.25" style="39" customWidth="1"/>
    <col min="30" max="30" width="7.375" style="39" bestFit="1" customWidth="1"/>
    <col min="31" max="31" width="5.5" bestFit="1" customWidth="1"/>
    <col min="32" max="32" width="8.75" style="107" bestFit="1" customWidth="1"/>
    <col min="33" max="33" width="8.75" style="107" customWidth="1"/>
    <col min="34" max="34" width="13.25" style="107" customWidth="1"/>
    <col min="35" max="36" width="8.75" style="106" customWidth="1"/>
    <col min="37" max="39" width="10.75" style="106" customWidth="1"/>
    <col min="40" max="16384" width="9" style="39"/>
  </cols>
  <sheetData>
    <row r="1" spans="1:39">
      <c r="A1" s="70" t="s">
        <v>185</v>
      </c>
      <c r="C1" s="131" t="s">
        <v>279</v>
      </c>
      <c r="D1" s="131"/>
      <c r="E1" s="131"/>
      <c r="F1" s="131"/>
      <c r="G1" s="132"/>
    </row>
    <row r="2" spans="1:39">
      <c r="A2" s="52" t="s">
        <v>182</v>
      </c>
      <c r="T2" s="100"/>
      <c r="U2" s="71"/>
      <c r="V2" s="101" t="s">
        <v>215</v>
      </c>
      <c r="W2" s="72"/>
      <c r="X2" s="72"/>
      <c r="Y2" s="72"/>
      <c r="Z2" s="72"/>
      <c r="AA2" s="72"/>
      <c r="AB2" s="72"/>
      <c r="AC2" s="72"/>
    </row>
    <row r="3" spans="1:39">
      <c r="A3" s="69" t="s">
        <v>183</v>
      </c>
      <c r="B3" s="39"/>
      <c r="C3" s="52"/>
      <c r="D3" s="52"/>
      <c r="F3" s="51"/>
      <c r="N3" s="62"/>
      <c r="T3" s="154" t="s">
        <v>187</v>
      </c>
      <c r="U3" s="154"/>
      <c r="V3" s="154"/>
      <c r="W3" s="154"/>
      <c r="X3" s="153" t="s">
        <v>167</v>
      </c>
      <c r="Y3" s="153"/>
      <c r="Z3" s="153"/>
      <c r="AA3" s="153"/>
      <c r="AB3" s="153"/>
      <c r="AC3" s="153"/>
    </row>
    <row r="4" spans="1:39">
      <c r="A4" s="68" t="s">
        <v>184</v>
      </c>
      <c r="C4" s="52"/>
      <c r="D4" s="52"/>
      <c r="F4" s="51"/>
      <c r="N4" s="62"/>
      <c r="T4" s="154" t="s">
        <v>196</v>
      </c>
      <c r="U4" s="154"/>
      <c r="V4" s="154"/>
      <c r="W4" s="154"/>
      <c r="X4" s="152" t="s">
        <v>30</v>
      </c>
      <c r="Y4" s="152"/>
      <c r="Z4" s="152"/>
      <c r="AA4" s="41" t="s">
        <v>28</v>
      </c>
      <c r="AB4" s="41" t="s">
        <v>29</v>
      </c>
      <c r="AC4" s="41" t="s">
        <v>29</v>
      </c>
      <c r="AE4" s="123" t="s">
        <v>268</v>
      </c>
      <c r="AF4" s="124"/>
      <c r="AG4" s="124"/>
      <c r="AH4" s="124"/>
      <c r="AI4" s="125"/>
      <c r="AJ4" s="125"/>
      <c r="AK4" s="125"/>
      <c r="AL4" s="125"/>
      <c r="AM4" s="125"/>
    </row>
    <row r="5" spans="1:39" s="46" customFormat="1" ht="66">
      <c r="A5" s="53"/>
      <c r="B5" s="53" t="s">
        <v>130</v>
      </c>
      <c r="C5" s="54" t="s">
        <v>129</v>
      </c>
      <c r="D5" s="54" t="s">
        <v>329</v>
      </c>
      <c r="E5" s="54" t="s">
        <v>131</v>
      </c>
      <c r="F5" s="53" t="s">
        <v>168</v>
      </c>
      <c r="G5" s="63"/>
      <c r="H5" s="63"/>
      <c r="I5" s="63"/>
      <c r="J5" s="63"/>
      <c r="K5" s="64" t="s">
        <v>213</v>
      </c>
      <c r="L5" s="63"/>
      <c r="M5" s="63"/>
      <c r="N5" s="65" t="s">
        <v>172</v>
      </c>
      <c r="O5" s="97" t="s">
        <v>338</v>
      </c>
      <c r="P5" s="65" t="s">
        <v>169</v>
      </c>
      <c r="Q5" s="65" t="s">
        <v>212</v>
      </c>
      <c r="R5" s="97" t="s">
        <v>205</v>
      </c>
      <c r="S5" s="97" t="s">
        <v>205</v>
      </c>
      <c r="T5" s="60" t="s">
        <v>202</v>
      </c>
      <c r="U5" s="44" t="s">
        <v>169</v>
      </c>
      <c r="V5" s="43" t="s">
        <v>286</v>
      </c>
      <c r="W5" s="44" t="s">
        <v>280</v>
      </c>
      <c r="X5" s="45" t="s">
        <v>102</v>
      </c>
      <c r="Y5" s="45" t="s">
        <v>98</v>
      </c>
      <c r="Z5" s="45" t="s">
        <v>96</v>
      </c>
      <c r="AA5" s="43" t="s">
        <v>165</v>
      </c>
      <c r="AB5" s="43" t="s">
        <v>110</v>
      </c>
      <c r="AC5" s="43" t="s">
        <v>111</v>
      </c>
      <c r="AD5" s="45" t="s">
        <v>128</v>
      </c>
      <c r="AE5" s="118" t="s">
        <v>233</v>
      </c>
      <c r="AF5" s="119"/>
      <c r="AG5" s="120" t="s">
        <v>234</v>
      </c>
      <c r="AH5" s="120"/>
      <c r="AI5" s="110"/>
      <c r="AJ5" s="110"/>
      <c r="AK5" s="110"/>
      <c r="AL5" s="110"/>
      <c r="AM5" s="110"/>
    </row>
    <row r="6" spans="1:39" s="79" customFormat="1" ht="33">
      <c r="A6" s="73" t="s">
        <v>101</v>
      </c>
      <c r="B6" s="74" t="s">
        <v>132</v>
      </c>
      <c r="C6" s="74" t="s">
        <v>133</v>
      </c>
      <c r="D6" s="74" t="s">
        <v>278</v>
      </c>
      <c r="E6" s="74" t="s">
        <v>134</v>
      </c>
      <c r="F6" s="74" t="s">
        <v>204</v>
      </c>
      <c r="G6" s="75" t="s">
        <v>173</v>
      </c>
      <c r="H6" s="75" t="s">
        <v>174</v>
      </c>
      <c r="I6" s="75" t="s">
        <v>175</v>
      </c>
      <c r="J6" s="75" t="s">
        <v>176</v>
      </c>
      <c r="K6" s="75" t="s">
        <v>177</v>
      </c>
      <c r="L6" s="75" t="s">
        <v>178</v>
      </c>
      <c r="M6" s="75" t="s">
        <v>179</v>
      </c>
      <c r="N6" s="75" t="s">
        <v>180</v>
      </c>
      <c r="O6" s="98" t="s">
        <v>339</v>
      </c>
      <c r="P6" s="75" t="s">
        <v>170</v>
      </c>
      <c r="Q6" s="75" t="s">
        <v>181</v>
      </c>
      <c r="R6" s="98" t="s">
        <v>210</v>
      </c>
      <c r="S6" s="98" t="s">
        <v>209</v>
      </c>
      <c r="T6" s="76" t="s">
        <v>171</v>
      </c>
      <c r="U6" s="77" t="s">
        <v>170</v>
      </c>
      <c r="V6" s="77" t="s">
        <v>201</v>
      </c>
      <c r="W6" s="77" t="s">
        <v>203</v>
      </c>
      <c r="X6" s="77" t="s">
        <v>104</v>
      </c>
      <c r="Y6" s="77" t="s">
        <v>99</v>
      </c>
      <c r="Z6" s="77" t="s">
        <v>97</v>
      </c>
      <c r="AA6" s="78" t="s">
        <v>105</v>
      </c>
      <c r="AB6" s="78" t="s">
        <v>113</v>
      </c>
      <c r="AC6" s="78" t="s">
        <v>112</v>
      </c>
      <c r="AD6" s="77"/>
      <c r="AE6" s="114" t="s">
        <v>228</v>
      </c>
      <c r="AF6" s="121" t="s">
        <v>231</v>
      </c>
      <c r="AG6" s="121" t="s">
        <v>236</v>
      </c>
      <c r="AH6" s="121" t="s">
        <v>277</v>
      </c>
      <c r="AI6" s="113" t="s">
        <v>235</v>
      </c>
      <c r="AJ6" s="113" t="s">
        <v>232</v>
      </c>
      <c r="AK6" s="113" t="s">
        <v>227</v>
      </c>
      <c r="AL6" s="113" t="s">
        <v>229</v>
      </c>
      <c r="AM6" s="113" t="s">
        <v>226</v>
      </c>
    </row>
    <row r="7" spans="1:39" s="90" customFormat="1" hidden="1">
      <c r="A7" s="80" t="s">
        <v>330</v>
      </c>
      <c r="B7" s="80">
        <v>61.44</v>
      </c>
      <c r="C7" s="80">
        <v>805.1</v>
      </c>
      <c r="D7" s="80">
        <v>100</v>
      </c>
      <c r="E7" s="80">
        <v>2</v>
      </c>
      <c r="F7" s="80">
        <v>1</v>
      </c>
      <c r="G7" s="81">
        <f t="shared" ref="G7:G14" si="0">B7/F7</f>
        <v>61.44</v>
      </c>
      <c r="H7" s="81">
        <f t="shared" ref="H7:H14" ca="1" si="1">VLOOKUP(A7,Auto_Cal,5,FALSE)</f>
        <v>1590</v>
      </c>
      <c r="I7" s="81">
        <f t="shared" ref="I7:I14" ca="1" si="2">VLOOKUP(A7,Auto_Cal,7,FALSE)</f>
        <v>1740</v>
      </c>
      <c r="J7" s="81">
        <f t="shared" ref="J7:J14" ca="1" si="3">VLOOKUP(A7,Auto_Cal,6,FALSE)</f>
        <v>1890</v>
      </c>
      <c r="K7" s="81">
        <f t="shared" ref="K7:K14" si="4">IF(C7&lt;H7,0.5,IF(C7&gt;J7,2,1))</f>
        <v>0.5</v>
      </c>
      <c r="L7" s="81">
        <f>IF(AND(C7/K7&gt;J7,C7/K7&lt;H7),"Freq over range!",C7/K7)</f>
        <v>1610.2</v>
      </c>
      <c r="M7" s="81">
        <f t="shared" ref="M7:M14" si="5">L7/G7</f>
        <v>26.207682291666668</v>
      </c>
      <c r="N7" s="82">
        <f>IF(((2.5+4/(I7/1000))*E7*G7)&gt;635,"error! Pls reduce CP setting!",(2.5+4/(I7/1000))*E7*G7)</f>
        <v>589.68275862068958</v>
      </c>
      <c r="O7" s="135">
        <f>IF(G7&gt;50,3,0)</f>
        <v>3</v>
      </c>
      <c r="P7" s="83" t="str">
        <f t="shared" ref="P7:P14" ca="1" si="6">VLOOKUP(A7,Reg06H,MATCH(AD7,Mode,0),FALSE)</f>
        <v>202F4Ah</v>
      </c>
      <c r="Q7" s="83">
        <f t="shared" ref="Q7:Q14" si="7">(N7/(E7*1000)*1/(G7/1000)*1.25*1/(G7/1000))^0.5</f>
        <v>9.8809344134379735</v>
      </c>
      <c r="R7" s="99" t="s">
        <v>211</v>
      </c>
      <c r="S7" s="99">
        <f t="shared" ref="S7:S14" ca="1" si="8">VLOOKUP(Q7,Reg07_dB,2,TRUE)+VLOOKUP(Q7,Reg07_dB,3,TRUE)*2^3</f>
        <v>17</v>
      </c>
      <c r="T7" s="84">
        <f>F7</f>
        <v>1</v>
      </c>
      <c r="U7" s="85" t="e">
        <f ca="1">DEC2HEX(HEX2DEC(LEFT(P7,6))+O7*2^16)&amp;"h"</f>
        <v>#NAME?</v>
      </c>
      <c r="V7" s="93" t="e">
        <f t="shared" ref="V7:V12" ca="1" si="9">DEC2HEX((INT(E7*1000/20))+INT((E7*1000/20))*2^7+INT(N7/5)*2^14+2*2^21)&amp;"h"</f>
        <v>#NAME?</v>
      </c>
      <c r="W7" s="86" t="e">
        <f t="shared" ref="W7:W14" ca="1" si="10">DEC2HEX(S7*2^7+HEX2DEC(R7))&amp;"h"</f>
        <v>#NAME?</v>
      </c>
      <c r="X7" s="87" t="str">
        <f ca="1">VLOOKUP(A7,VReg01,MATCH(AD7,Mode,0),FALSE)</f>
        <v>F80Dh</v>
      </c>
      <c r="Y7" s="84" t="str">
        <f t="shared" ref="Y7:Y14" ca="1" si="11">VLOOKUP(A7,VReg02,2,FALSE)</f>
        <v>AB95h</v>
      </c>
      <c r="Z7" s="86" t="str">
        <f t="shared" ref="Z7:Z14" ca="1" si="12">VLOOKUP(A7,VReg03,2,FALSE)</f>
        <v>D11Dh</v>
      </c>
      <c r="AA7" s="88" t="str">
        <f t="shared" ref="AA7:AA14" ca="1" si="13">VLOOKUP(A7,Auto_Cal,2,FALSE)</f>
        <v>05h</v>
      </c>
      <c r="AB7" s="89" t="e">
        <f ca="1">DEC2HEX(INT(M7))&amp;"h"</f>
        <v>#NAME?</v>
      </c>
      <c r="AC7" s="89" t="e">
        <f ca="1">LEFT(DEC2HEX((M7-INT(M7))*2^24),6)&amp;"h"</f>
        <v>#NAME?</v>
      </c>
      <c r="AD7" s="86" t="str">
        <f>IF(K7=0.5,"Div",IF(K7=1,"Fund",IF(K7=2,"Doubler","Error!")))</f>
        <v>Div</v>
      </c>
      <c r="AE7" s="4" t="e">
        <f ca="1">DEC2HEX(AM7/AK7)&amp;"h"</f>
        <v>#NAME?</v>
      </c>
      <c r="AF7" s="122" t="e">
        <f ca="1">DEC2HEX(CEILING(2^24*(L7-INT(M7)*G7)/G7,1))&amp;"h"</f>
        <v>#NAME?</v>
      </c>
      <c r="AG7" s="122" t="str">
        <f>DEC2HEX(AM7/AI7)&amp;"h"</f>
        <v>C00h</v>
      </c>
      <c r="AH7" s="122" t="e">
        <f ca="1">DEC2HEX(CEILING(2^24*(L7-INT(M7)*G7)/G7,1))&amp;"h"</f>
        <v>#NAME?</v>
      </c>
      <c r="AI7" s="111">
        <f>GCD(AJ7,AM7)</f>
        <v>20000</v>
      </c>
      <c r="AJ7" s="111">
        <f>D7*1000</f>
        <v>100000</v>
      </c>
      <c r="AK7" s="111" t="e">
        <f ca="1">GCD(AL7:AM7)</f>
        <v>#NAME?</v>
      </c>
      <c r="AL7" s="111">
        <f>L7*1000000</f>
        <v>1610200000</v>
      </c>
      <c r="AM7" s="111">
        <f>G7*1000000</f>
        <v>61440000</v>
      </c>
    </row>
    <row r="8" spans="1:39" s="95" customFormat="1">
      <c r="A8" s="91" t="s">
        <v>214</v>
      </c>
      <c r="B8" s="91">
        <v>12.8</v>
      </c>
      <c r="C8" s="91">
        <v>1880</v>
      </c>
      <c r="D8" s="80">
        <v>100</v>
      </c>
      <c r="E8" s="91">
        <v>2.54</v>
      </c>
      <c r="F8" s="80">
        <v>1</v>
      </c>
      <c r="G8" s="92">
        <f t="shared" si="0"/>
        <v>12.8</v>
      </c>
      <c r="H8" s="81">
        <f t="shared" ca="1" si="1"/>
        <v>1720</v>
      </c>
      <c r="I8" s="81">
        <f t="shared" ca="1" si="2"/>
        <v>1900</v>
      </c>
      <c r="J8" s="81">
        <f t="shared" ca="1" si="3"/>
        <v>2080</v>
      </c>
      <c r="K8" s="81">
        <f t="shared" si="4"/>
        <v>1</v>
      </c>
      <c r="L8" s="92">
        <f t="shared" ref="L8:L14" si="14">C8/K8</f>
        <v>1880</v>
      </c>
      <c r="M8" s="92">
        <f t="shared" si="5"/>
        <v>146.875</v>
      </c>
      <c r="N8" s="82">
        <f t="shared" ref="N8:N14" si="15">IF(((2.5+4/(I8/1000))*E8*G8)&gt;635,"error! Pls reduce CP setting!",(2.5+4/(I8/1000))*E8*G8)</f>
        <v>149.72631578947366</v>
      </c>
      <c r="O8" s="135">
        <f t="shared" ref="O8:O14" si="16">IF(G8&gt;50,3,0)</f>
        <v>0</v>
      </c>
      <c r="P8" s="83" t="str">
        <f t="shared" ca="1" si="6"/>
        <v>202F4Ah</v>
      </c>
      <c r="Q8" s="82">
        <f t="shared" si="7"/>
        <v>21.206902891821752</v>
      </c>
      <c r="R8" s="99" t="s">
        <v>211</v>
      </c>
      <c r="S8" s="99">
        <f t="shared" ca="1" si="8"/>
        <v>11</v>
      </c>
      <c r="T8" s="84">
        <f t="shared" ref="T8:T14" si="17">F8</f>
        <v>1</v>
      </c>
      <c r="U8" s="85" t="e">
        <f t="shared" ref="U8:U14" ca="1" si="18">DEC2HEX(HEX2DEC(LEFT(P8,6))+O8*2^16)&amp;"h"</f>
        <v>#NAME?</v>
      </c>
      <c r="V8" s="93" t="e">
        <f t="shared" ca="1" si="9"/>
        <v>#NAME?</v>
      </c>
      <c r="W8" s="86" t="e">
        <f t="shared" ca="1" si="10"/>
        <v>#NAME?</v>
      </c>
      <c r="X8" s="87" t="str">
        <f ca="1">VLOOKUP(A8,VReg01,MATCH(AD8,Mode,0),FALSE)</f>
        <v>E80Dh</v>
      </c>
      <c r="Y8" s="94" t="str">
        <f t="shared" ca="1" si="11"/>
        <v>AB95h</v>
      </c>
      <c r="Z8" s="93" t="str">
        <f t="shared" ca="1" si="12"/>
        <v>D11Dh</v>
      </c>
      <c r="AA8" s="89" t="str">
        <f t="shared" ca="1" si="13"/>
        <v>05h</v>
      </c>
      <c r="AB8" s="89" t="e">
        <f t="shared" ref="AB8:AB14" ca="1" si="19">DEC2HEX(INT(M8))&amp;"h"</f>
        <v>#NAME?</v>
      </c>
      <c r="AC8" s="89" t="e">
        <f t="shared" ref="AC8:AC14" ca="1" si="20">LEFT(DEC2HEX((M8-INT(M8))*2^24),6)&amp;"h"</f>
        <v>#NAME?</v>
      </c>
      <c r="AD8" s="93" t="str">
        <f t="shared" ref="AD8:AD14" si="21">IF(K8=0.5,"Div",IF(K8=1,"Fund",IF(K8=2,"Doubler","Error!")))</f>
        <v>Fund</v>
      </c>
      <c r="AE8" s="4" t="e">
        <f t="shared" ref="AE8:AE14" ca="1" si="22">DEC2HEX(AM8/AK8)&amp;"h"</f>
        <v>#NAME?</v>
      </c>
      <c r="AF8" s="122" t="e">
        <f t="shared" ref="AF8:AF14" ca="1" si="23">DEC2HEX(CEILING(2^24*(L8-INT(M8)*G8)/G8,1))&amp;"h"</f>
        <v>#NAME?</v>
      </c>
      <c r="AG8" s="122" t="str">
        <f t="shared" ref="AG8:AG14" si="24">DEC2HEX(AM8/AI8)&amp;"h"</f>
        <v>80h</v>
      </c>
      <c r="AH8" s="122" t="e">
        <f t="shared" ref="AH8:AH14" ca="1" si="25">DEC2HEX(CEILING(2^24*(L8-INT(M8)*G8)/G8,1))&amp;"h"</f>
        <v>#NAME?</v>
      </c>
      <c r="AI8" s="111">
        <f t="shared" ref="AI8:AI14" si="26">GCD(AJ8,AM8)</f>
        <v>100000</v>
      </c>
      <c r="AJ8" s="111">
        <f t="shared" ref="AJ8:AJ14" si="27">D8*1000</f>
        <v>100000</v>
      </c>
      <c r="AK8" s="111" t="e">
        <f t="shared" ref="AK8:AK14" ca="1" si="28">GCD(AL8:AM8)</f>
        <v>#NAME?</v>
      </c>
      <c r="AL8" s="111">
        <f t="shared" ref="AL8:AL14" si="29">L8*1000000</f>
        <v>1880000000</v>
      </c>
      <c r="AM8" s="111">
        <f t="shared" ref="AM8:AM14" si="30">G8*1000000</f>
        <v>12800000</v>
      </c>
    </row>
    <row r="9" spans="1:39" s="95" customFormat="1">
      <c r="A9" s="91" t="s">
        <v>345</v>
      </c>
      <c r="B9" s="91">
        <v>12.8</v>
      </c>
      <c r="C9" s="91">
        <v>1844.5</v>
      </c>
      <c r="D9" s="80">
        <v>100</v>
      </c>
      <c r="E9" s="91">
        <v>1.2</v>
      </c>
      <c r="F9" s="80">
        <v>1</v>
      </c>
      <c r="G9" s="92">
        <f t="shared" si="0"/>
        <v>12.8</v>
      </c>
      <c r="H9" s="81">
        <f t="shared" ca="1" si="1"/>
        <v>1720</v>
      </c>
      <c r="I9" s="81">
        <f t="shared" ca="1" si="2"/>
        <v>1900</v>
      </c>
      <c r="J9" s="81">
        <f t="shared" ca="1" si="3"/>
        <v>2080</v>
      </c>
      <c r="K9" s="81">
        <f t="shared" si="4"/>
        <v>1</v>
      </c>
      <c r="L9" s="92">
        <f t="shared" si="14"/>
        <v>1844.5</v>
      </c>
      <c r="M9" s="92">
        <f t="shared" si="5"/>
        <v>144.1015625</v>
      </c>
      <c r="N9" s="82">
        <f t="shared" si="15"/>
        <v>70.73684210526315</v>
      </c>
      <c r="O9" s="135">
        <f t="shared" si="16"/>
        <v>0</v>
      </c>
      <c r="P9" s="83" t="str">
        <f t="shared" ca="1" si="6"/>
        <v>202F4Ah</v>
      </c>
      <c r="Q9" s="82">
        <f t="shared" si="7"/>
        <v>21.206902891821752</v>
      </c>
      <c r="R9" s="99" t="s">
        <v>211</v>
      </c>
      <c r="S9" s="99">
        <f t="shared" ca="1" si="8"/>
        <v>11</v>
      </c>
      <c r="T9" s="84">
        <f t="shared" si="17"/>
        <v>1</v>
      </c>
      <c r="U9" s="85" t="e">
        <f t="shared" ca="1" si="18"/>
        <v>#NAME?</v>
      </c>
      <c r="V9" s="93" t="e">
        <f t="shared" ca="1" si="9"/>
        <v>#NAME?</v>
      </c>
      <c r="W9" s="86" t="e">
        <f t="shared" ca="1" si="10"/>
        <v>#NAME?</v>
      </c>
      <c r="X9" s="87" t="str">
        <f ca="1">VLOOKUP(A9,VReg01,MATCH(AD9,Mode,0),FALSE)</f>
        <v>E80Dh</v>
      </c>
      <c r="Y9" s="94" t="str">
        <f t="shared" ca="1" si="11"/>
        <v>AB95h</v>
      </c>
      <c r="Z9" s="93" t="str">
        <f t="shared" ca="1" si="12"/>
        <v>D11Dh</v>
      </c>
      <c r="AA9" s="89" t="str">
        <f t="shared" ca="1" si="13"/>
        <v>05h</v>
      </c>
      <c r="AB9" s="89" t="e">
        <f t="shared" ca="1" si="19"/>
        <v>#NAME?</v>
      </c>
      <c r="AC9" s="89" t="e">
        <f t="shared" ca="1" si="20"/>
        <v>#NAME?</v>
      </c>
      <c r="AD9" s="93" t="str">
        <f t="shared" si="21"/>
        <v>Fund</v>
      </c>
      <c r="AE9" s="4" t="e">
        <f t="shared" ca="1" si="22"/>
        <v>#NAME?</v>
      </c>
      <c r="AF9" s="122" t="e">
        <f t="shared" ca="1" si="23"/>
        <v>#NAME?</v>
      </c>
      <c r="AG9" s="122" t="str">
        <f t="shared" si="24"/>
        <v>80h</v>
      </c>
      <c r="AH9" s="122" t="e">
        <f t="shared" ca="1" si="25"/>
        <v>#NAME?</v>
      </c>
      <c r="AI9" s="111">
        <f t="shared" si="26"/>
        <v>100000</v>
      </c>
      <c r="AJ9" s="111">
        <f t="shared" si="27"/>
        <v>100000</v>
      </c>
      <c r="AK9" s="111" t="e">
        <f t="shared" ca="1" si="28"/>
        <v>#NAME?</v>
      </c>
      <c r="AL9" s="111">
        <f t="shared" si="29"/>
        <v>1844500000</v>
      </c>
      <c r="AM9" s="111">
        <f t="shared" si="30"/>
        <v>12800000</v>
      </c>
    </row>
    <row r="10" spans="1:39" s="95" customFormat="1" hidden="1">
      <c r="A10" s="91" t="s">
        <v>164</v>
      </c>
      <c r="B10" s="91">
        <v>30.72</v>
      </c>
      <c r="C10" s="91">
        <v>1775</v>
      </c>
      <c r="D10" s="80">
        <v>100</v>
      </c>
      <c r="E10" s="91">
        <v>2.54</v>
      </c>
      <c r="F10" s="80">
        <v>1</v>
      </c>
      <c r="G10" s="92">
        <f t="shared" si="0"/>
        <v>30.72</v>
      </c>
      <c r="H10" s="81">
        <f t="shared" ca="1" si="1"/>
        <v>1590</v>
      </c>
      <c r="I10" s="81">
        <f t="shared" ca="1" si="2"/>
        <v>1740</v>
      </c>
      <c r="J10" s="81">
        <f t="shared" ca="1" si="3"/>
        <v>1890</v>
      </c>
      <c r="K10" s="81">
        <f t="shared" si="4"/>
        <v>1</v>
      </c>
      <c r="L10" s="92">
        <f t="shared" si="14"/>
        <v>1775</v>
      </c>
      <c r="M10" s="92">
        <f t="shared" si="5"/>
        <v>57.779947916666671</v>
      </c>
      <c r="N10" s="82">
        <f t="shared" si="15"/>
        <v>374.44855172413787</v>
      </c>
      <c r="O10" s="135">
        <f t="shared" si="16"/>
        <v>0</v>
      </c>
      <c r="P10" s="83" t="str">
        <f t="shared" ca="1" si="6"/>
        <v>202F4Ah</v>
      </c>
      <c r="Q10" s="82">
        <f t="shared" si="7"/>
        <v>13.973751456403024</v>
      </c>
      <c r="R10" s="99" t="s">
        <v>211</v>
      </c>
      <c r="S10" s="99">
        <f t="shared" ca="1" si="8"/>
        <v>18</v>
      </c>
      <c r="T10" s="84">
        <f t="shared" si="17"/>
        <v>1</v>
      </c>
      <c r="U10" s="85" t="e">
        <f t="shared" ca="1" si="18"/>
        <v>#NAME?</v>
      </c>
      <c r="V10" s="93" t="e">
        <f t="shared" ca="1" si="9"/>
        <v>#NAME?</v>
      </c>
      <c r="W10" s="86" t="e">
        <f t="shared" ca="1" si="10"/>
        <v>#NAME?</v>
      </c>
      <c r="X10" s="87" t="str">
        <f ca="1">VLOOKUP(A10,VReg01,MATCH(AD10,Mode,0),FALSE)</f>
        <v>E80Dh</v>
      </c>
      <c r="Y10" s="94" t="str">
        <f t="shared" ca="1" si="11"/>
        <v>AB95h</v>
      </c>
      <c r="Z10" s="93" t="str">
        <f t="shared" ca="1" si="12"/>
        <v>D11Dh</v>
      </c>
      <c r="AA10" s="89" t="str">
        <f t="shared" ca="1" si="13"/>
        <v>05h</v>
      </c>
      <c r="AB10" s="89" t="e">
        <f t="shared" ca="1" si="19"/>
        <v>#NAME?</v>
      </c>
      <c r="AC10" s="89" t="e">
        <f t="shared" ca="1" si="20"/>
        <v>#NAME?</v>
      </c>
      <c r="AD10" s="93" t="str">
        <f t="shared" si="21"/>
        <v>Fund</v>
      </c>
      <c r="AE10" s="4" t="e">
        <f t="shared" ca="1" si="22"/>
        <v>#NAME?</v>
      </c>
      <c r="AF10" s="122" t="e">
        <f t="shared" ca="1" si="23"/>
        <v>#NAME?</v>
      </c>
      <c r="AG10" s="122" t="str">
        <f t="shared" si="24"/>
        <v>600h</v>
      </c>
      <c r="AH10" s="122" t="e">
        <f t="shared" ca="1" si="25"/>
        <v>#NAME?</v>
      </c>
      <c r="AI10" s="111">
        <f t="shared" si="26"/>
        <v>20000</v>
      </c>
      <c r="AJ10" s="111">
        <f t="shared" si="27"/>
        <v>100000</v>
      </c>
      <c r="AK10" s="111" t="e">
        <f t="shared" ca="1" si="28"/>
        <v>#NAME?</v>
      </c>
      <c r="AL10" s="111">
        <f t="shared" si="29"/>
        <v>1775000000</v>
      </c>
      <c r="AM10" s="111">
        <f t="shared" si="30"/>
        <v>30720000</v>
      </c>
    </row>
    <row r="11" spans="1:39" s="95" customFormat="1">
      <c r="A11" s="91" t="s">
        <v>331</v>
      </c>
      <c r="B11" s="91">
        <v>122.88</v>
      </c>
      <c r="C11" s="91">
        <v>1098.5999999999999</v>
      </c>
      <c r="D11" s="80">
        <v>100</v>
      </c>
      <c r="E11" s="91">
        <v>1.2</v>
      </c>
      <c r="F11" s="80">
        <v>2</v>
      </c>
      <c r="G11" s="92">
        <f t="shared" si="0"/>
        <v>61.44</v>
      </c>
      <c r="H11" s="81">
        <f t="shared" ca="1" si="1"/>
        <v>1720</v>
      </c>
      <c r="I11" s="81">
        <f t="shared" ca="1" si="2"/>
        <v>1900</v>
      </c>
      <c r="J11" s="81">
        <f t="shared" ca="1" si="3"/>
        <v>2080</v>
      </c>
      <c r="K11" s="81">
        <f t="shared" si="4"/>
        <v>0.5</v>
      </c>
      <c r="L11" s="92">
        <f t="shared" si="14"/>
        <v>2197.1999999999998</v>
      </c>
      <c r="M11" s="92">
        <f t="shared" si="5"/>
        <v>35.76171875</v>
      </c>
      <c r="N11" s="82">
        <f t="shared" si="15"/>
        <v>339.53684210526308</v>
      </c>
      <c r="O11" s="135">
        <f t="shared" si="16"/>
        <v>3</v>
      </c>
      <c r="P11" s="83" t="str">
        <f t="shared" ca="1" si="6"/>
        <v>202F4Ah</v>
      </c>
      <c r="Q11" s="82">
        <f t="shared" si="7"/>
        <v>9.6795825738935957</v>
      </c>
      <c r="R11" s="99" t="s">
        <v>211</v>
      </c>
      <c r="S11" s="99">
        <f t="shared" ca="1" si="8"/>
        <v>17</v>
      </c>
      <c r="T11" s="84">
        <f t="shared" si="17"/>
        <v>2</v>
      </c>
      <c r="U11" s="85" t="e">
        <f t="shared" ca="1" si="18"/>
        <v>#NAME?</v>
      </c>
      <c r="V11" s="93" t="e">
        <f t="shared" ca="1" si="9"/>
        <v>#NAME?</v>
      </c>
      <c r="W11" s="86" t="e">
        <f t="shared" ca="1" si="10"/>
        <v>#NAME?</v>
      </c>
      <c r="X11" s="87" t="str">
        <f ca="1">VLOOKUP(A11,VReg01,MATCH(AD11,Mode,0),FALSE)</f>
        <v>F80Dh</v>
      </c>
      <c r="Y11" s="94" t="str">
        <f t="shared" ca="1" si="11"/>
        <v>AB95h</v>
      </c>
      <c r="Z11" s="93" t="str">
        <f t="shared" ca="1" si="12"/>
        <v>D11Dh</v>
      </c>
      <c r="AA11" s="89" t="str">
        <f t="shared" ca="1" si="13"/>
        <v>05h</v>
      </c>
      <c r="AB11" s="89" t="e">
        <f t="shared" ca="1" si="19"/>
        <v>#NAME?</v>
      </c>
      <c r="AC11" s="89" t="e">
        <f t="shared" ca="1" si="20"/>
        <v>#NAME?</v>
      </c>
      <c r="AD11" s="93" t="str">
        <f t="shared" si="21"/>
        <v>Div</v>
      </c>
      <c r="AE11" s="4" t="e">
        <f t="shared" ca="1" si="22"/>
        <v>#NAME?</v>
      </c>
      <c r="AF11" s="122" t="e">
        <f t="shared" ca="1" si="23"/>
        <v>#NAME?</v>
      </c>
      <c r="AG11" s="122" t="str">
        <f t="shared" si="24"/>
        <v>C00h</v>
      </c>
      <c r="AH11" s="122" t="e">
        <f t="shared" ca="1" si="25"/>
        <v>#NAME?</v>
      </c>
      <c r="AI11" s="111">
        <f t="shared" si="26"/>
        <v>20000</v>
      </c>
      <c r="AJ11" s="111">
        <f t="shared" si="27"/>
        <v>100000</v>
      </c>
      <c r="AK11" s="111" t="e">
        <f t="shared" ca="1" si="28"/>
        <v>#NAME?</v>
      </c>
      <c r="AL11" s="111">
        <f t="shared" si="29"/>
        <v>2197200000</v>
      </c>
      <c r="AM11" s="111">
        <f t="shared" si="30"/>
        <v>61440000</v>
      </c>
    </row>
    <row r="12" spans="1:39" s="95" customFormat="1" hidden="1">
      <c r="A12" s="91" t="s">
        <v>166</v>
      </c>
      <c r="B12" s="91">
        <v>12.8</v>
      </c>
      <c r="C12" s="91">
        <v>751</v>
      </c>
      <c r="D12" s="80">
        <v>100</v>
      </c>
      <c r="E12" s="91">
        <v>2</v>
      </c>
      <c r="F12" s="80">
        <v>1</v>
      </c>
      <c r="G12" s="92">
        <f t="shared" si="0"/>
        <v>12.8</v>
      </c>
      <c r="H12" s="81">
        <f t="shared" ca="1" si="1"/>
        <v>1330</v>
      </c>
      <c r="I12" s="81">
        <f t="shared" ca="1" si="2"/>
        <v>1490</v>
      </c>
      <c r="J12" s="81">
        <f t="shared" ca="1" si="3"/>
        <v>1650</v>
      </c>
      <c r="K12" s="81">
        <f t="shared" si="4"/>
        <v>0.5</v>
      </c>
      <c r="L12" s="92">
        <f t="shared" si="14"/>
        <v>1502</v>
      </c>
      <c r="M12" s="92">
        <f t="shared" si="5"/>
        <v>117.34375</v>
      </c>
      <c r="N12" s="82">
        <f t="shared" si="15"/>
        <v>132.72483221476509</v>
      </c>
      <c r="O12" s="135">
        <f t="shared" si="16"/>
        <v>0</v>
      </c>
      <c r="P12" s="83" t="str">
        <f t="shared" ca="1" si="6"/>
        <v>202F4Ah</v>
      </c>
      <c r="Q12" s="82">
        <f t="shared" si="7"/>
        <v>22.501223400744262</v>
      </c>
      <c r="R12" s="99" t="s">
        <v>211</v>
      </c>
      <c r="S12" s="99">
        <f t="shared" ca="1" si="8"/>
        <v>19</v>
      </c>
      <c r="T12" s="84">
        <f t="shared" si="17"/>
        <v>1</v>
      </c>
      <c r="U12" s="85" t="e">
        <f t="shared" ca="1" si="18"/>
        <v>#NAME?</v>
      </c>
      <c r="V12" s="93" t="e">
        <f t="shared" ca="1" si="9"/>
        <v>#NAME?</v>
      </c>
      <c r="W12" s="86" t="e">
        <f t="shared" ca="1" si="10"/>
        <v>#NAME?</v>
      </c>
      <c r="X12" s="87" t="str">
        <f ca="1">VLOOKUP(A12,VReg01,2,FALSE)</f>
        <v>F80Dh</v>
      </c>
      <c r="Y12" s="94" t="str">
        <f t="shared" ca="1" si="11"/>
        <v>AB95h</v>
      </c>
      <c r="Z12" s="93" t="str">
        <f t="shared" ca="1" si="12"/>
        <v>D11Dh</v>
      </c>
      <c r="AA12" s="89" t="str">
        <f t="shared" ca="1" si="13"/>
        <v>05h</v>
      </c>
      <c r="AB12" s="89" t="e">
        <f t="shared" ca="1" si="19"/>
        <v>#NAME?</v>
      </c>
      <c r="AC12" s="89" t="e">
        <f t="shared" ca="1" si="20"/>
        <v>#NAME?</v>
      </c>
      <c r="AD12" s="93" t="str">
        <f t="shared" si="21"/>
        <v>Div</v>
      </c>
      <c r="AE12" s="4" t="e">
        <f t="shared" ca="1" si="22"/>
        <v>#NAME?</v>
      </c>
      <c r="AF12" s="122" t="e">
        <f t="shared" ca="1" si="23"/>
        <v>#NAME?</v>
      </c>
      <c r="AG12" s="122" t="str">
        <f t="shared" si="24"/>
        <v>80h</v>
      </c>
      <c r="AH12" s="122" t="e">
        <f t="shared" ca="1" si="25"/>
        <v>#NAME?</v>
      </c>
      <c r="AI12" s="111">
        <f t="shared" si="26"/>
        <v>100000</v>
      </c>
      <c r="AJ12" s="111">
        <f t="shared" si="27"/>
        <v>100000</v>
      </c>
      <c r="AK12" s="111" t="e">
        <f t="shared" ca="1" si="28"/>
        <v>#NAME?</v>
      </c>
      <c r="AL12" s="111">
        <f t="shared" si="29"/>
        <v>1502000000</v>
      </c>
      <c r="AM12" s="111">
        <f t="shared" si="30"/>
        <v>12800000</v>
      </c>
    </row>
    <row r="13" spans="1:39" s="95" customFormat="1">
      <c r="A13" s="91" t="s">
        <v>124</v>
      </c>
      <c r="B13" s="91">
        <v>50</v>
      </c>
      <c r="C13" s="91">
        <v>2000</v>
      </c>
      <c r="D13" s="80">
        <v>100</v>
      </c>
      <c r="E13" s="91">
        <v>1.5</v>
      </c>
      <c r="F13" s="80">
        <v>1</v>
      </c>
      <c r="G13" s="92">
        <f t="shared" si="0"/>
        <v>50</v>
      </c>
      <c r="H13" s="81">
        <f t="shared" ca="1" si="1"/>
        <v>1720</v>
      </c>
      <c r="I13" s="81">
        <f t="shared" ca="1" si="2"/>
        <v>1900</v>
      </c>
      <c r="J13" s="81">
        <f t="shared" ca="1" si="3"/>
        <v>2080</v>
      </c>
      <c r="K13" s="81">
        <f t="shared" si="4"/>
        <v>1</v>
      </c>
      <c r="L13" s="92">
        <f t="shared" si="14"/>
        <v>2000</v>
      </c>
      <c r="M13" s="92">
        <f t="shared" si="5"/>
        <v>40</v>
      </c>
      <c r="N13" s="82">
        <f>IF(((2.5+4/(L13/1000))*E13*G13)&gt;635,"error! Pls reduce CP setting!",(2.5+4/(L13/1000))*E13*G13)</f>
        <v>337.5</v>
      </c>
      <c r="O13" s="135">
        <f t="shared" si="16"/>
        <v>0</v>
      </c>
      <c r="P13" s="83" t="str">
        <f t="shared" ca="1" si="6"/>
        <v>202F4Ah</v>
      </c>
      <c r="Q13" s="82">
        <f t="shared" si="7"/>
        <v>10.606601717798213</v>
      </c>
      <c r="R13" s="99" t="s">
        <v>211</v>
      </c>
      <c r="S13" s="99">
        <f t="shared" ca="1" si="8"/>
        <v>25</v>
      </c>
      <c r="T13" s="84">
        <f t="shared" si="17"/>
        <v>1</v>
      </c>
      <c r="U13" s="85" t="e">
        <f t="shared" ca="1" si="18"/>
        <v>#NAME?</v>
      </c>
      <c r="V13" s="93" t="e">
        <f ca="1">DEC2HEX((INT(E13*1000/20))+INT((E13*1000/20))*2^7+INT(N13/5)*2^14+2*2^21)&amp;"h"</f>
        <v>#NAME?</v>
      </c>
      <c r="W13" s="86" t="e">
        <f t="shared" ca="1" si="10"/>
        <v>#NAME?</v>
      </c>
      <c r="X13" s="87" t="str">
        <f ca="1">VLOOKUP(A13,VReg01,2,FALSE)</f>
        <v>F80Dh</v>
      </c>
      <c r="Y13" s="94" t="str">
        <f t="shared" ca="1" si="11"/>
        <v>AB95h</v>
      </c>
      <c r="Z13" s="93" t="str">
        <f t="shared" ca="1" si="12"/>
        <v>D11Dh</v>
      </c>
      <c r="AA13" s="89" t="str">
        <f t="shared" ca="1" si="13"/>
        <v>05h</v>
      </c>
      <c r="AB13" s="89" t="e">
        <f t="shared" ca="1" si="19"/>
        <v>#NAME?</v>
      </c>
      <c r="AC13" s="89" t="e">
        <f t="shared" ca="1" si="20"/>
        <v>#NAME?</v>
      </c>
      <c r="AD13" s="93" t="str">
        <f t="shared" si="21"/>
        <v>Fund</v>
      </c>
      <c r="AE13" s="4" t="e">
        <f t="shared" ca="1" si="22"/>
        <v>#NAME?</v>
      </c>
      <c r="AF13" s="122" t="e">
        <f t="shared" ca="1" si="23"/>
        <v>#NAME?</v>
      </c>
      <c r="AG13" s="122" t="str">
        <f t="shared" si="24"/>
        <v>1F4h</v>
      </c>
      <c r="AH13" s="122" t="e">
        <f t="shared" ca="1" si="25"/>
        <v>#NAME?</v>
      </c>
      <c r="AI13" s="111">
        <f t="shared" si="26"/>
        <v>100000</v>
      </c>
      <c r="AJ13" s="111">
        <f t="shared" si="27"/>
        <v>100000</v>
      </c>
      <c r="AK13" s="111" t="e">
        <f t="shared" ca="1" si="28"/>
        <v>#NAME?</v>
      </c>
      <c r="AL13" s="111">
        <f t="shared" si="29"/>
        <v>2000000000</v>
      </c>
      <c r="AM13" s="111">
        <f t="shared" si="30"/>
        <v>50000000</v>
      </c>
    </row>
    <row r="14" spans="1:39" s="95" customFormat="1" hidden="1">
      <c r="A14" s="91" t="s">
        <v>200</v>
      </c>
      <c r="B14" s="91">
        <v>10</v>
      </c>
      <c r="C14" s="91">
        <v>5600</v>
      </c>
      <c r="D14" s="80">
        <v>100</v>
      </c>
      <c r="E14" s="91">
        <v>1.5</v>
      </c>
      <c r="F14" s="80">
        <v>1</v>
      </c>
      <c r="G14" s="92">
        <f t="shared" si="0"/>
        <v>10</v>
      </c>
      <c r="H14" s="81">
        <f t="shared" ca="1" si="1"/>
        <v>2620</v>
      </c>
      <c r="I14" s="81">
        <f t="shared" ca="1" si="2"/>
        <v>2725</v>
      </c>
      <c r="J14" s="81">
        <f t="shared" ca="1" si="3"/>
        <v>2830</v>
      </c>
      <c r="K14" s="81">
        <f t="shared" si="4"/>
        <v>2</v>
      </c>
      <c r="L14" s="92">
        <f t="shared" si="14"/>
        <v>2800</v>
      </c>
      <c r="M14" s="92">
        <f t="shared" si="5"/>
        <v>280</v>
      </c>
      <c r="N14" s="82">
        <f t="shared" si="15"/>
        <v>59.518348623853214</v>
      </c>
      <c r="O14" s="135">
        <f t="shared" si="16"/>
        <v>0</v>
      </c>
      <c r="P14" s="83" t="str">
        <f t="shared" ca="1" si="6"/>
        <v>202F4Ah</v>
      </c>
      <c r="Q14" s="82">
        <f t="shared" si="7"/>
        <v>22.270748495102495</v>
      </c>
      <c r="R14" s="99" t="s">
        <v>211</v>
      </c>
      <c r="S14" s="99">
        <f t="shared" ca="1" si="8"/>
        <v>19</v>
      </c>
      <c r="T14" s="84">
        <f t="shared" si="17"/>
        <v>1</v>
      </c>
      <c r="U14" s="85" t="e">
        <f t="shared" ca="1" si="18"/>
        <v>#NAME?</v>
      </c>
      <c r="V14" s="93" t="e">
        <f ca="1">DEC2HEX((INT(E14*1000/20))+INT((E14*1000/20))*2^7+INT(N14/5)*2^14+2*2^21)&amp;"h"</f>
        <v>#NAME?</v>
      </c>
      <c r="W14" s="86" t="e">
        <f t="shared" ca="1" si="10"/>
        <v>#NAME?</v>
      </c>
      <c r="X14" s="87" t="str">
        <f ca="1">VLOOKUP(A14,VReg01,2,FALSE)</f>
        <v>F80Dh</v>
      </c>
      <c r="Y14" s="94" t="str">
        <f t="shared" ca="1" si="11"/>
        <v>2A95h</v>
      </c>
      <c r="Z14" s="93" t="str">
        <f t="shared" ca="1" si="12"/>
        <v>231Dh</v>
      </c>
      <c r="AA14" s="89" t="str">
        <f t="shared" ca="1" si="13"/>
        <v>05h</v>
      </c>
      <c r="AB14" s="89" t="e">
        <f t="shared" ca="1" si="19"/>
        <v>#NAME?</v>
      </c>
      <c r="AC14" s="89" t="e">
        <f t="shared" ca="1" si="20"/>
        <v>#NAME?</v>
      </c>
      <c r="AD14" s="93" t="str">
        <f t="shared" si="21"/>
        <v>Doubler</v>
      </c>
      <c r="AE14" s="4" t="e">
        <f t="shared" ca="1" si="22"/>
        <v>#NAME?</v>
      </c>
      <c r="AF14" s="122" t="e">
        <f t="shared" ca="1" si="23"/>
        <v>#NAME?</v>
      </c>
      <c r="AG14" s="122" t="str">
        <f t="shared" si="24"/>
        <v>64h</v>
      </c>
      <c r="AH14" s="122" t="e">
        <f t="shared" ca="1" si="25"/>
        <v>#NAME?</v>
      </c>
      <c r="AI14" s="111">
        <f t="shared" si="26"/>
        <v>100000</v>
      </c>
      <c r="AJ14" s="111">
        <f t="shared" si="27"/>
        <v>100000</v>
      </c>
      <c r="AK14" s="111" t="e">
        <f t="shared" ca="1" si="28"/>
        <v>#NAME?</v>
      </c>
      <c r="AL14" s="111">
        <f t="shared" si="29"/>
        <v>2800000000</v>
      </c>
      <c r="AM14" s="111">
        <f t="shared" si="30"/>
        <v>10000000</v>
      </c>
    </row>
    <row r="17" spans="26:30">
      <c r="Z17" s="40"/>
      <c r="AD17" s="40"/>
    </row>
    <row r="18" spans="26:30">
      <c r="Z18" s="40"/>
      <c r="AD18" s="40"/>
    </row>
    <row r="19" spans="26:30">
      <c r="Z19" s="40"/>
      <c r="AD19" s="40"/>
    </row>
    <row r="20" spans="26:30">
      <c r="Z20" s="40"/>
      <c r="AD20" s="40"/>
    </row>
  </sheetData>
  <sheetProtection selectLockedCells="1"/>
  <protectedRanges>
    <protectedRange password="CC3D" sqref="G1:AD65536" name="区域1"/>
  </protectedRanges>
  <autoFilter ref="A6:AM14">
    <filterColumn colId="0">
      <filters>
        <filter val="HMC821LP6CE"/>
      </filters>
    </filterColumn>
  </autoFilter>
  <mergeCells count="4">
    <mergeCell ref="X4:Z4"/>
    <mergeCell ref="X3:AC3"/>
    <mergeCell ref="T4:W4"/>
    <mergeCell ref="T3:W3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21"/>
  <sheetViews>
    <sheetView tabSelected="1" zoomScale="85" zoomScaleNormal="85" workbookViewId="0">
      <pane xSplit="11" ySplit="6" topLeftCell="L7" activePane="bottomRight" state="frozen"/>
      <selection pane="topRight" activeCell="J1" sqref="J1"/>
      <selection pane="bottomLeft" activeCell="A7" sqref="A7"/>
      <selection pane="bottomRight" activeCell="Q21" sqref="Q21"/>
    </sheetView>
  </sheetViews>
  <sheetFormatPr defaultRowHeight="16.5"/>
  <cols>
    <col min="1" max="1" width="14.125" style="2" customWidth="1"/>
    <col min="2" max="2" width="12.375" style="2" bestFit="1" customWidth="1"/>
    <col min="3" max="3" width="11.5" customWidth="1"/>
    <col min="4" max="4" width="8.875" customWidth="1"/>
    <col min="5" max="5" width="11.5" customWidth="1"/>
    <col min="6" max="6" width="8.375" style="2" bestFit="1" customWidth="1"/>
    <col min="7" max="7" width="12.875" style="2" bestFit="1" customWidth="1"/>
    <col min="8" max="8" width="14.5" style="2" bestFit="1" customWidth="1"/>
    <col min="9" max="9" width="10.75" style="106" bestFit="1" customWidth="1"/>
    <col min="10" max="10" width="6" style="106" bestFit="1" customWidth="1"/>
    <col min="11" max="11" width="5.25" style="106" bestFit="1" customWidth="1"/>
    <col min="12" max="12" width="13.5" style="106" bestFit="1" customWidth="1"/>
    <col min="13" max="13" width="12.75" style="106" bestFit="1" customWidth="1"/>
    <col min="14" max="14" width="16.125" style="106" bestFit="1" customWidth="1"/>
    <col min="15" max="15" width="16" style="106" bestFit="1" customWidth="1"/>
    <col min="16" max="17" width="7.5" style="96" bestFit="1" customWidth="1"/>
    <col min="18" max="18" width="12.75" style="107" customWidth="1"/>
    <col min="19" max="19" width="12.5" customWidth="1"/>
    <col min="20" max="20" width="15.5" style="1" customWidth="1"/>
    <col min="21" max="21" width="13" customWidth="1"/>
    <col min="22" max="22" width="18.25" bestFit="1" customWidth="1"/>
    <col min="23" max="23" width="12.25" customWidth="1"/>
    <col min="24" max="24" width="13.25" customWidth="1"/>
    <col min="25" max="27" width="11.375" style="106" customWidth="1"/>
    <col min="28" max="28" width="11.375" customWidth="1"/>
    <col min="29" max="32" width="11.375" style="106" customWidth="1"/>
    <col min="33" max="34" width="6.625" style="1" bestFit="1" customWidth="1"/>
    <col min="35" max="35" width="11.625" style="1" bestFit="1" customWidth="1"/>
    <col min="36" max="36" width="11.25" bestFit="1" customWidth="1"/>
    <col min="37" max="37" width="11.25" customWidth="1"/>
    <col min="38" max="38" width="11.625" bestFit="1" customWidth="1"/>
    <col min="39" max="42" width="11.625" customWidth="1"/>
    <col min="43" max="43" width="5.5" bestFit="1" customWidth="1"/>
    <col min="44" max="44" width="8.75" style="107" bestFit="1" customWidth="1"/>
    <col min="45" max="45" width="8.75" style="107" customWidth="1"/>
    <col min="46" max="46" width="11.875" style="107" bestFit="1" customWidth="1"/>
    <col min="47" max="48" width="8.75" style="106" customWidth="1"/>
    <col min="49" max="51" width="10.75" style="106" customWidth="1"/>
  </cols>
  <sheetData>
    <row r="1" spans="1:51">
      <c r="A1" s="147" t="s">
        <v>395</v>
      </c>
      <c r="C1" s="146" t="s">
        <v>367</v>
      </c>
      <c r="D1" s="123"/>
      <c r="E1" s="123"/>
      <c r="F1" s="125"/>
      <c r="G1" s="125"/>
      <c r="H1" s="125"/>
      <c r="I1" s="125"/>
      <c r="J1" s="125"/>
      <c r="K1" s="125"/>
      <c r="S1" s="1"/>
      <c r="U1" s="1"/>
      <c r="V1" s="1"/>
      <c r="W1" s="1"/>
      <c r="X1" s="1"/>
      <c r="Y1" s="115"/>
      <c r="Z1" s="115"/>
      <c r="AA1" s="115"/>
      <c r="AB1" s="1"/>
      <c r="AC1" s="115"/>
      <c r="AD1" s="115"/>
      <c r="AE1" s="115"/>
      <c r="AF1" s="115"/>
      <c r="AI1"/>
    </row>
    <row r="2" spans="1:51">
      <c r="A2" s="148" t="s">
        <v>396</v>
      </c>
      <c r="S2" s="1"/>
      <c r="U2" s="1"/>
      <c r="V2" s="1"/>
      <c r="W2" s="1"/>
      <c r="X2" s="1"/>
      <c r="Y2" s="115"/>
      <c r="Z2" s="115"/>
      <c r="AA2" s="115"/>
      <c r="AB2" s="1"/>
      <c r="AC2" s="115"/>
      <c r="AD2" s="115"/>
      <c r="AE2" s="115"/>
      <c r="AF2" s="115"/>
      <c r="AI2"/>
    </row>
    <row r="3" spans="1:51">
      <c r="A3" s="149" t="s">
        <v>183</v>
      </c>
      <c r="C3" s="2"/>
      <c r="D3" s="2"/>
      <c r="N3" s="115"/>
      <c r="O3" s="115"/>
      <c r="T3"/>
      <c r="AG3"/>
      <c r="AH3"/>
      <c r="AI3" s="7" t="s">
        <v>34</v>
      </c>
    </row>
    <row r="4" spans="1:51">
      <c r="A4" s="150" t="s">
        <v>184</v>
      </c>
      <c r="C4" s="2"/>
      <c r="D4" s="2"/>
      <c r="N4" s="115"/>
      <c r="O4" s="115"/>
      <c r="R4" s="145" t="s">
        <v>394</v>
      </c>
      <c r="S4" s="143"/>
      <c r="T4" s="143"/>
      <c r="U4" s="123"/>
      <c r="V4" s="123"/>
      <c r="W4" s="123"/>
      <c r="X4" s="123"/>
      <c r="Y4" s="125"/>
      <c r="Z4" s="125"/>
      <c r="AA4" s="125"/>
      <c r="AB4" s="123"/>
      <c r="AC4" s="125"/>
      <c r="AD4" s="125"/>
      <c r="AE4" s="125"/>
      <c r="AF4" s="125"/>
      <c r="AG4" s="123"/>
      <c r="AH4" s="123"/>
      <c r="AI4" s="14" t="s">
        <v>30</v>
      </c>
      <c r="AJ4" s="14" t="s">
        <v>28</v>
      </c>
      <c r="AK4" s="14" t="s">
        <v>29</v>
      </c>
      <c r="AL4" s="14" t="s">
        <v>29</v>
      </c>
      <c r="AM4" s="141" t="s">
        <v>371</v>
      </c>
      <c r="AN4" s="141"/>
      <c r="AO4" s="141"/>
      <c r="AP4" s="141"/>
      <c r="AQ4" s="123" t="s">
        <v>268</v>
      </c>
      <c r="AR4" s="124"/>
      <c r="AS4" s="124"/>
      <c r="AT4" s="124"/>
      <c r="AU4" s="125"/>
      <c r="AV4" s="125"/>
      <c r="AW4" s="125"/>
      <c r="AX4" s="125"/>
      <c r="AY4" s="125"/>
    </row>
    <row r="5" spans="1:51" s="6" customFormat="1" ht="49.5">
      <c r="A5" s="9" t="s">
        <v>375</v>
      </c>
      <c r="B5" s="9"/>
      <c r="C5" s="9"/>
      <c r="D5" s="9"/>
      <c r="E5" s="144" t="s">
        <v>389</v>
      </c>
      <c r="F5" s="9" t="s">
        <v>388</v>
      </c>
      <c r="G5" s="9" t="s">
        <v>359</v>
      </c>
      <c r="H5" s="9" t="s">
        <v>386</v>
      </c>
      <c r="I5" s="108">
        <v>0</v>
      </c>
      <c r="J5" s="108"/>
      <c r="K5" s="109"/>
      <c r="L5" s="108"/>
      <c r="M5" s="108"/>
      <c r="N5" s="116" t="s">
        <v>21</v>
      </c>
      <c r="O5" s="116" t="s">
        <v>20</v>
      </c>
      <c r="P5" s="97" t="s">
        <v>20</v>
      </c>
      <c r="Q5" s="97" t="s">
        <v>20</v>
      </c>
      <c r="R5" s="151" t="s">
        <v>397</v>
      </c>
      <c r="S5" s="10" t="s">
        <v>245</v>
      </c>
      <c r="T5" s="11" t="s">
        <v>17</v>
      </c>
      <c r="U5" s="11" t="s">
        <v>246</v>
      </c>
      <c r="V5" s="10" t="s">
        <v>16</v>
      </c>
      <c r="W5" s="10" t="s">
        <v>249</v>
      </c>
      <c r="X5" s="10" t="s">
        <v>340</v>
      </c>
      <c r="Y5" s="109" t="s">
        <v>272</v>
      </c>
      <c r="Z5" s="109" t="s">
        <v>273</v>
      </c>
      <c r="AA5" s="109" t="s">
        <v>274</v>
      </c>
      <c r="AB5" s="10" t="s">
        <v>250</v>
      </c>
      <c r="AC5" s="109" t="s">
        <v>251</v>
      </c>
      <c r="AD5" s="109" t="s">
        <v>252</v>
      </c>
      <c r="AE5" s="109" t="s">
        <v>253</v>
      </c>
      <c r="AF5" s="109" t="s">
        <v>254</v>
      </c>
      <c r="AG5" s="11" t="s">
        <v>244</v>
      </c>
      <c r="AH5" s="11" t="s">
        <v>244</v>
      </c>
      <c r="AI5" s="10" t="s">
        <v>242</v>
      </c>
      <c r="AJ5" s="10" t="s">
        <v>243</v>
      </c>
      <c r="AK5" s="10" t="s">
        <v>347</v>
      </c>
      <c r="AL5" s="10" t="s">
        <v>267</v>
      </c>
      <c r="AM5" s="10" t="s">
        <v>373</v>
      </c>
      <c r="AN5" s="10" t="s">
        <v>364</v>
      </c>
      <c r="AO5" s="10" t="s">
        <v>398</v>
      </c>
      <c r="AP5" s="10" t="s">
        <v>364</v>
      </c>
      <c r="AQ5" s="118" t="s">
        <v>233</v>
      </c>
      <c r="AR5" s="119"/>
      <c r="AS5" s="120" t="s">
        <v>234</v>
      </c>
      <c r="AT5" s="120"/>
      <c r="AU5" s="110"/>
      <c r="AV5" s="110"/>
      <c r="AW5" s="110"/>
      <c r="AX5" s="110"/>
      <c r="AY5" s="110"/>
    </row>
    <row r="6" spans="1:51" s="30" customFormat="1" ht="49.5">
      <c r="A6" s="140" t="s">
        <v>376</v>
      </c>
      <c r="B6" s="139" t="s">
        <v>377</v>
      </c>
      <c r="C6" s="139" t="s">
        <v>378</v>
      </c>
      <c r="D6" s="139" t="s">
        <v>379</v>
      </c>
      <c r="E6" s="139" t="s">
        <v>380</v>
      </c>
      <c r="F6" s="139" t="s">
        <v>381</v>
      </c>
      <c r="G6" s="140" t="s">
        <v>387</v>
      </c>
      <c r="H6" s="140" t="s">
        <v>382</v>
      </c>
      <c r="I6" s="112" t="s">
        <v>2</v>
      </c>
      <c r="J6" s="113" t="s">
        <v>4</v>
      </c>
      <c r="K6" s="113" t="s">
        <v>5</v>
      </c>
      <c r="L6" s="113" t="s">
        <v>6</v>
      </c>
      <c r="M6" s="113" t="s">
        <v>7</v>
      </c>
      <c r="N6" s="113" t="s">
        <v>13</v>
      </c>
      <c r="O6" s="113" t="s">
        <v>15</v>
      </c>
      <c r="P6" s="98" t="s">
        <v>210</v>
      </c>
      <c r="Q6" s="98" t="s">
        <v>209</v>
      </c>
      <c r="R6" s="121" t="s">
        <v>366</v>
      </c>
      <c r="S6" s="114" t="s">
        <v>269</v>
      </c>
      <c r="T6" s="114" t="s">
        <v>19</v>
      </c>
      <c r="U6" s="114" t="s">
        <v>247</v>
      </c>
      <c r="V6" s="114" t="s">
        <v>18</v>
      </c>
      <c r="W6" s="114" t="s">
        <v>255</v>
      </c>
      <c r="X6" s="114" t="s">
        <v>256</v>
      </c>
      <c r="Y6" s="113" t="s">
        <v>275</v>
      </c>
      <c r="Z6" s="113"/>
      <c r="AA6" s="113"/>
      <c r="AB6" s="114" t="s">
        <v>257</v>
      </c>
      <c r="AC6" s="113" t="s">
        <v>258</v>
      </c>
      <c r="AD6" s="113" t="s">
        <v>259</v>
      </c>
      <c r="AE6" s="113" t="s">
        <v>260</v>
      </c>
      <c r="AF6" s="113" t="s">
        <v>261</v>
      </c>
      <c r="AG6" s="114" t="s">
        <v>238</v>
      </c>
      <c r="AH6" s="114" t="s">
        <v>240</v>
      </c>
      <c r="AI6" s="136" t="s">
        <v>270</v>
      </c>
      <c r="AJ6" s="136" t="s">
        <v>385</v>
      </c>
      <c r="AK6" s="136" t="s">
        <v>113</v>
      </c>
      <c r="AL6" s="137" t="s">
        <v>112</v>
      </c>
      <c r="AM6" s="121" t="s">
        <v>399</v>
      </c>
      <c r="AN6" s="121" t="s">
        <v>360</v>
      </c>
      <c r="AO6" s="121" t="s">
        <v>361</v>
      </c>
      <c r="AP6" s="121" t="s">
        <v>360</v>
      </c>
      <c r="AQ6" s="114" t="s">
        <v>228</v>
      </c>
      <c r="AR6" s="121" t="s">
        <v>231</v>
      </c>
      <c r="AS6" s="121" t="s">
        <v>236</v>
      </c>
      <c r="AT6" s="121" t="s">
        <v>277</v>
      </c>
      <c r="AU6" s="113" t="s">
        <v>235</v>
      </c>
      <c r="AV6" s="113" t="s">
        <v>232</v>
      </c>
      <c r="AW6" s="113" t="s">
        <v>227</v>
      </c>
      <c r="AX6" s="113" t="s">
        <v>229</v>
      </c>
      <c r="AY6" s="113" t="s">
        <v>226</v>
      </c>
    </row>
    <row r="7" spans="1:51">
      <c r="A7" s="8" t="s">
        <v>383</v>
      </c>
      <c r="B7" s="3">
        <v>125</v>
      </c>
      <c r="C7" s="3">
        <v>709.9</v>
      </c>
      <c r="D7" s="3">
        <v>200</v>
      </c>
      <c r="E7" s="3">
        <v>2</v>
      </c>
      <c r="F7" s="3">
        <v>2</v>
      </c>
      <c r="G7" s="3" t="s">
        <v>370</v>
      </c>
      <c r="H7" s="3" t="s">
        <v>374</v>
      </c>
      <c r="I7" s="111">
        <f t="shared" ref="I7:I14" si="0">B7/F7</f>
        <v>62.5</v>
      </c>
      <c r="J7" s="111">
        <v>1</v>
      </c>
      <c r="K7" s="111">
        <f t="shared" ref="K7:K14" si="1">IF((J7&gt;62),62,J7)</f>
        <v>1</v>
      </c>
      <c r="L7" s="111">
        <f t="shared" ref="L7:L14" si="2">C7*K7</f>
        <v>709.9</v>
      </c>
      <c r="M7" s="111">
        <f t="shared" ref="M7:M14" si="3">L7/I7</f>
        <v>11.3584</v>
      </c>
      <c r="N7" s="117">
        <f t="shared" ref="N7:N14" si="4">IF(((2.5+4/(2250/1000))*E7*I7)&gt;635,"error!",(2.5+4/(2250/1000))*E7*I7)</f>
        <v>534.72222222222217</v>
      </c>
      <c r="O7" s="117">
        <f t="shared" ref="O7:O14" si="5">(N7/(E7*1000)*1/(I7/1000)*1.25*1/(I7/1000))^0.5</f>
        <v>9.2496246170077381</v>
      </c>
      <c r="P7" s="99" t="s">
        <v>237</v>
      </c>
      <c r="Q7" s="99">
        <f t="shared" ref="Q7:Q14" ca="1" si="6">VLOOKUP(O7,Reg07_dB,2,TRUE)+VLOOKUP(O7,Reg07_dB,3,TRUE)*2^3</f>
        <v>17</v>
      </c>
      <c r="R7" s="122" t="str">
        <f t="shared" ref="R7:R14" si="7">F7&amp;"h"</f>
        <v>2h</v>
      </c>
      <c r="S7" s="4" t="str">
        <f t="shared" ref="S7:S14" si="8">IF(AND(AL7="0h",I7&lt;=50),"2003CAh",(IF(AND(AL7="0h",I7&gt;50),"2033CAh",(IF(AND(AL7&lt;&gt;"0h",I7&gt;50),"203B4Ah","200B4Ah")))))</f>
        <v>203B4Ah</v>
      </c>
      <c r="T7" s="4" t="e">
        <f t="shared" ref="T7:T14" ca="1" si="9">DEC2HEX(Q7*2^7+HEX2DEC(P7))&amp;"h"</f>
        <v>#NAME?</v>
      </c>
      <c r="U7" s="4" t="s">
        <v>248</v>
      </c>
      <c r="V7" s="4" t="str">
        <f t="shared" ref="V7:V14" si="10">DEC2HEX((INT(E7*1000/20))+INT((E7*1000/20))*2^7+INT(N7/5)*2^14+2*2^21)&amp;"h"</f>
        <v>5AB264h</v>
      </c>
      <c r="W7" s="4" t="s">
        <v>262</v>
      </c>
      <c r="X7" s="4" t="str">
        <f>IF(AL7="0h","7C061h","7C021h")</f>
        <v>7C021h</v>
      </c>
      <c r="Y7" s="111" t="s">
        <v>276</v>
      </c>
      <c r="Z7" s="111" t="s">
        <v>276</v>
      </c>
      <c r="AA7" s="111" t="s">
        <v>276</v>
      </c>
      <c r="AB7" s="4" t="str">
        <f t="shared" ref="AB7:AB14" si="11">IF(H7="read LD output","C1h",IF(H7="read spi reg 12h","81h","Check LD req'd!"))</f>
        <v>81h</v>
      </c>
      <c r="AC7" s="111" t="s">
        <v>263</v>
      </c>
      <c r="AD7" s="111" t="s">
        <v>264</v>
      </c>
      <c r="AE7" s="111" t="s">
        <v>265</v>
      </c>
      <c r="AF7" s="111" t="s">
        <v>266</v>
      </c>
      <c r="AG7" s="4" t="s">
        <v>239</v>
      </c>
      <c r="AH7" s="4" t="s">
        <v>241</v>
      </c>
      <c r="AI7" s="138" t="str">
        <f t="shared" ref="AI7:AI14" si="12">DEC2HEX($I$5+2*2^3+K7*2^7+7*2^13)&amp;"h"</f>
        <v>E090h</v>
      </c>
      <c r="AJ7" s="138" t="s">
        <v>230</v>
      </c>
      <c r="AK7" s="138" t="str">
        <f>DEC2HEX(INT(M7))&amp;"h"</f>
        <v>Bh</v>
      </c>
      <c r="AL7" s="138" t="str">
        <f>DEC2HEX((M7-INT(M7))*2^24)&amp;"h"</f>
        <v>5BC01Ah</v>
      </c>
      <c r="AM7" s="142" t="str">
        <f>IF(G7="differential","2818h",IF(G7="single-ended","2898h","Check Fout Mode!"))</f>
        <v>2818h</v>
      </c>
      <c r="AN7" s="142" t="s">
        <v>362</v>
      </c>
      <c r="AO7" s="142" t="s">
        <v>365</v>
      </c>
      <c r="AP7" s="142" t="s">
        <v>363</v>
      </c>
      <c r="AQ7" s="4" t="str">
        <f>DEC2HEX(AY7/AW7)&amp;"h"</f>
        <v>271h</v>
      </c>
      <c r="AR7" s="122" t="str">
        <f t="shared" ref="AR7:AR14" si="13">DEC2HEX(CEILING(2^24*(L7-INT(M7)*I7)/I7,1))&amp;"h"</f>
        <v>5BC01Bh</v>
      </c>
      <c r="AS7" s="122" t="str">
        <f>DEC2HEX(AY7/AU7)&amp;"h"</f>
        <v>271h</v>
      </c>
      <c r="AT7" s="122" t="str">
        <f t="shared" ref="AT7:AT14" si="14">DEC2HEX(CEILING(2^24*(L7+D7/1000-I7*INT(M7))/I7,1))&amp;"h"</f>
        <v>5C91D2h</v>
      </c>
      <c r="AU7" s="111">
        <f>GCD(AV7,AY7)</f>
        <v>100000</v>
      </c>
      <c r="AV7" s="111">
        <f>D7*1000</f>
        <v>200000</v>
      </c>
      <c r="AW7" s="111">
        <f>GCD(AX7:AY7)</f>
        <v>100000</v>
      </c>
      <c r="AX7" s="111">
        <f>L7*1000000</f>
        <v>709900000</v>
      </c>
      <c r="AY7" s="111">
        <f>I7*1000000</f>
        <v>62500000</v>
      </c>
    </row>
    <row r="8" spans="1:51">
      <c r="A8" s="8" t="s">
        <v>383</v>
      </c>
      <c r="B8" s="3">
        <v>125</v>
      </c>
      <c r="C8" s="3">
        <v>757.4</v>
      </c>
      <c r="D8" s="3">
        <v>200</v>
      </c>
      <c r="E8" s="3">
        <v>2</v>
      </c>
      <c r="F8" s="3">
        <v>2</v>
      </c>
      <c r="G8" s="3" t="s">
        <v>370</v>
      </c>
      <c r="H8" s="3" t="s">
        <v>374</v>
      </c>
      <c r="I8" s="111">
        <f t="shared" si="0"/>
        <v>62.5</v>
      </c>
      <c r="J8" s="111">
        <f t="shared" ref="J8:J14" si="15">IF(AND(C8&gt;=1500,C8&lt;=3000),1,IF(MOD(INT(3000/C8),2),INT(3000/C8)-1,INT(3000/C8)))</f>
        <v>2</v>
      </c>
      <c r="K8" s="111">
        <f t="shared" si="1"/>
        <v>2</v>
      </c>
      <c r="L8" s="111">
        <f t="shared" si="2"/>
        <v>1514.8</v>
      </c>
      <c r="M8" s="111">
        <f t="shared" si="3"/>
        <v>24.236799999999999</v>
      </c>
      <c r="N8" s="117">
        <f t="shared" si="4"/>
        <v>534.72222222222217</v>
      </c>
      <c r="O8" s="117">
        <f t="shared" si="5"/>
        <v>9.2496246170077381</v>
      </c>
      <c r="P8" s="99" t="s">
        <v>237</v>
      </c>
      <c r="Q8" s="99">
        <f ca="1">VLOOKUP(O8,Reg07_dB,2,TRUE)+VLOOKUP(O8,Reg07_dB,3,TRUE)*2^3</f>
        <v>17</v>
      </c>
      <c r="R8" s="122" t="str">
        <f t="shared" si="7"/>
        <v>2h</v>
      </c>
      <c r="S8" s="4" t="str">
        <f t="shared" si="8"/>
        <v>203B4Ah</v>
      </c>
      <c r="T8" s="4" t="e">
        <f t="shared" ca="1" si="9"/>
        <v>#NAME?</v>
      </c>
      <c r="U8" s="4" t="s">
        <v>248</v>
      </c>
      <c r="V8" s="4" t="str">
        <f t="shared" si="10"/>
        <v>5AB264h</v>
      </c>
      <c r="W8" s="4" t="s">
        <v>262</v>
      </c>
      <c r="X8" s="4" t="str">
        <f t="shared" ref="X8:X14" si="16">IF(AL8="0h","7C061h","7C021h")</f>
        <v>7C021h</v>
      </c>
      <c r="Y8" s="111" t="s">
        <v>276</v>
      </c>
      <c r="Z8" s="111" t="s">
        <v>276</v>
      </c>
      <c r="AA8" s="111" t="s">
        <v>276</v>
      </c>
      <c r="AB8" s="4" t="str">
        <f t="shared" si="11"/>
        <v>81h</v>
      </c>
      <c r="AC8" s="111" t="s">
        <v>263</v>
      </c>
      <c r="AD8" s="111" t="s">
        <v>264</v>
      </c>
      <c r="AE8" s="111" t="s">
        <v>265</v>
      </c>
      <c r="AF8" s="111" t="s">
        <v>266</v>
      </c>
      <c r="AG8" s="4" t="s">
        <v>239</v>
      </c>
      <c r="AH8" s="4" t="s">
        <v>241</v>
      </c>
      <c r="AI8" s="138" t="str">
        <f t="shared" si="12"/>
        <v>E110h</v>
      </c>
      <c r="AJ8" s="138" t="s">
        <v>230</v>
      </c>
      <c r="AK8" s="138" t="str">
        <f t="shared" ref="AK8:AK14" si="17">DEC2HEX(INT(M8))&amp;"h"</f>
        <v>18h</v>
      </c>
      <c r="AL8" s="138" t="str">
        <f t="shared" ref="AL8:AL14" si="18">DEC2HEX((M8-INT(M8))*2^24)&amp;"h"</f>
        <v>3C9EECh</v>
      </c>
      <c r="AM8" s="142" t="str">
        <f t="shared" ref="AM8:AM14" si="19">IF(G8="differential","2818h",IF(G8="single-ended","2898h","Check Fout Mode!"))</f>
        <v>2818h</v>
      </c>
      <c r="AN8" s="142" t="s">
        <v>362</v>
      </c>
      <c r="AO8" s="142" t="s">
        <v>365</v>
      </c>
      <c r="AP8" s="142" t="s">
        <v>363</v>
      </c>
      <c r="AQ8" s="4" t="str">
        <f t="shared" ref="AQ8:AQ14" si="20">DEC2HEX(AY8/AW8)&amp;"h"</f>
        <v>271h</v>
      </c>
      <c r="AR8" s="122" t="str">
        <f t="shared" si="13"/>
        <v>3C9EEDh</v>
      </c>
      <c r="AS8" s="122" t="str">
        <f t="shared" ref="AS8:AS14" si="21">DEC2HEX(AY8/AU8)&amp;"h"</f>
        <v>271h</v>
      </c>
      <c r="AT8" s="122" t="str">
        <f t="shared" si="14"/>
        <v>3D70A4h</v>
      </c>
      <c r="AU8" s="111">
        <f t="shared" ref="AU8:AU14" si="22">GCD(AV8,AY8)</f>
        <v>100000</v>
      </c>
      <c r="AV8" s="111">
        <f t="shared" ref="AV8:AV14" si="23">D8*1000</f>
        <v>200000</v>
      </c>
      <c r="AW8" s="111">
        <f t="shared" ref="AW8:AW14" si="24">GCD(AX8:AY8)</f>
        <v>100000</v>
      </c>
      <c r="AX8" s="111">
        <f t="shared" ref="AX8:AX14" si="25">L8*1000000</f>
        <v>1514800000</v>
      </c>
      <c r="AY8" s="111">
        <f t="shared" ref="AY8:AY14" si="26">I8*1000000</f>
        <v>62500000</v>
      </c>
    </row>
    <row r="9" spans="1:51">
      <c r="A9" s="8" t="s">
        <v>383</v>
      </c>
      <c r="B9" s="3">
        <v>125</v>
      </c>
      <c r="C9" s="3">
        <v>1082.4000000000001</v>
      </c>
      <c r="D9" s="3">
        <v>200</v>
      </c>
      <c r="E9" s="3">
        <v>2</v>
      </c>
      <c r="F9" s="3">
        <v>2</v>
      </c>
      <c r="G9" s="3" t="s">
        <v>370</v>
      </c>
      <c r="H9" s="3" t="s">
        <v>374</v>
      </c>
      <c r="I9" s="111">
        <f t="shared" si="0"/>
        <v>62.5</v>
      </c>
      <c r="J9" s="111">
        <f t="shared" si="15"/>
        <v>2</v>
      </c>
      <c r="K9" s="111">
        <f t="shared" si="1"/>
        <v>2</v>
      </c>
      <c r="L9" s="111">
        <f t="shared" si="2"/>
        <v>2164.8000000000002</v>
      </c>
      <c r="M9" s="111">
        <f t="shared" si="3"/>
        <v>34.636800000000001</v>
      </c>
      <c r="N9" s="117">
        <f t="shared" si="4"/>
        <v>534.72222222222217</v>
      </c>
      <c r="O9" s="117">
        <f t="shared" si="5"/>
        <v>9.2496246170077381</v>
      </c>
      <c r="P9" s="99" t="s">
        <v>237</v>
      </c>
      <c r="Q9" s="99">
        <f t="shared" ca="1" si="6"/>
        <v>17</v>
      </c>
      <c r="R9" s="122" t="str">
        <f t="shared" si="7"/>
        <v>2h</v>
      </c>
      <c r="S9" s="4" t="str">
        <f t="shared" si="8"/>
        <v>203B4Ah</v>
      </c>
      <c r="T9" s="4" t="e">
        <f t="shared" ca="1" si="9"/>
        <v>#NAME?</v>
      </c>
      <c r="U9" s="4" t="s">
        <v>248</v>
      </c>
      <c r="V9" s="4" t="str">
        <f t="shared" si="10"/>
        <v>5AB264h</v>
      </c>
      <c r="W9" s="4" t="s">
        <v>262</v>
      </c>
      <c r="X9" s="4" t="str">
        <f t="shared" si="16"/>
        <v>7C021h</v>
      </c>
      <c r="Y9" s="111" t="s">
        <v>276</v>
      </c>
      <c r="Z9" s="111" t="s">
        <v>276</v>
      </c>
      <c r="AA9" s="111" t="s">
        <v>276</v>
      </c>
      <c r="AB9" s="4" t="str">
        <f t="shared" si="11"/>
        <v>81h</v>
      </c>
      <c r="AC9" s="111" t="s">
        <v>263</v>
      </c>
      <c r="AD9" s="111" t="s">
        <v>264</v>
      </c>
      <c r="AE9" s="111" t="s">
        <v>265</v>
      </c>
      <c r="AF9" s="111" t="s">
        <v>266</v>
      </c>
      <c r="AG9" s="4" t="s">
        <v>239</v>
      </c>
      <c r="AH9" s="4" t="s">
        <v>241</v>
      </c>
      <c r="AI9" s="138" t="str">
        <f t="shared" si="12"/>
        <v>E110h</v>
      </c>
      <c r="AJ9" s="138" t="s">
        <v>230</v>
      </c>
      <c r="AK9" s="138" t="str">
        <f t="shared" si="17"/>
        <v>22h</v>
      </c>
      <c r="AL9" s="138" t="str">
        <f t="shared" si="18"/>
        <v>A30553h</v>
      </c>
      <c r="AM9" s="142" t="str">
        <f t="shared" si="19"/>
        <v>2818h</v>
      </c>
      <c r="AN9" s="142" t="s">
        <v>362</v>
      </c>
      <c r="AO9" s="142" t="s">
        <v>365</v>
      </c>
      <c r="AP9" s="142" t="s">
        <v>363</v>
      </c>
      <c r="AQ9" s="4" t="str">
        <f t="shared" si="20"/>
        <v>271h</v>
      </c>
      <c r="AR9" s="122" t="str">
        <f t="shared" si="13"/>
        <v>A30554h</v>
      </c>
      <c r="AS9" s="122" t="str">
        <f t="shared" si="21"/>
        <v>271h</v>
      </c>
      <c r="AT9" s="122" t="str">
        <f t="shared" si="14"/>
        <v>A3D70Bh</v>
      </c>
      <c r="AU9" s="111">
        <f t="shared" si="22"/>
        <v>100000</v>
      </c>
      <c r="AV9" s="111">
        <f t="shared" si="23"/>
        <v>200000</v>
      </c>
      <c r="AW9" s="111">
        <f t="shared" si="24"/>
        <v>100000</v>
      </c>
      <c r="AX9" s="111">
        <f t="shared" si="25"/>
        <v>2164800000</v>
      </c>
      <c r="AY9" s="111">
        <f t="shared" si="26"/>
        <v>62500000</v>
      </c>
    </row>
    <row r="10" spans="1:51">
      <c r="A10" s="8" t="s">
        <v>383</v>
      </c>
      <c r="B10" s="3">
        <v>125</v>
      </c>
      <c r="C10" s="3">
        <v>1129.9000000000001</v>
      </c>
      <c r="D10" s="3">
        <v>200</v>
      </c>
      <c r="E10" s="3">
        <v>2</v>
      </c>
      <c r="F10" s="3">
        <v>2</v>
      </c>
      <c r="G10" s="3" t="s">
        <v>370</v>
      </c>
      <c r="H10" s="3" t="s">
        <v>374</v>
      </c>
      <c r="I10" s="111">
        <f t="shared" si="0"/>
        <v>62.5</v>
      </c>
      <c r="J10" s="111">
        <f t="shared" si="15"/>
        <v>2</v>
      </c>
      <c r="K10" s="111">
        <f t="shared" si="1"/>
        <v>2</v>
      </c>
      <c r="L10" s="111">
        <f t="shared" si="2"/>
        <v>2259.8000000000002</v>
      </c>
      <c r="M10" s="111">
        <f t="shared" si="3"/>
        <v>36.156800000000004</v>
      </c>
      <c r="N10" s="117">
        <f t="shared" si="4"/>
        <v>534.72222222222217</v>
      </c>
      <c r="O10" s="117">
        <f t="shared" si="5"/>
        <v>9.2496246170077381</v>
      </c>
      <c r="P10" s="99" t="s">
        <v>237</v>
      </c>
      <c r="Q10" s="99">
        <f t="shared" ca="1" si="6"/>
        <v>17</v>
      </c>
      <c r="R10" s="122" t="str">
        <f t="shared" si="7"/>
        <v>2h</v>
      </c>
      <c r="S10" s="4" t="str">
        <f t="shared" si="8"/>
        <v>203B4Ah</v>
      </c>
      <c r="T10" s="4" t="e">
        <f t="shared" ca="1" si="9"/>
        <v>#NAME?</v>
      </c>
      <c r="U10" s="4" t="s">
        <v>248</v>
      </c>
      <c r="V10" s="4" t="str">
        <f t="shared" si="10"/>
        <v>5AB264h</v>
      </c>
      <c r="W10" s="4" t="s">
        <v>262</v>
      </c>
      <c r="X10" s="4" t="str">
        <f t="shared" si="16"/>
        <v>7C021h</v>
      </c>
      <c r="Y10" s="111" t="s">
        <v>276</v>
      </c>
      <c r="Z10" s="111" t="s">
        <v>276</v>
      </c>
      <c r="AA10" s="111" t="s">
        <v>276</v>
      </c>
      <c r="AB10" s="4" t="str">
        <f t="shared" si="11"/>
        <v>81h</v>
      </c>
      <c r="AC10" s="111" t="s">
        <v>263</v>
      </c>
      <c r="AD10" s="111" t="s">
        <v>264</v>
      </c>
      <c r="AE10" s="111" t="s">
        <v>265</v>
      </c>
      <c r="AF10" s="111" t="s">
        <v>266</v>
      </c>
      <c r="AG10" s="4" t="s">
        <v>239</v>
      </c>
      <c r="AH10" s="4" t="s">
        <v>241</v>
      </c>
      <c r="AI10" s="138" t="str">
        <f t="shared" si="12"/>
        <v>E110h</v>
      </c>
      <c r="AJ10" s="138" t="s">
        <v>230</v>
      </c>
      <c r="AK10" s="138" t="str">
        <f t="shared" si="17"/>
        <v>24h</v>
      </c>
      <c r="AL10" s="138" t="str">
        <f t="shared" si="18"/>
        <v>28240Bh</v>
      </c>
      <c r="AM10" s="142" t="str">
        <f t="shared" si="19"/>
        <v>2818h</v>
      </c>
      <c r="AN10" s="142" t="s">
        <v>362</v>
      </c>
      <c r="AO10" s="142" t="s">
        <v>365</v>
      </c>
      <c r="AP10" s="142" t="s">
        <v>363</v>
      </c>
      <c r="AQ10" s="4" t="str">
        <f t="shared" si="20"/>
        <v>271h</v>
      </c>
      <c r="AR10" s="122" t="str">
        <f t="shared" si="13"/>
        <v>28240Ch</v>
      </c>
      <c r="AS10" s="122" t="str">
        <f t="shared" si="21"/>
        <v>271h</v>
      </c>
      <c r="AT10" s="122" t="str">
        <f t="shared" si="14"/>
        <v>28F5C3h</v>
      </c>
      <c r="AU10" s="111">
        <f t="shared" si="22"/>
        <v>100000</v>
      </c>
      <c r="AV10" s="111">
        <f t="shared" si="23"/>
        <v>200000</v>
      </c>
      <c r="AW10" s="111">
        <f t="shared" si="24"/>
        <v>100000</v>
      </c>
      <c r="AX10" s="111">
        <f t="shared" si="25"/>
        <v>2259800000</v>
      </c>
      <c r="AY10" s="111">
        <f t="shared" si="26"/>
        <v>62500000</v>
      </c>
    </row>
    <row r="11" spans="1:51">
      <c r="A11" s="8" t="s">
        <v>383</v>
      </c>
      <c r="B11" s="3">
        <v>125</v>
      </c>
      <c r="C11" s="3">
        <v>2327.5</v>
      </c>
      <c r="D11" s="3">
        <v>200</v>
      </c>
      <c r="E11" s="3">
        <v>2</v>
      </c>
      <c r="F11" s="3">
        <v>2</v>
      </c>
      <c r="G11" s="3" t="s">
        <v>370</v>
      </c>
      <c r="H11" s="3" t="s">
        <v>374</v>
      </c>
      <c r="I11" s="111">
        <f t="shared" si="0"/>
        <v>62.5</v>
      </c>
      <c r="J11" s="111">
        <f t="shared" si="15"/>
        <v>1</v>
      </c>
      <c r="K11" s="111">
        <f t="shared" si="1"/>
        <v>1</v>
      </c>
      <c r="L11" s="111">
        <f t="shared" si="2"/>
        <v>2327.5</v>
      </c>
      <c r="M11" s="111">
        <f t="shared" si="3"/>
        <v>37.24</v>
      </c>
      <c r="N11" s="117">
        <f t="shared" si="4"/>
        <v>534.72222222222217</v>
      </c>
      <c r="O11" s="117">
        <f t="shared" si="5"/>
        <v>9.2496246170077381</v>
      </c>
      <c r="P11" s="99" t="s">
        <v>237</v>
      </c>
      <c r="Q11" s="99">
        <f t="shared" ca="1" si="6"/>
        <v>17</v>
      </c>
      <c r="R11" s="122" t="str">
        <f t="shared" si="7"/>
        <v>2h</v>
      </c>
      <c r="S11" s="4" t="str">
        <f t="shared" si="8"/>
        <v>203B4Ah</v>
      </c>
      <c r="T11" s="4" t="e">
        <f t="shared" ca="1" si="9"/>
        <v>#NAME?</v>
      </c>
      <c r="U11" s="4" t="s">
        <v>248</v>
      </c>
      <c r="V11" s="4" t="str">
        <f t="shared" si="10"/>
        <v>5AB264h</v>
      </c>
      <c r="W11" s="4" t="s">
        <v>262</v>
      </c>
      <c r="X11" s="4" t="str">
        <f t="shared" si="16"/>
        <v>7C021h</v>
      </c>
      <c r="Y11" s="111" t="s">
        <v>276</v>
      </c>
      <c r="Z11" s="111" t="s">
        <v>276</v>
      </c>
      <c r="AA11" s="111" t="s">
        <v>276</v>
      </c>
      <c r="AB11" s="4" t="str">
        <f t="shared" si="11"/>
        <v>81h</v>
      </c>
      <c r="AC11" s="111" t="s">
        <v>263</v>
      </c>
      <c r="AD11" s="111" t="s">
        <v>264</v>
      </c>
      <c r="AE11" s="111" t="s">
        <v>265</v>
      </c>
      <c r="AF11" s="111" t="s">
        <v>266</v>
      </c>
      <c r="AG11" s="4" t="s">
        <v>239</v>
      </c>
      <c r="AH11" s="4" t="s">
        <v>241</v>
      </c>
      <c r="AI11" s="138" t="str">
        <f t="shared" si="12"/>
        <v>E090h</v>
      </c>
      <c r="AJ11" s="138" t="s">
        <v>230</v>
      </c>
      <c r="AK11" s="138" t="str">
        <f t="shared" si="17"/>
        <v>25h</v>
      </c>
      <c r="AL11" s="138" t="str">
        <f t="shared" si="18"/>
        <v>3D70A3h</v>
      </c>
      <c r="AM11" s="142" t="str">
        <f t="shared" si="19"/>
        <v>2818h</v>
      </c>
      <c r="AN11" s="142" t="s">
        <v>362</v>
      </c>
      <c r="AO11" s="142" t="s">
        <v>365</v>
      </c>
      <c r="AP11" s="142" t="s">
        <v>363</v>
      </c>
      <c r="AQ11" s="4" t="str">
        <f t="shared" si="20"/>
        <v>19h</v>
      </c>
      <c r="AR11" s="122" t="str">
        <f t="shared" si="13"/>
        <v>3D70A4h</v>
      </c>
      <c r="AS11" s="122" t="str">
        <f t="shared" si="21"/>
        <v>271h</v>
      </c>
      <c r="AT11" s="122" t="str">
        <f t="shared" si="14"/>
        <v>3E425Bh</v>
      </c>
      <c r="AU11" s="111">
        <f t="shared" si="22"/>
        <v>100000</v>
      </c>
      <c r="AV11" s="111">
        <f t="shared" si="23"/>
        <v>200000</v>
      </c>
      <c r="AW11" s="111">
        <f t="shared" si="24"/>
        <v>2500000</v>
      </c>
      <c r="AX11" s="111">
        <f t="shared" si="25"/>
        <v>2327500000</v>
      </c>
      <c r="AY11" s="111">
        <f t="shared" si="26"/>
        <v>62500000</v>
      </c>
    </row>
    <row r="12" spans="1:51">
      <c r="A12" s="8" t="s">
        <v>383</v>
      </c>
      <c r="B12" s="3">
        <v>66.44</v>
      </c>
      <c r="C12" s="3">
        <v>751</v>
      </c>
      <c r="D12" s="3"/>
      <c r="E12" s="3">
        <v>2</v>
      </c>
      <c r="F12" s="3">
        <v>1</v>
      </c>
      <c r="G12" s="3" t="s">
        <v>372</v>
      </c>
      <c r="H12" s="3" t="s">
        <v>374</v>
      </c>
      <c r="I12" s="111">
        <f t="shared" si="0"/>
        <v>66.44</v>
      </c>
      <c r="J12" s="111">
        <f t="shared" si="15"/>
        <v>2</v>
      </c>
      <c r="K12" s="111">
        <f t="shared" si="1"/>
        <v>2</v>
      </c>
      <c r="L12" s="111">
        <f t="shared" si="2"/>
        <v>1502</v>
      </c>
      <c r="M12" s="111">
        <f t="shared" si="3"/>
        <v>22.606863335340158</v>
      </c>
      <c r="N12" s="117">
        <f t="shared" si="4"/>
        <v>568.43111111111102</v>
      </c>
      <c r="O12" s="117">
        <f t="shared" si="5"/>
        <v>8.9711745071792812</v>
      </c>
      <c r="P12" s="99" t="s">
        <v>237</v>
      </c>
      <c r="Q12" s="99">
        <f t="shared" ca="1" si="6"/>
        <v>9</v>
      </c>
      <c r="R12" s="122" t="str">
        <f t="shared" si="7"/>
        <v>1h</v>
      </c>
      <c r="S12" s="4" t="str">
        <f t="shared" si="8"/>
        <v>203B4Ah</v>
      </c>
      <c r="T12" s="4" t="e">
        <f t="shared" ca="1" si="9"/>
        <v>#NAME?</v>
      </c>
      <c r="U12" s="4" t="s">
        <v>248</v>
      </c>
      <c r="V12" s="4" t="str">
        <f t="shared" si="10"/>
        <v>5C7264h</v>
      </c>
      <c r="W12" s="4" t="s">
        <v>262</v>
      </c>
      <c r="X12" s="4" t="str">
        <f t="shared" si="16"/>
        <v>7C021h</v>
      </c>
      <c r="Y12" s="111" t="s">
        <v>276</v>
      </c>
      <c r="Z12" s="111" t="s">
        <v>276</v>
      </c>
      <c r="AA12" s="111" t="s">
        <v>276</v>
      </c>
      <c r="AB12" s="4" t="str">
        <f t="shared" si="11"/>
        <v>81h</v>
      </c>
      <c r="AC12" s="111" t="s">
        <v>263</v>
      </c>
      <c r="AD12" s="111" t="s">
        <v>264</v>
      </c>
      <c r="AE12" s="111" t="s">
        <v>265</v>
      </c>
      <c r="AF12" s="111" t="s">
        <v>266</v>
      </c>
      <c r="AG12" s="4" t="s">
        <v>239</v>
      </c>
      <c r="AH12" s="4" t="s">
        <v>241</v>
      </c>
      <c r="AI12" s="138" t="str">
        <f t="shared" si="12"/>
        <v>E110h</v>
      </c>
      <c r="AJ12" s="138" t="s">
        <v>230</v>
      </c>
      <c r="AK12" s="138" t="str">
        <f t="shared" si="17"/>
        <v>16h</v>
      </c>
      <c r="AL12" s="138" t="str">
        <f t="shared" si="18"/>
        <v>9B5B65h</v>
      </c>
      <c r="AM12" s="142" t="str">
        <f t="shared" si="19"/>
        <v>2898h</v>
      </c>
      <c r="AN12" s="142" t="s">
        <v>362</v>
      </c>
      <c r="AO12" s="142" t="s">
        <v>365</v>
      </c>
      <c r="AP12" s="142" t="s">
        <v>363</v>
      </c>
      <c r="AQ12" s="4" t="str">
        <f t="shared" si="20"/>
        <v>67Dh</v>
      </c>
      <c r="AR12" s="122" t="str">
        <f t="shared" si="13"/>
        <v>9B5B66h</v>
      </c>
      <c r="AS12" s="122" t="str">
        <f t="shared" si="21"/>
        <v>1h</v>
      </c>
      <c r="AT12" s="122" t="str">
        <f t="shared" si="14"/>
        <v>9B5B66h</v>
      </c>
      <c r="AU12" s="111">
        <f t="shared" si="22"/>
        <v>66440000</v>
      </c>
      <c r="AV12" s="111">
        <f t="shared" si="23"/>
        <v>0</v>
      </c>
      <c r="AW12" s="111">
        <f t="shared" si="24"/>
        <v>40000</v>
      </c>
      <c r="AX12" s="111">
        <f t="shared" si="25"/>
        <v>1502000000</v>
      </c>
      <c r="AY12" s="111">
        <f t="shared" si="26"/>
        <v>66440000</v>
      </c>
    </row>
    <row r="13" spans="1:51">
      <c r="A13" s="8" t="s">
        <v>383</v>
      </c>
      <c r="B13" s="3">
        <v>80</v>
      </c>
      <c r="C13" s="3">
        <v>1750</v>
      </c>
      <c r="D13" s="3"/>
      <c r="E13" s="3">
        <v>1</v>
      </c>
      <c r="F13" s="3">
        <v>1</v>
      </c>
      <c r="G13" s="3" t="s">
        <v>372</v>
      </c>
      <c r="H13" s="3"/>
      <c r="I13" s="111">
        <f t="shared" si="0"/>
        <v>80</v>
      </c>
      <c r="J13" s="111">
        <f t="shared" si="15"/>
        <v>1</v>
      </c>
      <c r="K13" s="111">
        <f t="shared" si="1"/>
        <v>1</v>
      </c>
      <c r="L13" s="111">
        <f t="shared" si="2"/>
        <v>1750</v>
      </c>
      <c r="M13" s="111">
        <f t="shared" si="3"/>
        <v>21.875</v>
      </c>
      <c r="N13" s="117">
        <f t="shared" si="4"/>
        <v>342.22222222222223</v>
      </c>
      <c r="O13" s="117">
        <f t="shared" si="5"/>
        <v>8.1755903626452433</v>
      </c>
      <c r="P13" s="99" t="s">
        <v>237</v>
      </c>
      <c r="Q13" s="99">
        <f t="shared" ca="1" si="6"/>
        <v>1</v>
      </c>
      <c r="R13" s="122" t="str">
        <f t="shared" si="7"/>
        <v>1h</v>
      </c>
      <c r="S13" s="4" t="str">
        <f t="shared" si="8"/>
        <v>203B4Ah</v>
      </c>
      <c r="T13" s="4" t="e">
        <f t="shared" ca="1" si="9"/>
        <v>#NAME?</v>
      </c>
      <c r="U13" s="4" t="s">
        <v>248</v>
      </c>
      <c r="V13" s="4" t="str">
        <f t="shared" si="10"/>
        <v>511932h</v>
      </c>
      <c r="W13" s="4" t="s">
        <v>262</v>
      </c>
      <c r="X13" s="4" t="str">
        <f t="shared" si="16"/>
        <v>7C021h</v>
      </c>
      <c r="Y13" s="111" t="s">
        <v>276</v>
      </c>
      <c r="Z13" s="111" t="s">
        <v>276</v>
      </c>
      <c r="AA13" s="111" t="s">
        <v>276</v>
      </c>
      <c r="AB13" s="4" t="str">
        <f t="shared" si="11"/>
        <v>Check LD req'd!</v>
      </c>
      <c r="AC13" s="111" t="s">
        <v>263</v>
      </c>
      <c r="AD13" s="111" t="s">
        <v>264</v>
      </c>
      <c r="AE13" s="111" t="s">
        <v>265</v>
      </c>
      <c r="AF13" s="111" t="s">
        <v>266</v>
      </c>
      <c r="AG13" s="4" t="s">
        <v>239</v>
      </c>
      <c r="AH13" s="4" t="s">
        <v>241</v>
      </c>
      <c r="AI13" s="138" t="str">
        <f t="shared" si="12"/>
        <v>E090h</v>
      </c>
      <c r="AJ13" s="138" t="s">
        <v>230</v>
      </c>
      <c r="AK13" s="138" t="str">
        <f t="shared" si="17"/>
        <v>15h</v>
      </c>
      <c r="AL13" s="138" t="str">
        <f t="shared" si="18"/>
        <v>E00000h</v>
      </c>
      <c r="AM13" s="142" t="str">
        <f t="shared" si="19"/>
        <v>2898h</v>
      </c>
      <c r="AN13" s="142" t="s">
        <v>362</v>
      </c>
      <c r="AO13" s="142" t="s">
        <v>365</v>
      </c>
      <c r="AP13" s="142" t="s">
        <v>363</v>
      </c>
      <c r="AQ13" s="4" t="str">
        <f t="shared" si="20"/>
        <v>8h</v>
      </c>
      <c r="AR13" s="122" t="str">
        <f t="shared" si="13"/>
        <v>E00000h</v>
      </c>
      <c r="AS13" s="122" t="str">
        <f t="shared" si="21"/>
        <v>1h</v>
      </c>
      <c r="AT13" s="122" t="str">
        <f t="shared" si="14"/>
        <v>E00000h</v>
      </c>
      <c r="AU13" s="111">
        <f t="shared" si="22"/>
        <v>80000000</v>
      </c>
      <c r="AV13" s="111">
        <f t="shared" si="23"/>
        <v>0</v>
      </c>
      <c r="AW13" s="111">
        <f t="shared" si="24"/>
        <v>10000000</v>
      </c>
      <c r="AX13" s="111">
        <f t="shared" si="25"/>
        <v>1750000000</v>
      </c>
      <c r="AY13" s="111">
        <f t="shared" si="26"/>
        <v>80000000</v>
      </c>
    </row>
    <row r="14" spans="1:51">
      <c r="A14" s="8" t="s">
        <v>384</v>
      </c>
      <c r="B14" s="3">
        <v>50</v>
      </c>
      <c r="C14" s="3">
        <v>1000.9</v>
      </c>
      <c r="D14" s="3"/>
      <c r="E14" s="3">
        <v>2</v>
      </c>
      <c r="F14" s="3">
        <v>1</v>
      </c>
      <c r="G14" s="3" t="s">
        <v>372</v>
      </c>
      <c r="H14" s="3"/>
      <c r="I14" s="111">
        <f t="shared" si="0"/>
        <v>50</v>
      </c>
      <c r="J14" s="111">
        <f t="shared" si="15"/>
        <v>2</v>
      </c>
      <c r="K14" s="111">
        <f t="shared" si="1"/>
        <v>2</v>
      </c>
      <c r="L14" s="111">
        <f t="shared" si="2"/>
        <v>2001.8</v>
      </c>
      <c r="M14" s="111">
        <f t="shared" si="3"/>
        <v>40.036000000000001</v>
      </c>
      <c r="N14" s="117">
        <f t="shared" si="4"/>
        <v>427.77777777777777</v>
      </c>
      <c r="O14" s="117">
        <f t="shared" si="5"/>
        <v>10.34139470499238</v>
      </c>
      <c r="P14" s="99" t="s">
        <v>237</v>
      </c>
      <c r="Q14" s="99">
        <f t="shared" ca="1" si="6"/>
        <v>25</v>
      </c>
      <c r="R14" s="122" t="str">
        <f t="shared" si="7"/>
        <v>1h</v>
      </c>
      <c r="S14" s="4" t="str">
        <f t="shared" si="8"/>
        <v>200B4Ah</v>
      </c>
      <c r="T14" s="4" t="e">
        <f t="shared" ca="1" si="9"/>
        <v>#NAME?</v>
      </c>
      <c r="U14" s="4" t="s">
        <v>248</v>
      </c>
      <c r="V14" s="4" t="str">
        <f t="shared" si="10"/>
        <v>557264h</v>
      </c>
      <c r="W14" s="4" t="s">
        <v>262</v>
      </c>
      <c r="X14" s="4" t="str">
        <f t="shared" si="16"/>
        <v>7C021h</v>
      </c>
      <c r="Y14" s="111" t="s">
        <v>276</v>
      </c>
      <c r="Z14" s="111" t="s">
        <v>276</v>
      </c>
      <c r="AA14" s="111" t="s">
        <v>276</v>
      </c>
      <c r="AB14" s="4" t="str">
        <f t="shared" si="11"/>
        <v>Check LD req'd!</v>
      </c>
      <c r="AC14" s="111" t="s">
        <v>263</v>
      </c>
      <c r="AD14" s="111" t="s">
        <v>264</v>
      </c>
      <c r="AE14" s="111" t="s">
        <v>265</v>
      </c>
      <c r="AF14" s="111" t="s">
        <v>266</v>
      </c>
      <c r="AG14" s="4" t="s">
        <v>239</v>
      </c>
      <c r="AH14" s="4" t="s">
        <v>241</v>
      </c>
      <c r="AI14" s="138" t="str">
        <f t="shared" si="12"/>
        <v>E110h</v>
      </c>
      <c r="AJ14" s="138" t="s">
        <v>230</v>
      </c>
      <c r="AK14" s="138" t="str">
        <f t="shared" si="17"/>
        <v>28h</v>
      </c>
      <c r="AL14" s="138" t="str">
        <f t="shared" si="18"/>
        <v>9374Bh</v>
      </c>
      <c r="AM14" s="142" t="str">
        <f t="shared" si="19"/>
        <v>2898h</v>
      </c>
      <c r="AN14" s="142" t="s">
        <v>362</v>
      </c>
      <c r="AO14" s="142" t="s">
        <v>365</v>
      </c>
      <c r="AP14" s="142" t="s">
        <v>363</v>
      </c>
      <c r="AQ14" s="4" t="str">
        <f t="shared" si="20"/>
        <v>FAh</v>
      </c>
      <c r="AR14" s="122" t="str">
        <f t="shared" si="13"/>
        <v>9374Ch</v>
      </c>
      <c r="AS14" s="122" t="str">
        <f t="shared" si="21"/>
        <v>1h</v>
      </c>
      <c r="AT14" s="122" t="str">
        <f t="shared" si="14"/>
        <v>9374Ch</v>
      </c>
      <c r="AU14" s="111">
        <f t="shared" si="22"/>
        <v>50000000</v>
      </c>
      <c r="AV14" s="111">
        <f t="shared" si="23"/>
        <v>0</v>
      </c>
      <c r="AW14" s="111">
        <f t="shared" si="24"/>
        <v>200000</v>
      </c>
      <c r="AX14" s="111">
        <f t="shared" si="25"/>
        <v>2001800000</v>
      </c>
      <c r="AY14" s="111">
        <f t="shared" si="26"/>
        <v>50000000</v>
      </c>
    </row>
    <row r="21" spans="22:24">
      <c r="V21" s="1"/>
      <c r="W21" s="1"/>
      <c r="X21" s="1"/>
    </row>
  </sheetData>
  <protectedRanges>
    <protectedRange password="CC3D" sqref="P1:Q65536 R4 S1:S3 S5:S65536" name="区域1"/>
  </protectedRanges>
  <autoFilter ref="A6:AY14"/>
  <phoneticPr fontId="2" type="noConversion"/>
  <dataValidations count="2">
    <dataValidation type="list" allowBlank="1" showInputMessage="1" showErrorMessage="1" sqref="G7:G14">
      <formula1>"Differential,Single-ended"</formula1>
    </dataValidation>
    <dataValidation type="list" allowBlank="1" showInputMessage="1" showErrorMessage="1" sqref="H7:H14">
      <formula1>"Read SPI Reg 12h,Read LD output"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7" sqref="C7"/>
    </sheetView>
  </sheetViews>
  <sheetFormatPr defaultRowHeight="16.5"/>
  <cols>
    <col min="1" max="1" width="6.375" customWidth="1"/>
    <col min="2" max="2" width="10.5" bestFit="1" customWidth="1"/>
    <col min="3" max="3" width="73.5" style="12" bestFit="1" customWidth="1"/>
    <col min="4" max="4" width="18.875" style="15" bestFit="1" customWidth="1"/>
  </cols>
  <sheetData>
    <row r="1" spans="1:4">
      <c r="A1" t="s">
        <v>143</v>
      </c>
    </row>
    <row r="2" spans="1:4">
      <c r="A2" s="32" t="s">
        <v>144</v>
      </c>
      <c r="B2" s="32" t="s">
        <v>22</v>
      </c>
      <c r="C2" s="33" t="s">
        <v>23</v>
      </c>
      <c r="D2" s="34" t="s">
        <v>27</v>
      </c>
    </row>
    <row r="3" spans="1:4">
      <c r="A3" s="4">
        <v>1</v>
      </c>
      <c r="B3" s="4" t="s">
        <v>24</v>
      </c>
      <c r="C3" s="13" t="s">
        <v>25</v>
      </c>
      <c r="D3" s="31" t="s">
        <v>136</v>
      </c>
    </row>
    <row r="4" spans="1:4">
      <c r="A4" s="4">
        <v>2</v>
      </c>
      <c r="B4" s="4" t="s">
        <v>24</v>
      </c>
      <c r="C4" s="13" t="s">
        <v>35</v>
      </c>
      <c r="D4" s="31" t="s">
        <v>136</v>
      </c>
    </row>
    <row r="5" spans="1:4">
      <c r="A5" s="4">
        <v>3</v>
      </c>
      <c r="B5" s="4" t="s">
        <v>24</v>
      </c>
      <c r="C5" s="13" t="s">
        <v>135</v>
      </c>
      <c r="D5" s="31" t="s">
        <v>136</v>
      </c>
    </row>
    <row r="6" spans="1:4">
      <c r="A6" s="4">
        <v>4</v>
      </c>
      <c r="B6" s="4" t="s">
        <v>24</v>
      </c>
      <c r="C6" s="13" t="s">
        <v>138</v>
      </c>
      <c r="D6" s="31" t="s">
        <v>136</v>
      </c>
    </row>
    <row r="7" spans="1:4" s="2" customFormat="1" ht="33">
      <c r="A7" s="3">
        <v>5</v>
      </c>
      <c r="B7" s="3" t="s">
        <v>400</v>
      </c>
      <c r="C7" s="133" t="s">
        <v>401</v>
      </c>
      <c r="D7" s="134" t="s">
        <v>402</v>
      </c>
    </row>
    <row r="8" spans="1:4" ht="33">
      <c r="A8" s="4">
        <v>6</v>
      </c>
      <c r="B8" s="4" t="s">
        <v>26</v>
      </c>
      <c r="C8" s="13" t="s">
        <v>139</v>
      </c>
      <c r="D8" s="31" t="s">
        <v>137</v>
      </c>
    </row>
    <row r="9" spans="1:4">
      <c r="A9" s="4">
        <v>7</v>
      </c>
      <c r="B9" s="4" t="s">
        <v>26</v>
      </c>
      <c r="C9" s="13" t="s">
        <v>140</v>
      </c>
      <c r="D9" s="31">
        <v>5</v>
      </c>
    </row>
    <row r="10" spans="1:4">
      <c r="A10" s="4">
        <v>8</v>
      </c>
      <c r="B10" s="4" t="s">
        <v>26</v>
      </c>
      <c r="C10" s="13" t="s">
        <v>141</v>
      </c>
      <c r="D10" s="31" t="s">
        <v>31</v>
      </c>
    </row>
    <row r="11" spans="1:4">
      <c r="A11" s="4">
        <v>9</v>
      </c>
      <c r="B11" s="4" t="s">
        <v>26</v>
      </c>
      <c r="C11" s="13" t="s">
        <v>283</v>
      </c>
      <c r="D11" s="31" t="s">
        <v>32</v>
      </c>
    </row>
    <row r="12" spans="1:4" s="2" customFormat="1">
      <c r="A12" s="4">
        <v>10</v>
      </c>
      <c r="B12" s="4" t="s">
        <v>26</v>
      </c>
      <c r="C12" s="13" t="s">
        <v>142</v>
      </c>
      <c r="D12" s="31" t="s">
        <v>33</v>
      </c>
    </row>
    <row r="13" spans="1:4" s="2" customFormat="1" ht="33">
      <c r="A13" s="4">
        <v>11</v>
      </c>
      <c r="B13" s="3" t="s">
        <v>284</v>
      </c>
      <c r="C13" s="133" t="s">
        <v>282</v>
      </c>
      <c r="D13" s="134"/>
    </row>
    <row r="14" spans="1:4" s="2" customFormat="1">
      <c r="A14" s="4">
        <v>12</v>
      </c>
      <c r="B14" s="3" t="s">
        <v>284</v>
      </c>
      <c r="C14" s="133" t="s">
        <v>281</v>
      </c>
      <c r="D14" s="134"/>
    </row>
    <row r="15" spans="1:4" s="2" customFormat="1" ht="49.5">
      <c r="A15" s="4">
        <v>13</v>
      </c>
      <c r="B15" s="3" t="s">
        <v>284</v>
      </c>
      <c r="C15" s="133" t="s">
        <v>368</v>
      </c>
      <c r="D15" s="134"/>
    </row>
    <row r="16" spans="1:4" ht="49.5">
      <c r="A16" s="4">
        <v>14</v>
      </c>
      <c r="B16" s="3" t="s">
        <v>284</v>
      </c>
      <c r="C16" s="133" t="s">
        <v>337</v>
      </c>
      <c r="D16" s="134"/>
    </row>
    <row r="17" spans="1:4">
      <c r="A17" s="4">
        <v>15</v>
      </c>
      <c r="B17" s="3" t="s">
        <v>284</v>
      </c>
      <c r="C17" s="133" t="s">
        <v>369</v>
      </c>
      <c r="D17" s="134"/>
    </row>
  </sheetData>
  <autoFilter ref="A2:D2">
    <sortState ref="A3:D17">
      <sortCondition ref="B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J24"/>
  <sheetViews>
    <sheetView workbookViewId="0">
      <selection activeCell="F12" sqref="F12"/>
    </sheetView>
  </sheetViews>
  <sheetFormatPr defaultRowHeight="16.5"/>
  <cols>
    <col min="1" max="1" width="11" style="19" bestFit="1" customWidth="1"/>
    <col min="2" max="2" width="19.5" bestFit="1" customWidth="1"/>
    <col min="3" max="3" width="13.375" bestFit="1" customWidth="1"/>
    <col min="4" max="4" width="7.25" style="1" bestFit="1" customWidth="1"/>
    <col min="5" max="5" width="5.375" style="1" bestFit="1" customWidth="1"/>
    <col min="6" max="6" width="13.5" bestFit="1" customWidth="1"/>
    <col min="7" max="8" width="6.625" bestFit="1" customWidth="1"/>
    <col min="9" max="10" width="5.375" style="16" bestFit="1" customWidth="1"/>
  </cols>
  <sheetData>
    <row r="2" spans="1:10">
      <c r="C2" t="s">
        <v>40</v>
      </c>
      <c r="D2" s="1" t="s">
        <v>48</v>
      </c>
      <c r="F2" t="s">
        <v>49</v>
      </c>
      <c r="I2" s="155" t="s">
        <v>50</v>
      </c>
      <c r="J2" s="155"/>
    </row>
    <row r="3" spans="1:10" s="27" customFormat="1" ht="33">
      <c r="A3" s="25" t="s">
        <v>39</v>
      </c>
      <c r="B3" s="25" t="s">
        <v>67</v>
      </c>
      <c r="C3" s="25" t="s">
        <v>41</v>
      </c>
      <c r="D3" s="38" t="s">
        <v>46</v>
      </c>
      <c r="E3" s="38" t="s">
        <v>47</v>
      </c>
      <c r="F3" s="25" t="s">
        <v>41</v>
      </c>
      <c r="G3" s="25" t="s">
        <v>53</v>
      </c>
      <c r="H3" s="25" t="s">
        <v>54</v>
      </c>
      <c r="I3" s="26" t="s">
        <v>51</v>
      </c>
      <c r="J3" s="26" t="s">
        <v>52</v>
      </c>
    </row>
    <row r="4" spans="1:10">
      <c r="A4" s="23" t="s">
        <v>58</v>
      </c>
      <c r="B4" s="4" t="s">
        <v>45</v>
      </c>
      <c r="C4" s="4" t="s">
        <v>42</v>
      </c>
      <c r="D4" s="5">
        <v>0.6</v>
      </c>
      <c r="E4" s="5">
        <v>2.5</v>
      </c>
      <c r="F4" s="4"/>
      <c r="G4" s="4"/>
      <c r="H4" s="4"/>
      <c r="I4" s="24"/>
      <c r="J4" s="24"/>
    </row>
    <row r="5" spans="1:10">
      <c r="A5" s="23">
        <v>10</v>
      </c>
      <c r="B5" s="4" t="s">
        <v>45</v>
      </c>
      <c r="C5" s="4" t="s">
        <v>42</v>
      </c>
      <c r="D5" s="5">
        <v>0.6</v>
      </c>
      <c r="E5" s="5">
        <v>2.5</v>
      </c>
      <c r="F5" s="4"/>
      <c r="G5" s="4"/>
      <c r="H5" s="4"/>
      <c r="I5" s="24"/>
      <c r="J5" s="24"/>
    </row>
    <row r="6" spans="1:10">
      <c r="A6" s="23">
        <v>25</v>
      </c>
      <c r="B6" s="4" t="s">
        <v>45</v>
      </c>
      <c r="C6" s="4" t="s">
        <v>42</v>
      </c>
      <c r="D6" s="5">
        <v>0.6</v>
      </c>
      <c r="E6" s="5">
        <v>2.5</v>
      </c>
      <c r="F6" s="4" t="s">
        <v>43</v>
      </c>
      <c r="G6" s="4">
        <v>8</v>
      </c>
      <c r="H6" s="4">
        <v>15</v>
      </c>
      <c r="I6" s="24">
        <f t="shared" ref="I6:J10" si="0">(10^(G6/10)/1000*50)^0.5*2^0.5/2</f>
        <v>0.3971641173621408</v>
      </c>
      <c r="J6" s="24">
        <f t="shared" si="0"/>
        <v>0.88913970501946171</v>
      </c>
    </row>
    <row r="7" spans="1:10">
      <c r="A7" s="23">
        <v>50</v>
      </c>
      <c r="B7" s="4" t="s">
        <v>45</v>
      </c>
      <c r="C7" s="4" t="s">
        <v>42</v>
      </c>
      <c r="D7" s="5">
        <v>0.6</v>
      </c>
      <c r="E7" s="5">
        <v>2.5</v>
      </c>
      <c r="F7" s="4" t="s">
        <v>42</v>
      </c>
      <c r="G7" s="4">
        <v>6</v>
      </c>
      <c r="H7" s="4">
        <v>15</v>
      </c>
      <c r="I7" s="24">
        <f t="shared" si="0"/>
        <v>0.31547867224009668</v>
      </c>
      <c r="J7" s="24">
        <f t="shared" si="0"/>
        <v>0.88913970501946171</v>
      </c>
    </row>
    <row r="8" spans="1:10">
      <c r="A8" s="23">
        <v>100</v>
      </c>
      <c r="B8" s="4" t="s">
        <v>45</v>
      </c>
      <c r="C8" s="4" t="s">
        <v>42</v>
      </c>
      <c r="D8" s="5">
        <v>0.6</v>
      </c>
      <c r="E8" s="5">
        <v>2.5</v>
      </c>
      <c r="F8" s="4" t="s">
        <v>42</v>
      </c>
      <c r="G8" s="4">
        <v>5</v>
      </c>
      <c r="H8" s="4">
        <v>15</v>
      </c>
      <c r="I8" s="24">
        <f t="shared" si="0"/>
        <v>0.28117066259517454</v>
      </c>
      <c r="J8" s="24">
        <f t="shared" si="0"/>
        <v>0.88913970501946171</v>
      </c>
    </row>
    <row r="9" spans="1:10">
      <c r="A9" s="23">
        <v>150</v>
      </c>
      <c r="B9" s="4" t="s">
        <v>45</v>
      </c>
      <c r="C9" s="4" t="s">
        <v>43</v>
      </c>
      <c r="D9" s="5">
        <v>0.9</v>
      </c>
      <c r="E9" s="5">
        <v>2.5</v>
      </c>
      <c r="F9" s="4" t="s">
        <v>42</v>
      </c>
      <c r="G9" s="4">
        <v>4</v>
      </c>
      <c r="H9" s="4">
        <v>12</v>
      </c>
      <c r="I9" s="24">
        <f t="shared" si="0"/>
        <v>0.25059361681363618</v>
      </c>
      <c r="J9" s="24">
        <f t="shared" si="0"/>
        <v>0.62946270589708364</v>
      </c>
    </row>
    <row r="10" spans="1:10">
      <c r="A10" s="23">
        <v>200</v>
      </c>
      <c r="B10" s="4" t="s">
        <v>45</v>
      </c>
      <c r="C10" s="4" t="s">
        <v>43</v>
      </c>
      <c r="D10" s="5">
        <v>1.2</v>
      </c>
      <c r="E10" s="5">
        <v>2.5</v>
      </c>
      <c r="F10" s="4" t="s">
        <v>42</v>
      </c>
      <c r="G10" s="4">
        <v>3</v>
      </c>
      <c r="H10" s="4">
        <v>8</v>
      </c>
      <c r="I10" s="24">
        <f t="shared" si="0"/>
        <v>0.2233417960754816</v>
      </c>
      <c r="J10" s="24">
        <f t="shared" si="0"/>
        <v>0.3971641173621408</v>
      </c>
    </row>
    <row r="11" spans="1:10">
      <c r="A11" s="23" t="s">
        <v>58</v>
      </c>
      <c r="B11" s="4" t="s">
        <v>60</v>
      </c>
      <c r="C11" s="4"/>
      <c r="D11" s="5"/>
      <c r="E11" s="5"/>
      <c r="F11" s="4"/>
      <c r="G11" s="4"/>
      <c r="H11" s="4"/>
      <c r="I11" s="24"/>
      <c r="J11" s="24"/>
    </row>
    <row r="12" spans="1:10">
      <c r="A12" s="23">
        <v>10</v>
      </c>
      <c r="B12" s="4" t="s">
        <v>60</v>
      </c>
      <c r="C12" s="4"/>
      <c r="D12" s="5"/>
      <c r="E12" s="5"/>
      <c r="F12" s="4"/>
      <c r="G12" s="4"/>
      <c r="H12" s="4"/>
      <c r="I12" s="24"/>
      <c r="J12" s="24"/>
    </row>
    <row r="13" spans="1:10">
      <c r="A13" s="23">
        <v>25</v>
      </c>
      <c r="B13" s="4" t="s">
        <v>60</v>
      </c>
      <c r="C13" s="4" t="s">
        <v>43</v>
      </c>
      <c r="D13" s="5">
        <v>0.3971641173621408</v>
      </c>
      <c r="E13" s="5">
        <v>0.88913970501946171</v>
      </c>
      <c r="F13" s="4"/>
      <c r="G13" s="4"/>
      <c r="H13" s="4"/>
      <c r="I13" s="24"/>
      <c r="J13" s="24"/>
    </row>
    <row r="14" spans="1:10">
      <c r="A14" s="23">
        <v>50</v>
      </c>
      <c r="B14" s="4" t="s">
        <v>60</v>
      </c>
      <c r="C14" s="4" t="s">
        <v>42</v>
      </c>
      <c r="D14" s="5">
        <v>0.31547867224009668</v>
      </c>
      <c r="E14" s="5">
        <v>0.88913970501946171</v>
      </c>
      <c r="F14" s="4"/>
      <c r="G14" s="4"/>
      <c r="H14" s="4"/>
      <c r="I14" s="24"/>
      <c r="J14" s="24"/>
    </row>
    <row r="15" spans="1:10">
      <c r="A15" s="23">
        <v>100</v>
      </c>
      <c r="B15" s="4" t="s">
        <v>60</v>
      </c>
      <c r="C15" s="4" t="s">
        <v>42</v>
      </c>
      <c r="D15" s="5">
        <v>0.28117066259517454</v>
      </c>
      <c r="E15" s="5">
        <v>0.88913970501946171</v>
      </c>
      <c r="F15" s="4"/>
      <c r="G15" s="4"/>
      <c r="H15" s="4"/>
      <c r="I15" s="24"/>
      <c r="J15" s="24"/>
    </row>
    <row r="16" spans="1:10">
      <c r="A16" s="23">
        <v>150</v>
      </c>
      <c r="B16" s="4" t="s">
        <v>60</v>
      </c>
      <c r="C16" s="4" t="s">
        <v>42</v>
      </c>
      <c r="D16" s="5">
        <v>0.25059361681363618</v>
      </c>
      <c r="E16" s="5">
        <v>0.62946270589708364</v>
      </c>
      <c r="F16" s="4"/>
      <c r="G16" s="4"/>
      <c r="H16" s="4"/>
      <c r="I16" s="24"/>
      <c r="J16" s="24"/>
    </row>
    <row r="17" spans="1:10">
      <c r="A17" s="23">
        <v>200</v>
      </c>
      <c r="B17" s="4" t="s">
        <v>60</v>
      </c>
      <c r="C17" s="4" t="s">
        <v>42</v>
      </c>
      <c r="D17" s="5">
        <v>0.2233417960754816</v>
      </c>
      <c r="E17" s="5">
        <v>0.3971641173621408</v>
      </c>
      <c r="F17" s="4"/>
      <c r="G17" s="4"/>
      <c r="H17" s="4"/>
      <c r="I17" s="24"/>
      <c r="J17" s="24"/>
    </row>
    <row r="18" spans="1:10">
      <c r="A18" s="23" t="s">
        <v>58</v>
      </c>
      <c r="B18" s="4" t="s">
        <v>62</v>
      </c>
      <c r="C18" s="4"/>
      <c r="D18" s="5"/>
      <c r="E18" s="5"/>
      <c r="F18" s="4"/>
      <c r="G18" s="4"/>
      <c r="H18" s="4"/>
      <c r="I18" s="24"/>
      <c r="J18" s="24"/>
    </row>
    <row r="19" spans="1:10">
      <c r="A19" s="23">
        <v>10</v>
      </c>
      <c r="B19" s="4" t="s">
        <v>62</v>
      </c>
      <c r="C19" s="4"/>
      <c r="D19" s="5"/>
      <c r="E19" s="5"/>
      <c r="F19" s="4"/>
      <c r="G19" s="4"/>
      <c r="H19" s="4"/>
      <c r="I19" s="24"/>
      <c r="J19" s="24"/>
    </row>
    <row r="20" spans="1:10">
      <c r="A20" s="23">
        <v>25</v>
      </c>
      <c r="B20" s="4" t="s">
        <v>62</v>
      </c>
      <c r="C20" s="4" t="s">
        <v>43</v>
      </c>
      <c r="D20" s="5">
        <v>0.56167488126147924</v>
      </c>
      <c r="E20" s="5">
        <v>1.2574334296829357</v>
      </c>
      <c r="F20" s="4"/>
      <c r="G20" s="4">
        <v>8</v>
      </c>
      <c r="H20" s="4">
        <v>15</v>
      </c>
      <c r="I20" s="24">
        <f t="shared" ref="I20:J24" si="1">(10^(G20/10)/1000*100)^0.5*2^0.5/2</f>
        <v>0.56167488126147924</v>
      </c>
      <c r="J20" s="24">
        <f t="shared" si="1"/>
        <v>1.2574334296829357</v>
      </c>
    </row>
    <row r="21" spans="1:10">
      <c r="A21" s="23">
        <v>50</v>
      </c>
      <c r="B21" s="4" t="s">
        <v>62</v>
      </c>
      <c r="C21" s="4" t="s">
        <v>42</v>
      </c>
      <c r="D21" s="5">
        <v>0.44615421692140111</v>
      </c>
      <c r="E21" s="5">
        <v>1.2574334296829357</v>
      </c>
      <c r="F21" s="4"/>
      <c r="G21" s="4">
        <v>6</v>
      </c>
      <c r="H21" s="4">
        <v>15</v>
      </c>
      <c r="I21" s="24">
        <f t="shared" si="1"/>
        <v>0.44615421692140111</v>
      </c>
      <c r="J21" s="24">
        <f t="shared" si="1"/>
        <v>1.2574334296829357</v>
      </c>
    </row>
    <row r="22" spans="1:10">
      <c r="A22" s="23">
        <v>100</v>
      </c>
      <c r="B22" s="4" t="s">
        <v>62</v>
      </c>
      <c r="C22" s="4" t="s">
        <v>42</v>
      </c>
      <c r="D22" s="5">
        <v>0.39763536438352537</v>
      </c>
      <c r="E22" s="5">
        <v>1.2574334296829357</v>
      </c>
      <c r="F22" s="4"/>
      <c r="G22" s="4">
        <v>5</v>
      </c>
      <c r="H22" s="4">
        <v>15</v>
      </c>
      <c r="I22" s="24">
        <f t="shared" si="1"/>
        <v>0.39763536438352537</v>
      </c>
      <c r="J22" s="24">
        <f t="shared" si="1"/>
        <v>1.2574334296829357</v>
      </c>
    </row>
    <row r="23" spans="1:10">
      <c r="A23" s="23">
        <v>150</v>
      </c>
      <c r="B23" s="4" t="s">
        <v>62</v>
      </c>
      <c r="C23" s="4" t="s">
        <v>42</v>
      </c>
      <c r="D23" s="5">
        <v>0.35439289154197079</v>
      </c>
      <c r="E23" s="5">
        <v>0.89019469568772258</v>
      </c>
      <c r="F23" s="4"/>
      <c r="G23" s="4">
        <v>4</v>
      </c>
      <c r="H23" s="4">
        <v>12</v>
      </c>
      <c r="I23" s="24">
        <f t="shared" si="1"/>
        <v>0.35439289154197079</v>
      </c>
      <c r="J23" s="24">
        <f t="shared" si="1"/>
        <v>0.89019469568772258</v>
      </c>
    </row>
    <row r="24" spans="1:10">
      <c r="A24" s="23">
        <v>200</v>
      </c>
      <c r="B24" s="4" t="s">
        <v>62</v>
      </c>
      <c r="C24" s="4" t="s">
        <v>42</v>
      </c>
      <c r="D24" s="5">
        <v>0.31585299705471215</v>
      </c>
      <c r="E24" s="5">
        <v>0.56167488126147924</v>
      </c>
      <c r="F24" s="4"/>
      <c r="G24" s="4">
        <v>3</v>
      </c>
      <c r="H24" s="4">
        <v>8</v>
      </c>
      <c r="I24" s="24">
        <f t="shared" si="1"/>
        <v>0.31585299705471215</v>
      </c>
      <c r="J24" s="24">
        <f t="shared" si="1"/>
        <v>0.56167488126147924</v>
      </c>
    </row>
  </sheetData>
  <mergeCells count="1">
    <mergeCell ref="I2:J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I170"/>
  <sheetViews>
    <sheetView topLeftCell="A22" workbookViewId="0">
      <selection activeCell="E151" sqref="E151"/>
    </sheetView>
  </sheetViews>
  <sheetFormatPr defaultRowHeight="16.5"/>
  <cols>
    <col min="1" max="1" width="13.75" bestFit="1" customWidth="1"/>
    <col min="2" max="2" width="12.875" style="12" customWidth="1"/>
    <col min="3" max="3" width="12.5" style="12" customWidth="1"/>
    <col min="4" max="4" width="13" style="12" customWidth="1"/>
    <col min="5" max="5" width="14.25" bestFit="1" customWidth="1"/>
    <col min="6" max="6" width="14.75" bestFit="1" customWidth="1"/>
    <col min="7" max="7" width="8.375" bestFit="1" customWidth="1"/>
    <col min="9" max="9" width="17.875" style="12" customWidth="1"/>
  </cols>
  <sheetData>
    <row r="1" spans="1:7">
      <c r="E1" t="s">
        <v>199</v>
      </c>
    </row>
    <row r="2" spans="1:7">
      <c r="A2" t="s">
        <v>85</v>
      </c>
      <c r="B2" s="12" t="s">
        <v>126</v>
      </c>
      <c r="C2" s="12" t="s">
        <v>125</v>
      </c>
      <c r="D2" s="12" t="s">
        <v>86</v>
      </c>
      <c r="E2" t="s">
        <v>116</v>
      </c>
      <c r="F2" t="s">
        <v>115</v>
      </c>
      <c r="G2" t="s">
        <v>114</v>
      </c>
    </row>
    <row r="3" spans="1:7">
      <c r="A3" t="s">
        <v>70</v>
      </c>
      <c r="B3" s="12" t="s">
        <v>106</v>
      </c>
      <c r="C3" s="12" t="s">
        <v>106</v>
      </c>
      <c r="D3" s="12" t="s">
        <v>106</v>
      </c>
      <c r="E3">
        <v>2190</v>
      </c>
      <c r="F3">
        <v>2550</v>
      </c>
      <c r="G3">
        <f>(F3+E3)/2</f>
        <v>2370</v>
      </c>
    </row>
    <row r="4" spans="1:7">
      <c r="A4" t="s">
        <v>69</v>
      </c>
      <c r="B4" s="12" t="s">
        <v>106</v>
      </c>
      <c r="C4" s="12" t="s">
        <v>106</v>
      </c>
      <c r="D4" s="12" t="s">
        <v>106</v>
      </c>
      <c r="E4">
        <v>1720</v>
      </c>
      <c r="F4">
        <v>2080</v>
      </c>
      <c r="G4">
        <f t="shared" ref="G4:G18" si="0">(F4+E4)/2</f>
        <v>1900</v>
      </c>
    </row>
    <row r="5" spans="1:7">
      <c r="A5" t="s">
        <v>72</v>
      </c>
      <c r="B5" s="12" t="s">
        <v>106</v>
      </c>
      <c r="C5" s="12" t="s">
        <v>106</v>
      </c>
      <c r="D5" s="12" t="s">
        <v>106</v>
      </c>
      <c r="E5">
        <v>1330</v>
      </c>
      <c r="F5">
        <v>1650</v>
      </c>
      <c r="G5">
        <f t="shared" si="0"/>
        <v>1490</v>
      </c>
    </row>
    <row r="6" spans="1:7">
      <c r="A6" t="s">
        <v>73</v>
      </c>
      <c r="B6" s="12" t="s">
        <v>106</v>
      </c>
      <c r="C6" s="12" t="s">
        <v>106</v>
      </c>
      <c r="D6" s="12" t="s">
        <v>106</v>
      </c>
      <c r="E6">
        <v>780</v>
      </c>
      <c r="F6">
        <v>870</v>
      </c>
      <c r="G6">
        <f t="shared" si="0"/>
        <v>825</v>
      </c>
    </row>
    <row r="7" spans="1:7">
      <c r="A7" t="s">
        <v>75</v>
      </c>
      <c r="B7" s="12" t="s">
        <v>106</v>
      </c>
      <c r="C7" s="12" t="s">
        <v>106</v>
      </c>
      <c r="D7" s="12" t="s">
        <v>106</v>
      </c>
      <c r="E7">
        <v>990</v>
      </c>
      <c r="F7">
        <v>1105</v>
      </c>
      <c r="G7">
        <f t="shared" si="0"/>
        <v>1047.5</v>
      </c>
    </row>
    <row r="8" spans="1:7">
      <c r="A8" t="s">
        <v>76</v>
      </c>
      <c r="B8" s="12" t="s">
        <v>106</v>
      </c>
      <c r="C8" s="12" t="s">
        <v>106</v>
      </c>
      <c r="D8" s="12" t="s">
        <v>106</v>
      </c>
      <c r="E8">
        <v>1285</v>
      </c>
      <c r="F8">
        <v>1415</v>
      </c>
      <c r="G8">
        <f t="shared" si="0"/>
        <v>1350</v>
      </c>
    </row>
    <row r="9" spans="1:7">
      <c r="A9" t="s">
        <v>77</v>
      </c>
      <c r="B9" s="12" t="s">
        <v>106</v>
      </c>
      <c r="C9" s="12" t="s">
        <v>106</v>
      </c>
      <c r="D9" s="12" t="s">
        <v>106</v>
      </c>
      <c r="E9">
        <v>1815</v>
      </c>
      <c r="F9">
        <v>2010</v>
      </c>
      <c r="G9">
        <f t="shared" si="0"/>
        <v>1912.5</v>
      </c>
    </row>
    <row r="10" spans="1:7">
      <c r="A10" t="s">
        <v>78</v>
      </c>
      <c r="B10" s="12" t="s">
        <v>106</v>
      </c>
      <c r="C10" s="12" t="s">
        <v>106</v>
      </c>
      <c r="D10" s="12" t="s">
        <v>106</v>
      </c>
      <c r="E10">
        <v>3365</v>
      </c>
      <c r="F10">
        <v>3705</v>
      </c>
      <c r="G10">
        <f t="shared" si="0"/>
        <v>3535</v>
      </c>
    </row>
    <row r="11" spans="1:7">
      <c r="A11" t="s">
        <v>79</v>
      </c>
      <c r="B11" s="12" t="s">
        <v>106</v>
      </c>
      <c r="C11" s="12" t="s">
        <v>106</v>
      </c>
      <c r="D11" s="12" t="s">
        <v>106</v>
      </c>
      <c r="E11">
        <v>2050</v>
      </c>
      <c r="F11">
        <v>2300</v>
      </c>
      <c r="G11">
        <f t="shared" si="0"/>
        <v>2175</v>
      </c>
    </row>
    <row r="12" spans="1:7">
      <c r="A12" t="s">
        <v>82</v>
      </c>
      <c r="B12" s="12" t="s">
        <v>106</v>
      </c>
      <c r="C12" s="12" t="s">
        <v>106</v>
      </c>
      <c r="D12" s="12" t="s">
        <v>106</v>
      </c>
      <c r="E12">
        <v>1590</v>
      </c>
      <c r="F12">
        <v>1890</v>
      </c>
      <c r="G12">
        <f t="shared" si="0"/>
        <v>1740</v>
      </c>
    </row>
    <row r="13" spans="1:7">
      <c r="A13" t="s">
        <v>83</v>
      </c>
      <c r="B13" s="12" t="s">
        <v>106</v>
      </c>
      <c r="C13" s="12" t="s">
        <v>106</v>
      </c>
      <c r="D13" s="12" t="s">
        <v>106</v>
      </c>
      <c r="E13">
        <v>2100</v>
      </c>
      <c r="F13">
        <v>2410</v>
      </c>
      <c r="G13">
        <f t="shared" si="0"/>
        <v>2255</v>
      </c>
    </row>
    <row r="14" spans="1:7">
      <c r="A14" t="s">
        <v>84</v>
      </c>
      <c r="B14" s="12" t="s">
        <v>106</v>
      </c>
      <c r="C14" s="12" t="s">
        <v>106</v>
      </c>
      <c r="D14" s="12" t="s">
        <v>106</v>
      </c>
      <c r="E14">
        <v>2620</v>
      </c>
      <c r="F14">
        <v>2830</v>
      </c>
      <c r="G14">
        <f t="shared" si="0"/>
        <v>2725</v>
      </c>
    </row>
    <row r="15" spans="1:7">
      <c r="A15" t="s">
        <v>107</v>
      </c>
      <c r="B15" s="12" t="s">
        <v>109</v>
      </c>
      <c r="C15" s="12" t="s">
        <v>109</v>
      </c>
      <c r="D15" s="12" t="s">
        <v>109</v>
      </c>
      <c r="E15">
        <v>1500</v>
      </c>
      <c r="F15">
        <v>3000</v>
      </c>
      <c r="G15">
        <f t="shared" si="0"/>
        <v>2250</v>
      </c>
    </row>
    <row r="16" spans="1:7">
      <c r="A16" t="s">
        <v>108</v>
      </c>
      <c r="B16" s="12" t="s">
        <v>109</v>
      </c>
      <c r="C16" s="12" t="s">
        <v>109</v>
      </c>
      <c r="D16" s="12" t="s">
        <v>109</v>
      </c>
      <c r="E16">
        <v>2800</v>
      </c>
      <c r="F16">
        <v>4200</v>
      </c>
      <c r="G16">
        <f t="shared" si="0"/>
        <v>3500</v>
      </c>
    </row>
    <row r="17" spans="1:7">
      <c r="A17" t="s">
        <v>145</v>
      </c>
      <c r="E17">
        <v>7300</v>
      </c>
      <c r="F17">
        <v>8200</v>
      </c>
      <c r="G17">
        <f t="shared" si="0"/>
        <v>7750</v>
      </c>
    </row>
    <row r="18" spans="1:7">
      <c r="A18" t="s">
        <v>146</v>
      </c>
      <c r="E18">
        <v>7800</v>
      </c>
      <c r="F18">
        <v>8800</v>
      </c>
      <c r="G18">
        <f t="shared" si="0"/>
        <v>8300</v>
      </c>
    </row>
    <row r="25" spans="1:7">
      <c r="A25" t="s">
        <v>70</v>
      </c>
      <c r="B25" s="12" t="s">
        <v>127</v>
      </c>
      <c r="C25" s="12" t="s">
        <v>103</v>
      </c>
      <c r="D25" s="12" t="s">
        <v>103</v>
      </c>
      <c r="E25" s="12" t="s">
        <v>195</v>
      </c>
    </row>
    <row r="26" spans="1:7">
      <c r="A26" t="s">
        <v>69</v>
      </c>
      <c r="B26" s="12" t="s">
        <v>127</v>
      </c>
      <c r="C26" s="12" t="s">
        <v>103</v>
      </c>
      <c r="D26" s="12" t="s">
        <v>103</v>
      </c>
    </row>
    <row r="27" spans="1:7">
      <c r="A27" t="s">
        <v>72</v>
      </c>
      <c r="B27" s="12" t="s">
        <v>127</v>
      </c>
      <c r="C27" s="12" t="s">
        <v>103</v>
      </c>
      <c r="D27" s="12" t="s">
        <v>103</v>
      </c>
    </row>
    <row r="28" spans="1:7">
      <c r="A28" t="s">
        <v>73</v>
      </c>
      <c r="B28" s="12" t="s">
        <v>127</v>
      </c>
      <c r="C28" s="12" t="s">
        <v>103</v>
      </c>
      <c r="D28" s="12" t="s">
        <v>103</v>
      </c>
    </row>
    <row r="29" spans="1:7">
      <c r="A29" t="s">
        <v>75</v>
      </c>
      <c r="B29" s="12" t="s">
        <v>127</v>
      </c>
      <c r="C29" s="12" t="s">
        <v>103</v>
      </c>
      <c r="D29" s="12" t="s">
        <v>103</v>
      </c>
    </row>
    <row r="30" spans="1:7">
      <c r="A30" t="s">
        <v>76</v>
      </c>
      <c r="B30" s="12" t="s">
        <v>127</v>
      </c>
      <c r="C30" s="12" t="s">
        <v>103</v>
      </c>
      <c r="D30" s="12" t="s">
        <v>103</v>
      </c>
    </row>
    <row r="31" spans="1:7">
      <c r="A31" t="s">
        <v>77</v>
      </c>
      <c r="B31" s="12" t="s">
        <v>127</v>
      </c>
      <c r="C31" s="12" t="s">
        <v>103</v>
      </c>
      <c r="D31" s="12" t="s">
        <v>103</v>
      </c>
    </row>
    <row r="32" spans="1:7">
      <c r="A32" t="s">
        <v>78</v>
      </c>
      <c r="B32" s="12" t="s">
        <v>127</v>
      </c>
      <c r="C32" s="12" t="s">
        <v>103</v>
      </c>
      <c r="D32" s="12" t="s">
        <v>103</v>
      </c>
    </row>
    <row r="33" spans="1:5">
      <c r="A33" t="s">
        <v>79</v>
      </c>
      <c r="B33" s="12" t="s">
        <v>127</v>
      </c>
      <c r="C33" s="12" t="s">
        <v>103</v>
      </c>
      <c r="D33" s="12" t="s">
        <v>103</v>
      </c>
    </row>
    <row r="34" spans="1:5">
      <c r="A34" t="s">
        <v>82</v>
      </c>
      <c r="B34" s="12" t="s">
        <v>127</v>
      </c>
      <c r="C34" s="12" t="s">
        <v>103</v>
      </c>
      <c r="D34" s="12" t="s">
        <v>103</v>
      </c>
    </row>
    <row r="35" spans="1:5">
      <c r="A35" t="s">
        <v>83</v>
      </c>
      <c r="B35" s="12" t="s">
        <v>127</v>
      </c>
      <c r="C35" s="12" t="s">
        <v>103</v>
      </c>
      <c r="D35" s="12" t="s">
        <v>103</v>
      </c>
    </row>
    <row r="36" spans="1:5">
      <c r="A36" t="s">
        <v>84</v>
      </c>
      <c r="B36" s="12" t="s">
        <v>127</v>
      </c>
      <c r="C36" s="12" t="s">
        <v>103</v>
      </c>
      <c r="D36" s="12" t="s">
        <v>103</v>
      </c>
    </row>
    <row r="37" spans="1:5">
      <c r="A37" t="s">
        <v>197</v>
      </c>
    </row>
    <row r="38" spans="1:5">
      <c r="A38" t="s">
        <v>198</v>
      </c>
    </row>
    <row r="47" spans="1:5">
      <c r="A47" t="s">
        <v>70</v>
      </c>
      <c r="B47" s="12" t="s">
        <v>71</v>
      </c>
      <c r="C47" s="12" t="s">
        <v>71</v>
      </c>
      <c r="D47" s="12" t="s">
        <v>271</v>
      </c>
      <c r="E47" s="12" t="s">
        <v>194</v>
      </c>
    </row>
    <row r="48" spans="1:5">
      <c r="A48" t="s">
        <v>69</v>
      </c>
      <c r="B48" s="12" t="s">
        <v>71</v>
      </c>
      <c r="C48" s="12" t="s">
        <v>71</v>
      </c>
      <c r="D48" s="12" t="s">
        <v>271</v>
      </c>
    </row>
    <row r="49" spans="1:4">
      <c r="A49" t="s">
        <v>72</v>
      </c>
      <c r="B49" s="12" t="s">
        <v>71</v>
      </c>
      <c r="C49" s="12" t="s">
        <v>71</v>
      </c>
      <c r="D49" s="12" t="s">
        <v>271</v>
      </c>
    </row>
    <row r="50" spans="1:4">
      <c r="A50" t="s">
        <v>73</v>
      </c>
      <c r="B50" s="12" t="s">
        <v>189</v>
      </c>
      <c r="C50" s="12" t="s">
        <v>190</v>
      </c>
      <c r="D50" s="12" t="s">
        <v>190</v>
      </c>
    </row>
    <row r="51" spans="1:4">
      <c r="A51" t="s">
        <v>75</v>
      </c>
      <c r="B51" s="12" t="s">
        <v>189</v>
      </c>
      <c r="C51" s="12" t="s">
        <v>190</v>
      </c>
      <c r="D51" s="12" t="s">
        <v>190</v>
      </c>
    </row>
    <row r="52" spans="1:4">
      <c r="A52" t="s">
        <v>76</v>
      </c>
      <c r="B52" s="12" t="s">
        <v>190</v>
      </c>
      <c r="C52" s="12" t="s">
        <v>74</v>
      </c>
      <c r="D52" s="12" t="s">
        <v>190</v>
      </c>
    </row>
    <row r="53" spans="1:4">
      <c r="A53" t="s">
        <v>77</v>
      </c>
      <c r="B53" s="12" t="s">
        <v>190</v>
      </c>
      <c r="C53" s="12" t="s">
        <v>74</v>
      </c>
      <c r="D53" s="12" t="s">
        <v>190</v>
      </c>
    </row>
    <row r="54" spans="1:4">
      <c r="A54" t="s">
        <v>78</v>
      </c>
      <c r="B54" s="12" t="s">
        <v>190</v>
      </c>
      <c r="C54" s="12" t="s">
        <v>190</v>
      </c>
      <c r="D54" s="12" t="s">
        <v>74</v>
      </c>
    </row>
    <row r="55" spans="1:4">
      <c r="A55" t="s">
        <v>79</v>
      </c>
      <c r="B55" s="12" t="s">
        <v>80</v>
      </c>
      <c r="C55" s="12" t="s">
        <v>80</v>
      </c>
      <c r="D55" s="12" t="s">
        <v>81</v>
      </c>
    </row>
    <row r="56" spans="1:4">
      <c r="A56" t="s">
        <v>82</v>
      </c>
      <c r="B56" s="12" t="s">
        <v>71</v>
      </c>
      <c r="C56" s="12" t="s">
        <v>71</v>
      </c>
      <c r="D56" s="12" t="s">
        <v>191</v>
      </c>
    </row>
    <row r="57" spans="1:4">
      <c r="A57" t="s">
        <v>83</v>
      </c>
      <c r="B57" s="12" t="s">
        <v>71</v>
      </c>
      <c r="C57" s="12" t="s">
        <v>71</v>
      </c>
      <c r="D57" s="12" t="s">
        <v>191</v>
      </c>
    </row>
    <row r="58" spans="1:4">
      <c r="A58" t="s">
        <v>84</v>
      </c>
      <c r="B58" s="12" t="s">
        <v>80</v>
      </c>
      <c r="C58" s="12" t="s">
        <v>80</v>
      </c>
      <c r="D58" s="12" t="s">
        <v>81</v>
      </c>
    </row>
    <row r="59" spans="1:4">
      <c r="A59" t="s">
        <v>197</v>
      </c>
    </row>
    <row r="60" spans="1:4">
      <c r="A60" t="s">
        <v>198</v>
      </c>
    </row>
    <row r="69" spans="1:5">
      <c r="A69" t="s">
        <v>70</v>
      </c>
      <c r="B69" s="12" t="s">
        <v>87</v>
      </c>
      <c r="C69" s="12" t="s">
        <v>87</v>
      </c>
      <c r="D69" s="12" t="s">
        <v>87</v>
      </c>
      <c r="E69" s="12" t="s">
        <v>355</v>
      </c>
    </row>
    <row r="70" spans="1:5">
      <c r="A70" t="s">
        <v>69</v>
      </c>
      <c r="B70" s="12" t="s">
        <v>87</v>
      </c>
      <c r="C70" s="12" t="s">
        <v>87</v>
      </c>
      <c r="D70" s="12" t="s">
        <v>87</v>
      </c>
    </row>
    <row r="71" spans="1:5">
      <c r="A71" t="s">
        <v>72</v>
      </c>
      <c r="B71" s="12" t="s">
        <v>87</v>
      </c>
      <c r="C71" s="12" t="s">
        <v>87</v>
      </c>
      <c r="D71" s="12" t="s">
        <v>87</v>
      </c>
    </row>
    <row r="72" spans="1:5">
      <c r="A72" t="s">
        <v>73</v>
      </c>
      <c r="B72" s="12" t="s">
        <v>192</v>
      </c>
      <c r="C72" s="12" t="s">
        <v>190</v>
      </c>
      <c r="D72" s="12" t="s">
        <v>190</v>
      </c>
    </row>
    <row r="73" spans="1:5">
      <c r="A73" t="s">
        <v>75</v>
      </c>
      <c r="B73" s="12" t="s">
        <v>192</v>
      </c>
      <c r="C73" s="12" t="s">
        <v>190</v>
      </c>
      <c r="D73" s="12" t="s">
        <v>190</v>
      </c>
    </row>
    <row r="74" spans="1:5">
      <c r="A74" t="s">
        <v>76</v>
      </c>
      <c r="B74" s="12" t="s">
        <v>190</v>
      </c>
      <c r="C74" s="12" t="s">
        <v>89</v>
      </c>
      <c r="D74" s="12" t="s">
        <v>190</v>
      </c>
    </row>
    <row r="75" spans="1:5">
      <c r="A75" t="s">
        <v>90</v>
      </c>
      <c r="B75" s="12" t="s">
        <v>190</v>
      </c>
      <c r="C75" s="12" t="s">
        <v>190</v>
      </c>
      <c r="D75" s="12" t="s">
        <v>190</v>
      </c>
    </row>
    <row r="76" spans="1:5">
      <c r="A76" t="s">
        <v>91</v>
      </c>
      <c r="B76" s="12" t="s">
        <v>190</v>
      </c>
      <c r="C76" s="12" t="s">
        <v>190</v>
      </c>
      <c r="D76" s="12" t="s">
        <v>190</v>
      </c>
    </row>
    <row r="77" spans="1:5">
      <c r="A77" t="s">
        <v>77</v>
      </c>
      <c r="B77" s="12" t="s">
        <v>190</v>
      </c>
      <c r="C77" s="12" t="s">
        <v>88</v>
      </c>
      <c r="D77" s="12" t="s">
        <v>190</v>
      </c>
    </row>
    <row r="78" spans="1:5">
      <c r="A78" t="s">
        <v>78</v>
      </c>
      <c r="B78" s="12" t="s">
        <v>190</v>
      </c>
      <c r="C78" s="12" t="s">
        <v>190</v>
      </c>
      <c r="D78" s="12" t="s">
        <v>192</v>
      </c>
    </row>
    <row r="79" spans="1:5">
      <c r="A79" t="s">
        <v>79</v>
      </c>
      <c r="B79" s="12" t="s">
        <v>92</v>
      </c>
      <c r="C79" s="12" t="s">
        <v>92</v>
      </c>
      <c r="D79" s="12" t="s">
        <v>93</v>
      </c>
    </row>
    <row r="80" spans="1:5">
      <c r="A80" t="s">
        <v>82</v>
      </c>
      <c r="B80" s="12" t="s">
        <v>87</v>
      </c>
      <c r="C80" s="12" t="s">
        <v>87</v>
      </c>
      <c r="D80" s="12" t="s">
        <v>87</v>
      </c>
    </row>
    <row r="81" spans="1:5">
      <c r="A81" t="s">
        <v>83</v>
      </c>
      <c r="B81" s="12" t="s">
        <v>87</v>
      </c>
      <c r="C81" s="12" t="s">
        <v>87</v>
      </c>
      <c r="D81" s="12" t="s">
        <v>87</v>
      </c>
    </row>
    <row r="82" spans="1:5">
      <c r="A82" t="s">
        <v>84</v>
      </c>
      <c r="B82" s="12" t="s">
        <v>94</v>
      </c>
      <c r="C82" s="12" t="s">
        <v>94</v>
      </c>
      <c r="D82" s="12" t="s">
        <v>95</v>
      </c>
    </row>
    <row r="91" spans="1:5">
      <c r="A91" t="s">
        <v>70</v>
      </c>
      <c r="B91" s="12" t="s">
        <v>190</v>
      </c>
      <c r="C91" s="12" t="s">
        <v>190</v>
      </c>
      <c r="D91" s="12" t="s">
        <v>190</v>
      </c>
      <c r="E91" s="12" t="s">
        <v>356</v>
      </c>
    </row>
    <row r="92" spans="1:5">
      <c r="A92" t="s">
        <v>69</v>
      </c>
      <c r="B92" s="12" t="s">
        <v>190</v>
      </c>
      <c r="C92" s="12" t="s">
        <v>190</v>
      </c>
      <c r="D92" s="12" t="s">
        <v>190</v>
      </c>
    </row>
    <row r="93" spans="1:5">
      <c r="A93" t="s">
        <v>72</v>
      </c>
      <c r="B93" s="12" t="s">
        <v>190</v>
      </c>
      <c r="C93" s="12" t="s">
        <v>190</v>
      </c>
      <c r="D93" s="12" t="s">
        <v>190</v>
      </c>
    </row>
    <row r="94" spans="1:5">
      <c r="A94" t="s">
        <v>73</v>
      </c>
      <c r="B94" s="12" t="s">
        <v>190</v>
      </c>
      <c r="C94" s="12" t="s">
        <v>190</v>
      </c>
      <c r="D94" s="12" t="s">
        <v>190</v>
      </c>
    </row>
    <row r="95" spans="1:5">
      <c r="A95" t="s">
        <v>75</v>
      </c>
      <c r="B95" s="12" t="s">
        <v>190</v>
      </c>
      <c r="C95" s="12" t="s">
        <v>190</v>
      </c>
      <c r="D95" s="12" t="s">
        <v>190</v>
      </c>
    </row>
    <row r="96" spans="1:5">
      <c r="A96" t="s">
        <v>76</v>
      </c>
      <c r="B96" s="12" t="s">
        <v>190</v>
      </c>
      <c r="C96" s="12" t="s">
        <v>190</v>
      </c>
      <c r="D96" s="12" t="s">
        <v>190</v>
      </c>
    </row>
    <row r="97" spans="1:4">
      <c r="A97" t="s">
        <v>90</v>
      </c>
      <c r="B97" s="12" t="s">
        <v>350</v>
      </c>
      <c r="C97" s="12" t="s">
        <v>350</v>
      </c>
      <c r="D97" s="12" t="s">
        <v>350</v>
      </c>
    </row>
    <row r="98" spans="1:4">
      <c r="A98" t="s">
        <v>91</v>
      </c>
      <c r="B98" s="12" t="s">
        <v>351</v>
      </c>
      <c r="C98" s="12" t="s">
        <v>351</v>
      </c>
      <c r="D98" s="12" t="s">
        <v>351</v>
      </c>
    </row>
    <row r="99" spans="1:4">
      <c r="A99" t="s">
        <v>349</v>
      </c>
      <c r="B99" s="12" t="s">
        <v>351</v>
      </c>
      <c r="C99" s="12" t="s">
        <v>351</v>
      </c>
      <c r="D99" s="12" t="s">
        <v>351</v>
      </c>
    </row>
    <row r="100" spans="1:4">
      <c r="A100" t="s">
        <v>348</v>
      </c>
      <c r="B100" s="12" t="s">
        <v>351</v>
      </c>
      <c r="C100" s="12" t="s">
        <v>351</v>
      </c>
      <c r="D100" s="12" t="s">
        <v>351</v>
      </c>
    </row>
    <row r="101" spans="1:4">
      <c r="A101" t="s">
        <v>349</v>
      </c>
      <c r="B101" s="12" t="s">
        <v>190</v>
      </c>
      <c r="C101" s="12" t="s">
        <v>190</v>
      </c>
      <c r="D101" s="12" t="s">
        <v>190</v>
      </c>
    </row>
    <row r="102" spans="1:4">
      <c r="A102" t="s">
        <v>77</v>
      </c>
      <c r="B102" s="12" t="s">
        <v>190</v>
      </c>
      <c r="C102" s="12" t="s">
        <v>190</v>
      </c>
      <c r="D102" s="12" t="s">
        <v>190</v>
      </c>
    </row>
    <row r="103" spans="1:4">
      <c r="A103" t="s">
        <v>79</v>
      </c>
      <c r="B103" s="12" t="s">
        <v>190</v>
      </c>
      <c r="C103" s="12" t="s">
        <v>190</v>
      </c>
      <c r="D103" s="12" t="s">
        <v>190</v>
      </c>
    </row>
    <row r="104" spans="1:4">
      <c r="A104" t="s">
        <v>82</v>
      </c>
      <c r="B104" s="12" t="s">
        <v>190</v>
      </c>
      <c r="C104" s="12" t="s">
        <v>190</v>
      </c>
      <c r="D104" s="12" t="s">
        <v>190</v>
      </c>
    </row>
    <row r="105" spans="1:4">
      <c r="A105" t="s">
        <v>83</v>
      </c>
      <c r="B105" s="12" t="s">
        <v>190</v>
      </c>
      <c r="C105" s="12" t="s">
        <v>190</v>
      </c>
      <c r="D105" s="12" t="s">
        <v>190</v>
      </c>
    </row>
    <row r="106" spans="1:4">
      <c r="A106" t="s">
        <v>84</v>
      </c>
      <c r="B106" s="12" t="s">
        <v>190</v>
      </c>
      <c r="C106" s="12" t="s">
        <v>190</v>
      </c>
      <c r="D106" s="12" t="s">
        <v>190</v>
      </c>
    </row>
    <row r="115" spans="1:5">
      <c r="A115" t="s">
        <v>70</v>
      </c>
      <c r="B115" s="12" t="s">
        <v>190</v>
      </c>
      <c r="C115" s="12" t="s">
        <v>190</v>
      </c>
      <c r="D115" s="12" t="s">
        <v>190</v>
      </c>
      <c r="E115" s="12" t="s">
        <v>357</v>
      </c>
    </row>
    <row r="116" spans="1:5">
      <c r="A116" t="s">
        <v>69</v>
      </c>
      <c r="B116" s="12" t="s">
        <v>190</v>
      </c>
      <c r="C116" s="12" t="s">
        <v>190</v>
      </c>
      <c r="D116" s="12" t="s">
        <v>190</v>
      </c>
    </row>
    <row r="117" spans="1:5">
      <c r="A117" t="s">
        <v>72</v>
      </c>
      <c r="B117" s="12" t="s">
        <v>190</v>
      </c>
      <c r="C117" s="12" t="s">
        <v>190</v>
      </c>
      <c r="D117" s="12" t="s">
        <v>190</v>
      </c>
    </row>
    <row r="118" spans="1:5">
      <c r="A118" t="s">
        <v>73</v>
      </c>
      <c r="B118" s="12" t="s">
        <v>190</v>
      </c>
      <c r="C118" s="12" t="s">
        <v>190</v>
      </c>
      <c r="D118" s="12" t="s">
        <v>190</v>
      </c>
    </row>
    <row r="119" spans="1:5">
      <c r="A119" t="s">
        <v>75</v>
      </c>
      <c r="B119" s="12" t="s">
        <v>190</v>
      </c>
      <c r="C119" s="12" t="s">
        <v>190</v>
      </c>
      <c r="D119" s="12" t="s">
        <v>190</v>
      </c>
    </row>
    <row r="120" spans="1:5">
      <c r="A120" t="s">
        <v>76</v>
      </c>
      <c r="B120" s="12" t="s">
        <v>190</v>
      </c>
      <c r="C120" s="12" t="s">
        <v>190</v>
      </c>
      <c r="D120" s="12" t="s">
        <v>190</v>
      </c>
    </row>
    <row r="121" spans="1:5">
      <c r="A121" t="s">
        <v>90</v>
      </c>
      <c r="B121" s="12" t="s">
        <v>352</v>
      </c>
      <c r="C121" s="12" t="s">
        <v>352</v>
      </c>
      <c r="D121" s="12" t="s">
        <v>352</v>
      </c>
    </row>
    <row r="122" spans="1:5">
      <c r="A122" t="s">
        <v>91</v>
      </c>
      <c r="B122" s="12" t="s">
        <v>353</v>
      </c>
      <c r="C122" s="12" t="s">
        <v>353</v>
      </c>
      <c r="D122" s="12" t="s">
        <v>353</v>
      </c>
    </row>
    <row r="123" spans="1:5">
      <c r="A123" t="s">
        <v>349</v>
      </c>
      <c r="B123" s="12" t="s">
        <v>353</v>
      </c>
      <c r="C123" s="12" t="s">
        <v>353</v>
      </c>
      <c r="D123" s="12" t="s">
        <v>353</v>
      </c>
    </row>
    <row r="124" spans="1:5">
      <c r="A124" t="s">
        <v>348</v>
      </c>
      <c r="B124" s="12" t="s">
        <v>353</v>
      </c>
      <c r="C124" s="12" t="s">
        <v>353</v>
      </c>
      <c r="D124" s="12" t="s">
        <v>353</v>
      </c>
    </row>
    <row r="125" spans="1:5">
      <c r="A125" t="s">
        <v>349</v>
      </c>
      <c r="B125" s="12" t="s">
        <v>190</v>
      </c>
      <c r="C125" s="12" t="s">
        <v>190</v>
      </c>
      <c r="D125" s="12" t="s">
        <v>190</v>
      </c>
    </row>
    <row r="126" spans="1:5">
      <c r="A126" t="s">
        <v>77</v>
      </c>
      <c r="B126" s="12" t="s">
        <v>190</v>
      </c>
      <c r="C126" s="12" t="s">
        <v>190</v>
      </c>
      <c r="D126" s="12" t="s">
        <v>190</v>
      </c>
    </row>
    <row r="127" spans="1:5">
      <c r="A127" t="s">
        <v>79</v>
      </c>
      <c r="B127" s="12" t="s">
        <v>190</v>
      </c>
      <c r="C127" s="12" t="s">
        <v>190</v>
      </c>
      <c r="D127" s="12" t="s">
        <v>190</v>
      </c>
    </row>
    <row r="128" spans="1:5">
      <c r="A128" t="s">
        <v>82</v>
      </c>
      <c r="B128" s="12" t="s">
        <v>190</v>
      </c>
      <c r="C128" s="12" t="s">
        <v>190</v>
      </c>
      <c r="D128" s="12" t="s">
        <v>190</v>
      </c>
    </row>
    <row r="129" spans="1:5">
      <c r="A129" t="s">
        <v>83</v>
      </c>
      <c r="B129" s="12" t="s">
        <v>190</v>
      </c>
      <c r="C129" s="12" t="s">
        <v>190</v>
      </c>
      <c r="D129" s="12" t="s">
        <v>190</v>
      </c>
    </row>
    <row r="130" spans="1:5">
      <c r="A130" t="s">
        <v>84</v>
      </c>
      <c r="B130" s="12" t="s">
        <v>190</v>
      </c>
      <c r="C130" s="12" t="s">
        <v>190</v>
      </c>
      <c r="D130" s="12" t="s">
        <v>190</v>
      </c>
    </row>
    <row r="139" spans="1:5">
      <c r="A139" t="s">
        <v>90</v>
      </c>
      <c r="B139" s="12" t="s">
        <v>354</v>
      </c>
      <c r="C139" s="12" t="s">
        <v>354</v>
      </c>
      <c r="D139" s="12" t="s">
        <v>354</v>
      </c>
      <c r="E139" s="12" t="s">
        <v>358</v>
      </c>
    </row>
    <row r="140" spans="1:5">
      <c r="A140" t="s">
        <v>91</v>
      </c>
      <c r="B140" s="12" t="s">
        <v>354</v>
      </c>
      <c r="C140" s="12" t="s">
        <v>354</v>
      </c>
      <c r="D140" s="12" t="s">
        <v>354</v>
      </c>
    </row>
    <row r="141" spans="1:5">
      <c r="A141" t="s">
        <v>349</v>
      </c>
      <c r="B141" s="12" t="s">
        <v>354</v>
      </c>
      <c r="C141" s="12" t="s">
        <v>354</v>
      </c>
      <c r="D141" s="12" t="s">
        <v>354</v>
      </c>
    </row>
    <row r="142" spans="1:5">
      <c r="A142" t="s">
        <v>348</v>
      </c>
      <c r="B142" s="12" t="s">
        <v>354</v>
      </c>
      <c r="C142" s="12" t="s">
        <v>354</v>
      </c>
      <c r="D142" s="12" t="s">
        <v>354</v>
      </c>
    </row>
    <row r="151" spans="1:5">
      <c r="A151" t="s">
        <v>70</v>
      </c>
      <c r="B151" s="12" t="s">
        <v>186</v>
      </c>
      <c r="C151" s="12" t="s">
        <v>186</v>
      </c>
      <c r="D151" s="12" t="s">
        <v>186</v>
      </c>
      <c r="E151" s="12" t="s">
        <v>193</v>
      </c>
    </row>
    <row r="152" spans="1:5">
      <c r="A152" t="s">
        <v>69</v>
      </c>
      <c r="B152" s="12" t="s">
        <v>186</v>
      </c>
      <c r="C152" s="12" t="s">
        <v>186</v>
      </c>
      <c r="D152" s="12" t="s">
        <v>186</v>
      </c>
    </row>
    <row r="153" spans="1:5">
      <c r="A153" t="s">
        <v>72</v>
      </c>
      <c r="B153" s="12" t="s">
        <v>186</v>
      </c>
      <c r="C153" s="12" t="s">
        <v>186</v>
      </c>
      <c r="D153" s="12" t="s">
        <v>186</v>
      </c>
    </row>
    <row r="154" spans="1:5">
      <c r="A154" t="s">
        <v>73</v>
      </c>
      <c r="B154" s="12" t="s">
        <v>186</v>
      </c>
      <c r="C154" s="12" t="s">
        <v>186</v>
      </c>
      <c r="D154" s="12" t="s">
        <v>186</v>
      </c>
    </row>
    <row r="155" spans="1:5">
      <c r="A155" t="s">
        <v>75</v>
      </c>
      <c r="B155" s="12" t="s">
        <v>186</v>
      </c>
      <c r="C155" s="12" t="s">
        <v>186</v>
      </c>
      <c r="D155" s="12" t="s">
        <v>186</v>
      </c>
    </row>
    <row r="156" spans="1:5">
      <c r="A156" t="s">
        <v>76</v>
      </c>
      <c r="B156" s="12" t="s">
        <v>186</v>
      </c>
      <c r="C156" s="12" t="s">
        <v>186</v>
      </c>
      <c r="D156" s="12" t="s">
        <v>186</v>
      </c>
    </row>
    <row r="157" spans="1:5">
      <c r="A157" t="s">
        <v>90</v>
      </c>
      <c r="B157" s="12" t="s">
        <v>186</v>
      </c>
      <c r="C157" s="12" t="s">
        <v>186</v>
      </c>
      <c r="D157" s="12" t="s">
        <v>186</v>
      </c>
    </row>
    <row r="158" spans="1:5" ht="33">
      <c r="A158" s="12" t="s">
        <v>91</v>
      </c>
      <c r="B158" s="12" t="s">
        <v>188</v>
      </c>
      <c r="C158" s="12" t="s">
        <v>188</v>
      </c>
      <c r="D158" s="12" t="s">
        <v>188</v>
      </c>
    </row>
    <row r="159" spans="1:5">
      <c r="A159" t="s">
        <v>77</v>
      </c>
      <c r="B159" s="12" t="s">
        <v>186</v>
      </c>
      <c r="C159" s="12" t="s">
        <v>186</v>
      </c>
      <c r="D159" s="12" t="s">
        <v>186</v>
      </c>
    </row>
    <row r="160" spans="1:5">
      <c r="A160" t="s">
        <v>78</v>
      </c>
      <c r="B160" s="12" t="s">
        <v>186</v>
      </c>
      <c r="C160" s="12" t="s">
        <v>186</v>
      </c>
      <c r="D160" s="12" t="s">
        <v>186</v>
      </c>
    </row>
    <row r="161" spans="1:4">
      <c r="A161" t="s">
        <v>79</v>
      </c>
      <c r="B161" s="12" t="s">
        <v>186</v>
      </c>
      <c r="C161" s="12" t="s">
        <v>186</v>
      </c>
      <c r="D161" s="12" t="s">
        <v>186</v>
      </c>
    </row>
    <row r="162" spans="1:4">
      <c r="A162" t="s">
        <v>82</v>
      </c>
      <c r="B162" s="12" t="s">
        <v>186</v>
      </c>
      <c r="C162" s="12" t="s">
        <v>186</v>
      </c>
      <c r="D162" s="12" t="s">
        <v>186</v>
      </c>
    </row>
    <row r="163" spans="1:4">
      <c r="A163" t="s">
        <v>83</v>
      </c>
      <c r="B163" s="12" t="s">
        <v>186</v>
      </c>
      <c r="C163" s="12" t="s">
        <v>186</v>
      </c>
      <c r="D163" s="12" t="s">
        <v>186</v>
      </c>
    </row>
    <row r="164" spans="1:4">
      <c r="A164" t="s">
        <v>84</v>
      </c>
      <c r="B164" s="12" t="s">
        <v>186</v>
      </c>
      <c r="C164" s="12" t="s">
        <v>186</v>
      </c>
      <c r="D164" s="12" t="s">
        <v>186</v>
      </c>
    </row>
    <row r="170" spans="1:4" s="12" customFormat="1">
      <c r="A170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B2:J130"/>
  <sheetViews>
    <sheetView topLeftCell="A13" zoomScale="85" zoomScaleNormal="85" workbookViewId="0">
      <selection activeCell="E53" sqref="E53"/>
    </sheetView>
  </sheetViews>
  <sheetFormatPr defaultRowHeight="16.5"/>
  <cols>
    <col min="2" max="2" width="16.125" customWidth="1"/>
    <col min="3" max="10" width="7.75" customWidth="1"/>
  </cols>
  <sheetData>
    <row r="2" spans="2:10" ht="33">
      <c r="B2" s="12" t="s">
        <v>121</v>
      </c>
      <c r="C2" s="156" t="s">
        <v>120</v>
      </c>
      <c r="D2" s="156"/>
      <c r="E2" s="156"/>
      <c r="F2" s="156"/>
      <c r="G2" s="156"/>
      <c r="H2" s="156"/>
      <c r="I2" s="156"/>
      <c r="J2" s="156"/>
    </row>
    <row r="3" spans="2:10">
      <c r="B3" s="12">
        <v>0</v>
      </c>
      <c r="C3">
        <v>6.5</v>
      </c>
      <c r="D3">
        <v>8</v>
      </c>
      <c r="E3">
        <v>11</v>
      </c>
      <c r="F3">
        <v>17</v>
      </c>
      <c r="G3">
        <v>29</v>
      </c>
      <c r="H3">
        <v>53</v>
      </c>
      <c r="I3">
        <v>100</v>
      </c>
      <c r="J3">
        <v>195</v>
      </c>
    </row>
    <row r="4" spans="2:10">
      <c r="B4" s="12">
        <v>1</v>
      </c>
      <c r="C4">
        <v>7</v>
      </c>
      <c r="D4">
        <v>8.9</v>
      </c>
      <c r="E4">
        <v>12.8</v>
      </c>
      <c r="F4">
        <v>21</v>
      </c>
      <c r="G4">
        <v>36</v>
      </c>
      <c r="H4">
        <v>68</v>
      </c>
      <c r="I4">
        <v>130</v>
      </c>
      <c r="J4">
        <v>255</v>
      </c>
    </row>
    <row r="5" spans="2:10">
      <c r="B5" s="12">
        <v>10</v>
      </c>
      <c r="C5">
        <v>1.7</v>
      </c>
      <c r="D5">
        <v>9.1999999999999993</v>
      </c>
      <c r="E5">
        <v>13.3</v>
      </c>
      <c r="F5">
        <v>22</v>
      </c>
      <c r="G5">
        <v>38</v>
      </c>
      <c r="H5">
        <v>72</v>
      </c>
      <c r="I5">
        <v>138</v>
      </c>
      <c r="J5">
        <v>272</v>
      </c>
    </row>
    <row r="6" spans="2:10">
      <c r="B6" s="12">
        <v>11</v>
      </c>
      <c r="C6">
        <v>7.6</v>
      </c>
      <c r="D6">
        <v>10.199999999999999</v>
      </c>
      <c r="E6">
        <v>15.4</v>
      </c>
      <c r="F6">
        <v>26</v>
      </c>
      <c r="G6">
        <v>47</v>
      </c>
      <c r="H6">
        <v>88</v>
      </c>
      <c r="I6">
        <v>172</v>
      </c>
      <c r="J6">
        <v>338</v>
      </c>
    </row>
    <row r="7" spans="2:10" ht="33">
      <c r="B7" s="12" t="s">
        <v>122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</row>
    <row r="8" spans="2:10" ht="33">
      <c r="B8" s="12" t="s">
        <v>119</v>
      </c>
      <c r="C8">
        <f t="shared" ref="C8:J8" si="0">2^(C7-1)</f>
        <v>0.5</v>
      </c>
      <c r="D8">
        <f t="shared" si="0"/>
        <v>1</v>
      </c>
      <c r="E8">
        <f t="shared" si="0"/>
        <v>2</v>
      </c>
      <c r="F8">
        <f t="shared" si="0"/>
        <v>4</v>
      </c>
      <c r="G8">
        <f t="shared" si="0"/>
        <v>8</v>
      </c>
      <c r="H8">
        <f t="shared" si="0"/>
        <v>16</v>
      </c>
      <c r="I8">
        <f t="shared" si="0"/>
        <v>32</v>
      </c>
      <c r="J8">
        <f t="shared" si="0"/>
        <v>64</v>
      </c>
    </row>
    <row r="12" spans="2:10">
      <c r="B12" s="32" t="s">
        <v>206</v>
      </c>
      <c r="C12" s="32" t="s">
        <v>207</v>
      </c>
      <c r="D12" s="32" t="s">
        <v>208</v>
      </c>
    </row>
    <row r="13" spans="2:10">
      <c r="B13" s="4">
        <v>6.5</v>
      </c>
      <c r="C13" s="4">
        <v>0</v>
      </c>
      <c r="D13" s="4">
        <v>0</v>
      </c>
    </row>
    <row r="14" spans="2:10">
      <c r="B14" s="4">
        <v>7</v>
      </c>
      <c r="C14" s="4">
        <v>0</v>
      </c>
      <c r="D14" s="4">
        <v>1</v>
      </c>
    </row>
    <row r="15" spans="2:10">
      <c r="B15" s="4">
        <v>7.1</v>
      </c>
      <c r="C15" s="4">
        <v>0</v>
      </c>
      <c r="D15" s="4">
        <v>2</v>
      </c>
    </row>
    <row r="16" spans="2:10">
      <c r="B16" s="4">
        <v>7.6</v>
      </c>
      <c r="C16" s="4">
        <v>0</v>
      </c>
      <c r="D16" s="4">
        <v>3</v>
      </c>
    </row>
    <row r="17" spans="2:4">
      <c r="B17" s="4">
        <v>8</v>
      </c>
      <c r="C17" s="4">
        <v>1</v>
      </c>
      <c r="D17" s="4">
        <v>0</v>
      </c>
    </row>
    <row r="18" spans="2:4">
      <c r="B18" s="4">
        <v>8.9</v>
      </c>
      <c r="C18" s="4">
        <v>1</v>
      </c>
      <c r="D18" s="4">
        <v>1</v>
      </c>
    </row>
    <row r="19" spans="2:4">
      <c r="B19" s="4">
        <v>9.1999999999999993</v>
      </c>
      <c r="C19" s="4">
        <v>1</v>
      </c>
      <c r="D19" s="4">
        <v>2</v>
      </c>
    </row>
    <row r="20" spans="2:4">
      <c r="B20" s="4">
        <v>10.199999999999999</v>
      </c>
      <c r="C20" s="4">
        <v>1</v>
      </c>
      <c r="D20" s="4">
        <v>3</v>
      </c>
    </row>
    <row r="21" spans="2:4">
      <c r="B21" s="4">
        <v>11</v>
      </c>
      <c r="C21" s="4">
        <v>2</v>
      </c>
      <c r="D21" s="4">
        <v>0</v>
      </c>
    </row>
    <row r="22" spans="2:4">
      <c r="B22" s="4">
        <v>12.8</v>
      </c>
      <c r="C22" s="4">
        <v>2</v>
      </c>
      <c r="D22" s="4">
        <v>1</v>
      </c>
    </row>
    <row r="23" spans="2:4">
      <c r="B23" s="4">
        <v>13.3</v>
      </c>
      <c r="C23" s="4">
        <v>2</v>
      </c>
      <c r="D23" s="4">
        <v>2</v>
      </c>
    </row>
    <row r="24" spans="2:4">
      <c r="B24" s="4">
        <v>15.4</v>
      </c>
      <c r="C24" s="4">
        <v>2</v>
      </c>
      <c r="D24" s="4">
        <v>3</v>
      </c>
    </row>
    <row r="25" spans="2:4">
      <c r="B25" s="4">
        <v>17</v>
      </c>
      <c r="C25" s="4">
        <v>3</v>
      </c>
      <c r="D25" s="4">
        <v>0</v>
      </c>
    </row>
    <row r="26" spans="2:4">
      <c r="B26" s="4">
        <v>21</v>
      </c>
      <c r="C26" s="4">
        <v>3</v>
      </c>
      <c r="D26" s="4">
        <v>1</v>
      </c>
    </row>
    <row r="27" spans="2:4">
      <c r="B27" s="4">
        <v>22</v>
      </c>
      <c r="C27" s="4">
        <v>3</v>
      </c>
      <c r="D27" s="4">
        <v>2</v>
      </c>
    </row>
    <row r="28" spans="2:4">
      <c r="B28" s="4">
        <v>26</v>
      </c>
      <c r="C28" s="4">
        <v>3</v>
      </c>
      <c r="D28" s="4">
        <v>3</v>
      </c>
    </row>
    <row r="29" spans="2:4">
      <c r="B29" s="4">
        <v>29</v>
      </c>
      <c r="C29" s="4">
        <v>4</v>
      </c>
      <c r="D29" s="4">
        <v>0</v>
      </c>
    </row>
    <row r="30" spans="2:4">
      <c r="B30" s="4">
        <v>36</v>
      </c>
      <c r="C30" s="4">
        <v>4</v>
      </c>
      <c r="D30" s="4">
        <v>1</v>
      </c>
    </row>
    <row r="31" spans="2:4">
      <c r="B31" s="4">
        <v>38</v>
      </c>
      <c r="C31" s="4">
        <v>4</v>
      </c>
      <c r="D31" s="4">
        <v>2</v>
      </c>
    </row>
    <row r="32" spans="2:4">
      <c r="B32" s="4">
        <v>47</v>
      </c>
      <c r="C32" s="4">
        <v>4</v>
      </c>
      <c r="D32" s="4">
        <v>3</v>
      </c>
    </row>
    <row r="33" spans="2:4">
      <c r="B33" s="4">
        <v>53</v>
      </c>
      <c r="C33" s="4">
        <v>5</v>
      </c>
      <c r="D33" s="4">
        <v>0</v>
      </c>
    </row>
    <row r="34" spans="2:4">
      <c r="B34" s="4">
        <v>68</v>
      </c>
      <c r="C34" s="4">
        <v>5</v>
      </c>
      <c r="D34" s="4">
        <v>1</v>
      </c>
    </row>
    <row r="35" spans="2:4">
      <c r="B35" s="4">
        <v>72</v>
      </c>
      <c r="C35" s="4">
        <v>5</v>
      </c>
      <c r="D35" s="4">
        <v>2</v>
      </c>
    </row>
    <row r="36" spans="2:4">
      <c r="B36" s="4">
        <v>88</v>
      </c>
      <c r="C36" s="4">
        <v>5</v>
      </c>
      <c r="D36" s="4">
        <v>3</v>
      </c>
    </row>
    <row r="37" spans="2:4">
      <c r="B37" s="4">
        <v>100</v>
      </c>
      <c r="C37" s="4">
        <v>6</v>
      </c>
      <c r="D37" s="4">
        <v>0</v>
      </c>
    </row>
    <row r="38" spans="2:4">
      <c r="B38" s="4">
        <v>130</v>
      </c>
      <c r="C38" s="4">
        <v>6</v>
      </c>
      <c r="D38" s="4">
        <v>1</v>
      </c>
    </row>
    <row r="39" spans="2:4">
      <c r="B39" s="4">
        <v>138</v>
      </c>
      <c r="C39" s="4">
        <v>6</v>
      </c>
      <c r="D39" s="4">
        <v>2</v>
      </c>
    </row>
    <row r="40" spans="2:4">
      <c r="B40" s="4">
        <v>172</v>
      </c>
      <c r="C40" s="4">
        <v>6</v>
      </c>
      <c r="D40" s="4">
        <v>3</v>
      </c>
    </row>
    <row r="41" spans="2:4">
      <c r="B41" s="4">
        <v>195</v>
      </c>
      <c r="C41" s="4">
        <v>7</v>
      </c>
      <c r="D41" s="4">
        <v>0</v>
      </c>
    </row>
    <row r="42" spans="2:4">
      <c r="B42" s="4">
        <v>255</v>
      </c>
      <c r="C42" s="4">
        <v>7</v>
      </c>
      <c r="D42" s="4">
        <v>1</v>
      </c>
    </row>
    <row r="43" spans="2:4">
      <c r="B43" s="4">
        <v>272</v>
      </c>
      <c r="C43" s="4">
        <v>7</v>
      </c>
      <c r="D43" s="4">
        <v>2</v>
      </c>
    </row>
    <row r="44" spans="2:4">
      <c r="B44" s="4">
        <v>338</v>
      </c>
      <c r="C44" s="4">
        <v>7</v>
      </c>
      <c r="D44" s="4">
        <v>3</v>
      </c>
    </row>
    <row r="50" spans="2:3">
      <c r="B50" t="s">
        <v>285</v>
      </c>
    </row>
    <row r="51" spans="2:3">
      <c r="B51">
        <v>7</v>
      </c>
      <c r="C51">
        <f t="shared" ref="C51:C82" ca="1" si="1">VLOOKUP(B51,Reg07_dB,1,TRUE)</f>
        <v>7</v>
      </c>
    </row>
    <row r="52" spans="2:3">
      <c r="B52">
        <v>7.5</v>
      </c>
      <c r="C52">
        <f t="shared" ca="1" si="1"/>
        <v>7.1</v>
      </c>
    </row>
    <row r="53" spans="2:3">
      <c r="B53">
        <v>15</v>
      </c>
      <c r="C53">
        <f t="shared" ca="1" si="1"/>
        <v>13.3</v>
      </c>
    </row>
    <row r="54" spans="2:3">
      <c r="B54">
        <v>20</v>
      </c>
      <c r="C54">
        <f t="shared" ca="1" si="1"/>
        <v>17</v>
      </c>
    </row>
    <row r="55" spans="2:3">
      <c r="B55">
        <v>25</v>
      </c>
      <c r="C55">
        <f t="shared" ca="1" si="1"/>
        <v>22</v>
      </c>
    </row>
    <row r="56" spans="2:3">
      <c r="B56">
        <v>30</v>
      </c>
      <c r="C56">
        <f t="shared" ca="1" si="1"/>
        <v>29</v>
      </c>
    </row>
    <row r="57" spans="2:3">
      <c r="B57">
        <v>35</v>
      </c>
      <c r="C57">
        <f t="shared" ca="1" si="1"/>
        <v>29</v>
      </c>
    </row>
    <row r="58" spans="2:3">
      <c r="B58">
        <v>40</v>
      </c>
      <c r="C58">
        <f t="shared" ca="1" si="1"/>
        <v>38</v>
      </c>
    </row>
    <row r="59" spans="2:3">
      <c r="B59">
        <v>45</v>
      </c>
      <c r="C59">
        <f t="shared" ca="1" si="1"/>
        <v>38</v>
      </c>
    </row>
    <row r="60" spans="2:3">
      <c r="B60">
        <v>50</v>
      </c>
      <c r="C60">
        <f t="shared" ca="1" si="1"/>
        <v>47</v>
      </c>
    </row>
    <row r="61" spans="2:3">
      <c r="B61">
        <v>55</v>
      </c>
      <c r="C61">
        <f t="shared" ca="1" si="1"/>
        <v>53</v>
      </c>
    </row>
    <row r="62" spans="2:3">
      <c r="B62">
        <v>60</v>
      </c>
      <c r="C62">
        <f t="shared" ca="1" si="1"/>
        <v>53</v>
      </c>
    </row>
    <row r="63" spans="2:3">
      <c r="B63">
        <v>65</v>
      </c>
      <c r="C63">
        <f t="shared" ca="1" si="1"/>
        <v>53</v>
      </c>
    </row>
    <row r="64" spans="2:3">
      <c r="B64">
        <v>70</v>
      </c>
      <c r="C64">
        <f t="shared" ca="1" si="1"/>
        <v>68</v>
      </c>
    </row>
    <row r="65" spans="2:3">
      <c r="B65">
        <v>75</v>
      </c>
      <c r="C65">
        <f t="shared" ca="1" si="1"/>
        <v>72</v>
      </c>
    </row>
    <row r="66" spans="2:3">
      <c r="B66">
        <v>80</v>
      </c>
      <c r="C66">
        <f t="shared" ca="1" si="1"/>
        <v>72</v>
      </c>
    </row>
    <row r="67" spans="2:3">
      <c r="B67">
        <v>85</v>
      </c>
      <c r="C67">
        <f t="shared" ca="1" si="1"/>
        <v>72</v>
      </c>
    </row>
    <row r="68" spans="2:3">
      <c r="B68">
        <v>90</v>
      </c>
      <c r="C68">
        <f t="shared" ca="1" si="1"/>
        <v>88</v>
      </c>
    </row>
    <row r="69" spans="2:3">
      <c r="B69">
        <v>95</v>
      </c>
      <c r="C69">
        <f t="shared" ca="1" si="1"/>
        <v>88</v>
      </c>
    </row>
    <row r="70" spans="2:3">
      <c r="B70">
        <v>100</v>
      </c>
      <c r="C70">
        <f t="shared" ca="1" si="1"/>
        <v>100</v>
      </c>
    </row>
    <row r="71" spans="2:3">
      <c r="B71">
        <v>105</v>
      </c>
      <c r="C71">
        <f t="shared" ca="1" si="1"/>
        <v>100</v>
      </c>
    </row>
    <row r="72" spans="2:3">
      <c r="B72">
        <v>110</v>
      </c>
      <c r="C72">
        <f t="shared" ca="1" si="1"/>
        <v>100</v>
      </c>
    </row>
    <row r="73" spans="2:3">
      <c r="B73">
        <v>115</v>
      </c>
      <c r="C73">
        <f t="shared" ca="1" si="1"/>
        <v>100</v>
      </c>
    </row>
    <row r="74" spans="2:3">
      <c r="B74">
        <v>120</v>
      </c>
      <c r="C74">
        <f t="shared" ca="1" si="1"/>
        <v>100</v>
      </c>
    </row>
    <row r="75" spans="2:3">
      <c r="B75">
        <v>125</v>
      </c>
      <c r="C75">
        <f t="shared" ca="1" si="1"/>
        <v>100</v>
      </c>
    </row>
    <row r="76" spans="2:3">
      <c r="B76">
        <v>130</v>
      </c>
      <c r="C76">
        <f t="shared" ca="1" si="1"/>
        <v>130</v>
      </c>
    </row>
    <row r="77" spans="2:3">
      <c r="B77">
        <v>135</v>
      </c>
      <c r="C77">
        <f t="shared" ca="1" si="1"/>
        <v>130</v>
      </c>
    </row>
    <row r="78" spans="2:3">
      <c r="B78">
        <v>140</v>
      </c>
      <c r="C78">
        <f t="shared" ca="1" si="1"/>
        <v>138</v>
      </c>
    </row>
    <row r="79" spans="2:3">
      <c r="B79">
        <v>145</v>
      </c>
      <c r="C79">
        <f t="shared" ca="1" si="1"/>
        <v>138</v>
      </c>
    </row>
    <row r="80" spans="2:3">
      <c r="B80">
        <v>150</v>
      </c>
      <c r="C80">
        <f t="shared" ca="1" si="1"/>
        <v>138</v>
      </c>
    </row>
    <row r="81" spans="2:3">
      <c r="B81">
        <v>155</v>
      </c>
      <c r="C81">
        <f t="shared" ca="1" si="1"/>
        <v>138</v>
      </c>
    </row>
    <row r="82" spans="2:3">
      <c r="B82">
        <v>160</v>
      </c>
      <c r="C82">
        <f t="shared" ca="1" si="1"/>
        <v>138</v>
      </c>
    </row>
    <row r="83" spans="2:3">
      <c r="B83">
        <v>165</v>
      </c>
      <c r="C83">
        <f t="shared" ref="C83:C114" ca="1" si="2">VLOOKUP(B83,Reg07_dB,1,TRUE)</f>
        <v>138</v>
      </c>
    </row>
    <row r="84" spans="2:3">
      <c r="B84">
        <v>170</v>
      </c>
      <c r="C84">
        <f t="shared" ca="1" si="2"/>
        <v>138</v>
      </c>
    </row>
    <row r="85" spans="2:3">
      <c r="B85">
        <v>175</v>
      </c>
      <c r="C85">
        <f t="shared" ca="1" si="2"/>
        <v>172</v>
      </c>
    </row>
    <row r="86" spans="2:3">
      <c r="B86">
        <v>180</v>
      </c>
      <c r="C86">
        <f t="shared" ca="1" si="2"/>
        <v>172</v>
      </c>
    </row>
    <row r="87" spans="2:3">
      <c r="B87">
        <v>185</v>
      </c>
      <c r="C87">
        <f t="shared" ca="1" si="2"/>
        <v>172</v>
      </c>
    </row>
    <row r="88" spans="2:3">
      <c r="B88">
        <v>190</v>
      </c>
      <c r="C88">
        <f t="shared" ca="1" si="2"/>
        <v>172</v>
      </c>
    </row>
    <row r="89" spans="2:3">
      <c r="B89">
        <v>195</v>
      </c>
      <c r="C89">
        <f t="shared" ca="1" si="2"/>
        <v>195</v>
      </c>
    </row>
    <row r="90" spans="2:3">
      <c r="B90">
        <v>200</v>
      </c>
      <c r="C90">
        <f t="shared" ca="1" si="2"/>
        <v>195</v>
      </c>
    </row>
    <row r="91" spans="2:3">
      <c r="B91">
        <v>205</v>
      </c>
      <c r="C91">
        <f t="shared" ca="1" si="2"/>
        <v>195</v>
      </c>
    </row>
    <row r="92" spans="2:3">
      <c r="B92">
        <v>210</v>
      </c>
      <c r="C92">
        <f t="shared" ca="1" si="2"/>
        <v>195</v>
      </c>
    </row>
    <row r="93" spans="2:3">
      <c r="B93">
        <v>215</v>
      </c>
      <c r="C93">
        <f t="shared" ca="1" si="2"/>
        <v>195</v>
      </c>
    </row>
    <row r="94" spans="2:3">
      <c r="B94">
        <v>220</v>
      </c>
      <c r="C94">
        <f t="shared" ca="1" si="2"/>
        <v>195</v>
      </c>
    </row>
    <row r="95" spans="2:3">
      <c r="B95">
        <v>225</v>
      </c>
      <c r="C95">
        <f t="shared" ca="1" si="2"/>
        <v>195</v>
      </c>
    </row>
    <row r="96" spans="2:3">
      <c r="B96">
        <v>230</v>
      </c>
      <c r="C96">
        <f t="shared" ca="1" si="2"/>
        <v>195</v>
      </c>
    </row>
    <row r="97" spans="2:3">
      <c r="B97">
        <v>235</v>
      </c>
      <c r="C97">
        <f t="shared" ca="1" si="2"/>
        <v>195</v>
      </c>
    </row>
    <row r="98" spans="2:3">
      <c r="B98">
        <v>240</v>
      </c>
      <c r="C98">
        <f t="shared" ca="1" si="2"/>
        <v>195</v>
      </c>
    </row>
    <row r="99" spans="2:3">
      <c r="B99">
        <v>245</v>
      </c>
      <c r="C99">
        <f t="shared" ca="1" si="2"/>
        <v>195</v>
      </c>
    </row>
    <row r="100" spans="2:3">
      <c r="B100">
        <v>250</v>
      </c>
      <c r="C100">
        <f t="shared" ca="1" si="2"/>
        <v>195</v>
      </c>
    </row>
    <row r="101" spans="2:3">
      <c r="B101">
        <v>255</v>
      </c>
      <c r="C101">
        <f t="shared" ca="1" si="2"/>
        <v>255</v>
      </c>
    </row>
    <row r="102" spans="2:3">
      <c r="B102">
        <v>260</v>
      </c>
      <c r="C102">
        <f t="shared" ca="1" si="2"/>
        <v>255</v>
      </c>
    </row>
    <row r="103" spans="2:3">
      <c r="B103">
        <v>265</v>
      </c>
      <c r="C103">
        <f t="shared" ca="1" si="2"/>
        <v>255</v>
      </c>
    </row>
    <row r="104" spans="2:3">
      <c r="B104">
        <v>270</v>
      </c>
      <c r="C104">
        <f t="shared" ca="1" si="2"/>
        <v>255</v>
      </c>
    </row>
    <row r="105" spans="2:3">
      <c r="B105">
        <v>275</v>
      </c>
      <c r="C105">
        <f t="shared" ca="1" si="2"/>
        <v>272</v>
      </c>
    </row>
    <row r="106" spans="2:3">
      <c r="B106">
        <v>280</v>
      </c>
      <c r="C106">
        <f t="shared" ca="1" si="2"/>
        <v>272</v>
      </c>
    </row>
    <row r="107" spans="2:3">
      <c r="B107">
        <v>285</v>
      </c>
      <c r="C107">
        <f t="shared" ca="1" si="2"/>
        <v>272</v>
      </c>
    </row>
    <row r="108" spans="2:3">
      <c r="B108">
        <v>290</v>
      </c>
      <c r="C108">
        <f t="shared" ca="1" si="2"/>
        <v>272</v>
      </c>
    </row>
    <row r="109" spans="2:3">
      <c r="B109">
        <v>295</v>
      </c>
      <c r="C109">
        <f t="shared" ca="1" si="2"/>
        <v>272</v>
      </c>
    </row>
    <row r="110" spans="2:3">
      <c r="B110">
        <v>300</v>
      </c>
      <c r="C110">
        <f t="shared" ca="1" si="2"/>
        <v>272</v>
      </c>
    </row>
    <row r="111" spans="2:3">
      <c r="B111">
        <v>305</v>
      </c>
      <c r="C111">
        <f t="shared" ca="1" si="2"/>
        <v>272</v>
      </c>
    </row>
    <row r="112" spans="2:3">
      <c r="B112">
        <v>310</v>
      </c>
      <c r="C112">
        <f t="shared" ca="1" si="2"/>
        <v>272</v>
      </c>
    </row>
    <row r="113" spans="2:3">
      <c r="B113">
        <v>315</v>
      </c>
      <c r="C113">
        <f t="shared" ca="1" si="2"/>
        <v>272</v>
      </c>
    </row>
    <row r="114" spans="2:3">
      <c r="B114">
        <v>320</v>
      </c>
      <c r="C114">
        <f t="shared" ca="1" si="2"/>
        <v>272</v>
      </c>
    </row>
    <row r="115" spans="2:3">
      <c r="B115">
        <v>325</v>
      </c>
      <c r="C115">
        <f t="shared" ref="C115:C130" ca="1" si="3">VLOOKUP(B115,Reg07_dB,1,TRUE)</f>
        <v>272</v>
      </c>
    </row>
    <row r="116" spans="2:3">
      <c r="B116">
        <v>330</v>
      </c>
      <c r="C116">
        <f t="shared" ca="1" si="3"/>
        <v>272</v>
      </c>
    </row>
    <row r="117" spans="2:3">
      <c r="B117">
        <v>335</v>
      </c>
      <c r="C117">
        <f t="shared" ca="1" si="3"/>
        <v>272</v>
      </c>
    </row>
    <row r="118" spans="2:3">
      <c r="B118">
        <v>340</v>
      </c>
      <c r="C118">
        <f t="shared" ca="1" si="3"/>
        <v>338</v>
      </c>
    </row>
    <row r="119" spans="2:3">
      <c r="B119">
        <v>345</v>
      </c>
      <c r="C119">
        <f t="shared" ca="1" si="3"/>
        <v>338</v>
      </c>
    </row>
    <row r="120" spans="2:3">
      <c r="B120">
        <v>350</v>
      </c>
      <c r="C120">
        <f t="shared" ca="1" si="3"/>
        <v>338</v>
      </c>
    </row>
    <row r="121" spans="2:3">
      <c r="B121">
        <v>355</v>
      </c>
      <c r="C121">
        <f t="shared" ca="1" si="3"/>
        <v>338</v>
      </c>
    </row>
    <row r="122" spans="2:3">
      <c r="B122">
        <v>360</v>
      </c>
      <c r="C122">
        <f t="shared" ca="1" si="3"/>
        <v>338</v>
      </c>
    </row>
    <row r="123" spans="2:3">
      <c r="B123">
        <v>365</v>
      </c>
      <c r="C123">
        <f t="shared" ca="1" si="3"/>
        <v>338</v>
      </c>
    </row>
    <row r="124" spans="2:3">
      <c r="B124">
        <v>370</v>
      </c>
      <c r="C124">
        <f t="shared" ca="1" si="3"/>
        <v>338</v>
      </c>
    </row>
    <row r="125" spans="2:3">
      <c r="B125">
        <v>375</v>
      </c>
      <c r="C125">
        <f t="shared" ca="1" si="3"/>
        <v>338</v>
      </c>
    </row>
    <row r="126" spans="2:3">
      <c r="B126">
        <v>380</v>
      </c>
      <c r="C126">
        <f t="shared" ca="1" si="3"/>
        <v>338</v>
      </c>
    </row>
    <row r="127" spans="2:3">
      <c r="B127">
        <v>385</v>
      </c>
      <c r="C127">
        <f t="shared" ca="1" si="3"/>
        <v>338</v>
      </c>
    </row>
    <row r="128" spans="2:3">
      <c r="B128">
        <v>390</v>
      </c>
      <c r="C128">
        <f t="shared" ca="1" si="3"/>
        <v>338</v>
      </c>
    </row>
    <row r="129" spans="2:3">
      <c r="B129">
        <v>395</v>
      </c>
      <c r="C129">
        <f t="shared" ca="1" si="3"/>
        <v>338</v>
      </c>
    </row>
    <row r="130" spans="2:3">
      <c r="B130">
        <v>400</v>
      </c>
      <c r="C130">
        <f t="shared" ca="1" si="3"/>
        <v>338</v>
      </c>
    </row>
  </sheetData>
  <autoFilter ref="B12:D44">
    <sortState ref="B13:D44">
      <sortCondition ref="B12:B44"/>
    </sortState>
  </autoFilter>
  <mergeCells count="1">
    <mergeCell ref="C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C32"/>
  <sheetViews>
    <sheetView workbookViewId="0">
      <selection activeCell="D26" sqref="D26"/>
    </sheetView>
  </sheetViews>
  <sheetFormatPr defaultRowHeight="16.5"/>
  <cols>
    <col min="1" max="1" width="22.875" style="17" bestFit="1" customWidth="1"/>
    <col min="2" max="2" width="11.75" style="36" bestFit="1" customWidth="1"/>
    <col min="3" max="3" width="12.375" style="36" bestFit="1" customWidth="1"/>
    <col min="4" max="4" width="10" customWidth="1"/>
    <col min="5" max="5" width="10.5" customWidth="1"/>
    <col min="6" max="6" width="13.625" bestFit="1" customWidth="1"/>
    <col min="7" max="7" width="14.125" bestFit="1" customWidth="1"/>
  </cols>
  <sheetData>
    <row r="3" spans="1:3">
      <c r="B3" s="35" t="s">
        <v>55</v>
      </c>
    </row>
    <row r="4" spans="1:3">
      <c r="A4" s="37" t="s">
        <v>68</v>
      </c>
      <c r="B4" s="36" t="s">
        <v>63</v>
      </c>
      <c r="C4" s="36" t="s">
        <v>64</v>
      </c>
    </row>
    <row r="5" spans="1:3">
      <c r="A5" s="17" t="s">
        <v>61</v>
      </c>
    </row>
    <row r="6" spans="1:3">
      <c r="A6" s="18">
        <v>10</v>
      </c>
      <c r="B6" s="36" t="s">
        <v>56</v>
      </c>
      <c r="C6" s="36" t="s">
        <v>56</v>
      </c>
    </row>
    <row r="7" spans="1:3">
      <c r="A7" s="18">
        <v>25</v>
      </c>
      <c r="B7" s="36">
        <v>0.56167488126147924</v>
      </c>
      <c r="C7" s="36">
        <v>1.2574334296829357</v>
      </c>
    </row>
    <row r="8" spans="1:3">
      <c r="A8" s="18">
        <v>50</v>
      </c>
      <c r="B8" s="36">
        <v>0.44615421692140111</v>
      </c>
      <c r="C8" s="36">
        <v>1.2574334296829357</v>
      </c>
    </row>
    <row r="9" spans="1:3">
      <c r="A9" s="18">
        <v>100</v>
      </c>
      <c r="B9" s="36">
        <v>0.39763536438352537</v>
      </c>
      <c r="C9" s="36">
        <v>1.2574334296829357</v>
      </c>
    </row>
    <row r="10" spans="1:3">
      <c r="A10" s="18">
        <v>150</v>
      </c>
      <c r="B10" s="36">
        <v>0.35439289154197079</v>
      </c>
      <c r="C10" s="36">
        <v>0.89019469568772258</v>
      </c>
    </row>
    <row r="11" spans="1:3">
      <c r="A11" s="18">
        <v>200</v>
      </c>
      <c r="B11" s="36">
        <v>0.31585299705471215</v>
      </c>
      <c r="C11" s="36">
        <v>0.56167488126147924</v>
      </c>
    </row>
    <row r="12" spans="1:3">
      <c r="A12" s="18" t="s">
        <v>57</v>
      </c>
      <c r="B12" s="36" t="s">
        <v>56</v>
      </c>
      <c r="C12" s="36" t="s">
        <v>56</v>
      </c>
    </row>
    <row r="13" spans="1:3">
      <c r="A13" s="17" t="s">
        <v>59</v>
      </c>
    </row>
    <row r="14" spans="1:3">
      <c r="A14" s="18">
        <v>10</v>
      </c>
      <c r="B14" s="36" t="s">
        <v>56</v>
      </c>
      <c r="C14" s="36" t="s">
        <v>56</v>
      </c>
    </row>
    <row r="15" spans="1:3">
      <c r="A15" s="18">
        <v>25</v>
      </c>
      <c r="B15" s="36">
        <v>0.3971641173621408</v>
      </c>
      <c r="C15" s="36">
        <v>0.88913970501946171</v>
      </c>
    </row>
    <row r="16" spans="1:3">
      <c r="A16" s="18">
        <v>50</v>
      </c>
      <c r="B16" s="36">
        <v>0.31547867224009668</v>
      </c>
      <c r="C16" s="36">
        <v>0.88913970501946171</v>
      </c>
    </row>
    <row r="17" spans="1:3">
      <c r="A17" s="18">
        <v>100</v>
      </c>
      <c r="B17" s="36">
        <v>0.28117066259517454</v>
      </c>
      <c r="C17" s="36">
        <v>0.88913970501946171</v>
      </c>
    </row>
    <row r="18" spans="1:3">
      <c r="A18" s="18">
        <v>150</v>
      </c>
      <c r="B18" s="36">
        <v>0.25059361681363618</v>
      </c>
      <c r="C18" s="36">
        <v>0.62946270589708364</v>
      </c>
    </row>
    <row r="19" spans="1:3">
      <c r="A19" s="18">
        <v>200</v>
      </c>
      <c r="B19" s="36">
        <v>0.2233417960754816</v>
      </c>
      <c r="C19" s="36">
        <v>0.3971641173621408</v>
      </c>
    </row>
    <row r="20" spans="1:3">
      <c r="A20" s="18" t="s">
        <v>57</v>
      </c>
      <c r="B20" s="36" t="s">
        <v>56</v>
      </c>
      <c r="C20" s="36" t="s">
        <v>56</v>
      </c>
    </row>
    <row r="21" spans="1:3">
      <c r="A21" s="17" t="s">
        <v>44</v>
      </c>
    </row>
    <row r="22" spans="1:3">
      <c r="A22" s="18">
        <v>10</v>
      </c>
      <c r="B22" s="36">
        <v>0.6</v>
      </c>
      <c r="C22" s="36">
        <v>2.5</v>
      </c>
    </row>
    <row r="23" spans="1:3">
      <c r="A23" s="18">
        <v>25</v>
      </c>
      <c r="B23" s="36">
        <v>0.6</v>
      </c>
      <c r="C23" s="36">
        <v>2.5</v>
      </c>
    </row>
    <row r="24" spans="1:3">
      <c r="A24" s="18">
        <v>50</v>
      </c>
      <c r="B24" s="36">
        <v>0.6</v>
      </c>
      <c r="C24" s="36">
        <v>2.5</v>
      </c>
    </row>
    <row r="25" spans="1:3">
      <c r="A25" s="18">
        <v>100</v>
      </c>
      <c r="B25" s="36">
        <v>0.6</v>
      </c>
      <c r="C25" s="36">
        <v>2.5</v>
      </c>
    </row>
    <row r="26" spans="1:3">
      <c r="A26" s="18">
        <v>150</v>
      </c>
      <c r="B26" s="36">
        <v>0.9</v>
      </c>
      <c r="C26" s="36">
        <v>2.5</v>
      </c>
    </row>
    <row r="27" spans="1:3">
      <c r="A27" s="18">
        <v>200</v>
      </c>
      <c r="B27" s="36">
        <v>1.2</v>
      </c>
      <c r="C27" s="36">
        <v>2.5</v>
      </c>
    </row>
    <row r="28" spans="1:3">
      <c r="A28" s="18" t="s">
        <v>57</v>
      </c>
      <c r="B28" s="36">
        <v>0.6</v>
      </c>
      <c r="C28" s="36">
        <v>2.5</v>
      </c>
    </row>
    <row r="29" spans="1:3">
      <c r="B29" s="17"/>
      <c r="C29" s="17"/>
    </row>
    <row r="30" spans="1:3">
      <c r="B30" s="17"/>
      <c r="C30" s="17"/>
    </row>
    <row r="31" spans="1:3">
      <c r="B31" s="17"/>
      <c r="C31" s="17"/>
    </row>
    <row r="32" spans="1:3">
      <c r="B32" s="17"/>
      <c r="C32" s="1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A20" sqref="A20"/>
    </sheetView>
  </sheetViews>
  <sheetFormatPr defaultColWidth="14.875" defaultRowHeight="16.5"/>
  <cols>
    <col min="1" max="1" width="11.875" bestFit="1" customWidth="1"/>
    <col min="2" max="2" width="11.125" style="20" bestFit="1" customWidth="1"/>
    <col min="3" max="3" width="8.375" style="22" customWidth="1"/>
    <col min="4" max="4" width="13" style="20" customWidth="1"/>
    <col min="5" max="5" width="11.25" bestFit="1" customWidth="1"/>
  </cols>
  <sheetData>
    <row r="1" spans="1:5" s="30" customFormat="1" ht="33">
      <c r="A1" s="28" t="s">
        <v>36</v>
      </c>
      <c r="B1" s="29" t="s">
        <v>37</v>
      </c>
      <c r="C1" s="21" t="s">
        <v>65</v>
      </c>
      <c r="D1" s="29" t="s">
        <v>38</v>
      </c>
      <c r="E1" s="29" t="s">
        <v>66</v>
      </c>
    </row>
    <row r="2" spans="1:5">
      <c r="A2">
        <v>62.5</v>
      </c>
      <c r="B2" s="20">
        <v>968.24</v>
      </c>
      <c r="C2" s="22">
        <f t="shared" ref="C2:C25" si="0">B2/A2-INT(B2/A2)</f>
        <v>0.49183999999999983</v>
      </c>
      <c r="D2" s="20">
        <f t="shared" ref="D2:D25" si="1">(B2/A2-INT(B2/A2))*A2</f>
        <v>30.739999999999988</v>
      </c>
    </row>
    <row r="3" spans="1:5">
      <c r="A3">
        <v>16.367999999999999</v>
      </c>
      <c r="B3" s="20">
        <v>760</v>
      </c>
      <c r="C3" s="22">
        <f>B3/A3-INT(B3/A3)</f>
        <v>0.4320625610948241</v>
      </c>
      <c r="D3" s="20">
        <f>(B3/A3-INT(B3/A3))*A3</f>
        <v>7.07200000000008</v>
      </c>
      <c r="E3">
        <v>70</v>
      </c>
    </row>
    <row r="4" spans="1:5">
      <c r="A4">
        <v>16.367999999999999</v>
      </c>
      <c r="B4" s="20">
        <v>945</v>
      </c>
      <c r="C4" s="22">
        <f>B4/A4-INT(B4/A4)</f>
        <v>0.7346041055718544</v>
      </c>
      <c r="D4" s="20">
        <f>(B4/A4-INT(B4/A4))*A4</f>
        <v>12.024000000000111</v>
      </c>
      <c r="E4">
        <v>70</v>
      </c>
    </row>
    <row r="5" spans="1:5">
      <c r="A5">
        <v>40</v>
      </c>
      <c r="B5" s="20">
        <v>2000.1</v>
      </c>
      <c r="C5" s="22">
        <f t="shared" si="0"/>
        <v>2.4999999999977263E-3</v>
      </c>
      <c r="D5" s="20">
        <f t="shared" si="1"/>
        <v>9.9999999999909051E-2</v>
      </c>
    </row>
    <row r="6" spans="1:5">
      <c r="A6">
        <v>40.5</v>
      </c>
      <c r="B6" s="20">
        <v>2000.1</v>
      </c>
      <c r="C6" s="22">
        <f t="shared" si="0"/>
        <v>0.38518518518518619</v>
      </c>
      <c r="D6" s="20">
        <f t="shared" si="1"/>
        <v>15.600000000000041</v>
      </c>
    </row>
    <row r="7" spans="1:5">
      <c r="A7">
        <v>41</v>
      </c>
      <c r="B7" s="20">
        <v>2000.1</v>
      </c>
      <c r="C7" s="22">
        <f t="shared" si="0"/>
        <v>0.78292682926829116</v>
      </c>
      <c r="D7" s="20">
        <f t="shared" si="1"/>
        <v>32.099999999999937</v>
      </c>
    </row>
    <row r="8" spans="1:5">
      <c r="A8">
        <v>41.5</v>
      </c>
      <c r="B8" s="20">
        <v>2000.1</v>
      </c>
      <c r="C8" s="22">
        <f t="shared" si="0"/>
        <v>0.19518072289156407</v>
      </c>
      <c r="D8" s="20">
        <f t="shared" si="1"/>
        <v>8.0999999999999091</v>
      </c>
    </row>
    <row r="9" spans="1:5">
      <c r="A9">
        <v>42</v>
      </c>
      <c r="B9" s="20">
        <v>2000.1</v>
      </c>
      <c r="C9" s="22">
        <f t="shared" si="0"/>
        <v>0.62142857142856656</v>
      </c>
      <c r="D9" s="20">
        <f t="shared" si="1"/>
        <v>26.099999999999795</v>
      </c>
    </row>
    <row r="10" spans="1:5">
      <c r="A10">
        <v>42.5</v>
      </c>
      <c r="B10" s="20">
        <v>2000.1</v>
      </c>
      <c r="C10" s="22">
        <f t="shared" si="0"/>
        <v>6.1176470588236498E-2</v>
      </c>
      <c r="D10" s="20">
        <f t="shared" si="1"/>
        <v>2.6000000000000512</v>
      </c>
    </row>
    <row r="11" spans="1:5">
      <c r="A11">
        <v>43</v>
      </c>
      <c r="B11" s="20">
        <v>2000.1</v>
      </c>
      <c r="C11" s="22">
        <f t="shared" si="0"/>
        <v>0.51395348837208843</v>
      </c>
      <c r="D11" s="20">
        <f t="shared" si="1"/>
        <v>22.099999999999802</v>
      </c>
    </row>
    <row r="12" spans="1:5">
      <c r="A12">
        <v>43.5</v>
      </c>
      <c r="B12" s="20">
        <v>2000.1</v>
      </c>
      <c r="C12" s="22">
        <f t="shared" si="0"/>
        <v>0.9793103448275815</v>
      </c>
      <c r="D12" s="20">
        <f t="shared" si="1"/>
        <v>42.599999999999795</v>
      </c>
    </row>
    <row r="13" spans="1:5">
      <c r="A13">
        <v>44</v>
      </c>
      <c r="B13" s="20">
        <v>2000.1</v>
      </c>
      <c r="C13" s="22">
        <f t="shared" si="0"/>
        <v>0.45681818181817846</v>
      </c>
      <c r="D13" s="20">
        <f t="shared" si="1"/>
        <v>20.099999999999852</v>
      </c>
    </row>
    <row r="14" spans="1:5">
      <c r="A14">
        <v>44.5</v>
      </c>
      <c r="B14" s="20">
        <v>2000.1</v>
      </c>
      <c r="C14" s="22">
        <f t="shared" si="0"/>
        <v>0.94606741573033304</v>
      </c>
      <c r="D14" s="20">
        <f t="shared" si="1"/>
        <v>42.099999999999824</v>
      </c>
    </row>
    <row r="15" spans="1:5">
      <c r="A15">
        <v>45</v>
      </c>
      <c r="B15" s="20">
        <v>2000.1</v>
      </c>
      <c r="C15" s="22">
        <f t="shared" si="0"/>
        <v>0.44666666666666544</v>
      </c>
      <c r="D15" s="20">
        <f t="shared" si="1"/>
        <v>20.099999999999945</v>
      </c>
    </row>
    <row r="16" spans="1:5">
      <c r="A16">
        <v>45.5</v>
      </c>
      <c r="B16" s="20">
        <v>2000.1</v>
      </c>
      <c r="C16" s="22">
        <f t="shared" si="0"/>
        <v>0.95824175824175484</v>
      </c>
      <c r="D16" s="20">
        <f t="shared" si="1"/>
        <v>43.599999999999845</v>
      </c>
    </row>
    <row r="17" spans="1:4">
      <c r="A17">
        <v>46</v>
      </c>
      <c r="B17" s="20">
        <v>2000.1</v>
      </c>
      <c r="C17" s="22">
        <f t="shared" si="0"/>
        <v>0.48043478260869676</v>
      </c>
      <c r="D17" s="20">
        <f t="shared" si="1"/>
        <v>22.100000000000051</v>
      </c>
    </row>
    <row r="18" spans="1:4">
      <c r="A18">
        <v>46.5</v>
      </c>
      <c r="B18" s="20">
        <v>2000.1</v>
      </c>
      <c r="C18" s="22">
        <f t="shared" si="0"/>
        <v>1.2903225806446983E-2</v>
      </c>
      <c r="D18" s="20">
        <f t="shared" si="1"/>
        <v>0.59999999999978471</v>
      </c>
    </row>
    <row r="19" spans="1:4">
      <c r="A19">
        <v>47</v>
      </c>
      <c r="B19" s="20">
        <v>2000.1</v>
      </c>
      <c r="C19" s="22">
        <f t="shared" si="0"/>
        <v>0.55531914893617085</v>
      </c>
      <c r="D19" s="20">
        <f t="shared" si="1"/>
        <v>26.10000000000003</v>
      </c>
    </row>
    <row r="20" spans="1:4" s="102" customFormat="1">
      <c r="A20" s="102">
        <v>47.5</v>
      </c>
      <c r="B20" s="103">
        <v>2000.1</v>
      </c>
      <c r="C20" s="104">
        <f t="shared" si="0"/>
        <v>0.10736842105262667</v>
      </c>
      <c r="D20" s="103">
        <f t="shared" si="1"/>
        <v>5.0999999999997669</v>
      </c>
    </row>
    <row r="21" spans="1:4">
      <c r="A21">
        <v>48</v>
      </c>
      <c r="B21" s="20">
        <v>2000.1</v>
      </c>
      <c r="C21" s="22">
        <f t="shared" si="0"/>
        <v>0.66874999999999574</v>
      </c>
      <c r="D21" s="20">
        <f t="shared" si="1"/>
        <v>32.099999999999795</v>
      </c>
    </row>
    <row r="22" spans="1:4">
      <c r="A22">
        <v>48.5</v>
      </c>
      <c r="B22" s="20">
        <v>2000.1</v>
      </c>
      <c r="C22" s="22">
        <f t="shared" si="0"/>
        <v>0.23917525773195791</v>
      </c>
      <c r="D22" s="20">
        <f t="shared" si="1"/>
        <v>11.599999999999959</v>
      </c>
    </row>
    <row r="23" spans="1:4">
      <c r="A23">
        <v>49</v>
      </c>
      <c r="B23" s="20">
        <v>2000.1</v>
      </c>
      <c r="C23" s="22">
        <f t="shared" si="0"/>
        <v>0.81836734693877133</v>
      </c>
      <c r="D23" s="20">
        <f t="shared" si="1"/>
        <v>40.099999999999795</v>
      </c>
    </row>
    <row r="24" spans="1:4">
      <c r="A24">
        <v>49.5</v>
      </c>
      <c r="B24" s="20">
        <v>2000.1</v>
      </c>
      <c r="C24" s="22">
        <f t="shared" si="0"/>
        <v>0.40606060606060623</v>
      </c>
      <c r="D24" s="20">
        <f t="shared" si="1"/>
        <v>20.100000000000009</v>
      </c>
    </row>
    <row r="25" spans="1:4">
      <c r="A25">
        <v>50</v>
      </c>
      <c r="B25" s="20">
        <v>2000.1</v>
      </c>
      <c r="C25" s="22">
        <f t="shared" si="0"/>
        <v>1.9999999999953388E-3</v>
      </c>
      <c r="D25" s="20">
        <f t="shared" si="1"/>
        <v>9.9999999999766942E-2</v>
      </c>
    </row>
  </sheetData>
  <autoFilter ref="A1:D25">
    <sortState ref="A2:D23">
      <sortCondition ref="A1:A23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11</vt:i4>
      </vt:variant>
    </vt:vector>
  </HeadingPairs>
  <TitlesOfParts>
    <vt:vector size="24" baseType="lpstr">
      <vt:lpstr>uWave Reg Cal</vt:lpstr>
      <vt:lpstr>Narrowband Reg Cal</vt:lpstr>
      <vt:lpstr>Wideband Reg Cal</vt:lpstr>
      <vt:lpstr>Design Checklist</vt:lpstr>
      <vt:lpstr>Ref_DB</vt:lpstr>
      <vt:lpstr>NB REG DB</vt:lpstr>
      <vt:lpstr>Reg07</vt:lpstr>
      <vt:lpstr>Ref_Summary</vt:lpstr>
      <vt:lpstr>Spur Cal</vt:lpstr>
      <vt:lpstr>PN_Jitter</vt:lpstr>
      <vt:lpstr>ModeAnalysis</vt:lpstr>
      <vt:lpstr>Reg_Value Analyzer</vt:lpstr>
      <vt:lpstr>Sheet1</vt:lpstr>
      <vt:lpstr>Auto_Cal</vt:lpstr>
      <vt:lpstr>LD_Timer_Speed_Reg07</vt:lpstr>
      <vt:lpstr>Mode</vt:lpstr>
      <vt:lpstr>Reg06H</vt:lpstr>
      <vt:lpstr>Reg07_dB</vt:lpstr>
      <vt:lpstr>VReg01</vt:lpstr>
      <vt:lpstr>VReg02</vt:lpstr>
      <vt:lpstr>VReg03</vt:lpstr>
      <vt:lpstr>Vreg04</vt:lpstr>
      <vt:lpstr>Vreg05</vt:lpstr>
      <vt:lpstr>Vreg06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david_qi</cp:lastModifiedBy>
  <dcterms:created xsi:type="dcterms:W3CDTF">2011-10-09T13:25:58Z</dcterms:created>
  <dcterms:modified xsi:type="dcterms:W3CDTF">2012-09-29T02:42:11Z</dcterms:modified>
</cp:coreProperties>
</file>