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4C747B36-4EEF-1B40-98A4-4FDD2C8E59CF}" xr6:coauthVersionLast="45" xr6:coauthVersionMax="45" xr10:uidLastSave="{00000000-0000-0000-0000-000000000000}"/>
  <bookViews>
    <workbookView xWindow="0" yWindow="460" windowWidth="28800" windowHeight="17320" xr2:uid="{3EE9E33E-69E4-4F54-ADAA-B9E600ECD73C}"/>
  </bookViews>
  <sheets>
    <sheet name="EDT" sheetId="4" r:id="rId1"/>
    <sheet name="Direccion" sheetId="24" r:id="rId2"/>
    <sheet name="Pub. y Merca" sheetId="25" r:id="rId3"/>
    <sheet name="Redes y Soporte" sheetId="23" r:id="rId4"/>
    <sheet name="Admon. y R. H." sheetId="22" r:id="rId5"/>
    <sheet name="Inv. y Des." sheetId="1" r:id="rId6"/>
    <sheet name="Salario" sheetId="12" r:id="rId7"/>
    <sheet name="Ruta Crit." sheetId="2" r:id="rId8"/>
    <sheet name="PERT CMP" sheetId="3" r:id="rId9"/>
    <sheet name="Balance General" sheetId="5" r:id="rId10"/>
    <sheet name="Activos" sheetId="6" r:id="rId11"/>
    <sheet name="Pasivos y Patrimonio" sheetId="7" r:id="rId12"/>
    <sheet name="Gastos Generales" sheetId="8" r:id="rId13"/>
    <sheet name="Modulos" sheetId="11" r:id="rId14"/>
    <sheet name="Inversion" sheetId="21" r:id="rId15"/>
    <sheet name="Gráfica de proyeccion a futuro" sheetId="2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21" l="1"/>
  <c r="E40" i="21"/>
  <c r="F40" i="21"/>
  <c r="G40" i="21"/>
  <c r="H40" i="21"/>
  <c r="I40" i="21"/>
  <c r="J40" i="21"/>
  <c r="K40" i="21"/>
  <c r="L40" i="21"/>
  <c r="B40" i="21"/>
  <c r="C40" i="21"/>
  <c r="A40" i="21"/>
  <c r="F18" i="23" l="1"/>
  <c r="I15" i="25" l="1"/>
  <c r="H15" i="25"/>
  <c r="G15" i="25"/>
  <c r="I14" i="25"/>
  <c r="H14" i="25"/>
  <c r="G14" i="25"/>
  <c r="I13" i="25"/>
  <c r="H13" i="25"/>
  <c r="G13" i="25"/>
  <c r="I12" i="25"/>
  <c r="H12" i="25"/>
  <c r="G12" i="25"/>
  <c r="I11" i="25"/>
  <c r="H11" i="25"/>
  <c r="G11" i="25"/>
  <c r="I10" i="25"/>
  <c r="H10" i="25"/>
  <c r="G10" i="25"/>
  <c r="I9" i="25"/>
  <c r="H9" i="25"/>
  <c r="G9" i="25"/>
  <c r="I8" i="25"/>
  <c r="H8" i="25"/>
  <c r="G8" i="25"/>
  <c r="I7" i="25"/>
  <c r="H7" i="25"/>
  <c r="G7" i="25"/>
  <c r="I6" i="25"/>
  <c r="H6" i="25"/>
  <c r="G6" i="25"/>
  <c r="I5" i="25"/>
  <c r="H5" i="25"/>
  <c r="G5" i="25"/>
  <c r="I4" i="25"/>
  <c r="H4" i="25"/>
  <c r="G4" i="25"/>
  <c r="I16" i="25" l="1"/>
  <c r="G16" i="25"/>
  <c r="I7" i="24"/>
  <c r="H7" i="24"/>
  <c r="G7" i="24"/>
  <c r="I6" i="24"/>
  <c r="H6" i="24"/>
  <c r="G6" i="24"/>
  <c r="I5" i="24"/>
  <c r="H5" i="24"/>
  <c r="G5" i="24"/>
  <c r="I4" i="24"/>
  <c r="H4" i="24"/>
  <c r="G4" i="2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3" i="4"/>
  <c r="I18" i="23"/>
  <c r="G17" i="23"/>
  <c r="I17" i="23"/>
  <c r="I16" i="23"/>
  <c r="I15" i="23"/>
  <c r="H15" i="23"/>
  <c r="G15" i="23"/>
  <c r="I14" i="23"/>
  <c r="I13" i="23"/>
  <c r="I12" i="23"/>
  <c r="G12" i="23"/>
  <c r="H12" i="23"/>
  <c r="I11" i="23"/>
  <c r="H11" i="23"/>
  <c r="I10" i="23"/>
  <c r="I9" i="23"/>
  <c r="I8" i="23"/>
  <c r="I7" i="23"/>
  <c r="H7" i="23"/>
  <c r="G7" i="23"/>
  <c r="I6" i="23"/>
  <c r="H5" i="23"/>
  <c r="I5" i="23"/>
  <c r="I4" i="23"/>
  <c r="H4" i="23"/>
  <c r="I22" i="22"/>
  <c r="F5" i="22"/>
  <c r="H5" i="22" s="1"/>
  <c r="F6" i="22"/>
  <c r="G6" i="22" s="1"/>
  <c r="F7" i="22"/>
  <c r="G7" i="22" s="1"/>
  <c r="F8" i="22"/>
  <c r="G8" i="22" s="1"/>
  <c r="F9" i="22"/>
  <c r="G9" i="22" s="1"/>
  <c r="F10" i="22"/>
  <c r="G10" i="22" s="1"/>
  <c r="F11" i="22"/>
  <c r="G11" i="22" s="1"/>
  <c r="F12" i="22"/>
  <c r="G12" i="22" s="1"/>
  <c r="F13" i="22"/>
  <c r="G13" i="22" s="1"/>
  <c r="F14" i="22"/>
  <c r="G14" i="22" s="1"/>
  <c r="F15" i="22"/>
  <c r="G15" i="22" s="1"/>
  <c r="F16" i="22"/>
  <c r="G16" i="22" s="1"/>
  <c r="F17" i="22"/>
  <c r="G17" i="22" s="1"/>
  <c r="F18" i="22"/>
  <c r="G18" i="22" s="1"/>
  <c r="F19" i="22"/>
  <c r="H19" i="22" s="1"/>
  <c r="F20" i="22"/>
  <c r="G20" i="22" s="1"/>
  <c r="F21" i="22"/>
  <c r="G21" i="22" s="1"/>
  <c r="F22" i="22"/>
  <c r="G22" i="22" s="1"/>
  <c r="F23" i="22"/>
  <c r="G23" i="22" s="1"/>
  <c r="F24" i="22"/>
  <c r="H24" i="22" s="1"/>
  <c r="F25" i="22"/>
  <c r="G25" i="22" s="1"/>
  <c r="F26" i="22"/>
  <c r="I26" i="22" s="1"/>
  <c r="F4" i="22"/>
  <c r="I4" i="22" s="1"/>
  <c r="H22" i="22"/>
  <c r="I14" i="22" l="1"/>
  <c r="I11" i="22"/>
  <c r="I19" i="22"/>
  <c r="H16" i="25"/>
  <c r="I8" i="24"/>
  <c r="G8" i="24"/>
  <c r="G13" i="23"/>
  <c r="G4" i="23"/>
  <c r="H13" i="23"/>
  <c r="H16" i="23"/>
  <c r="G9" i="23"/>
  <c r="I19" i="23"/>
  <c r="H17" i="23"/>
  <c r="G5" i="23"/>
  <c r="H8" i="23"/>
  <c r="H9" i="23"/>
  <c r="H6" i="23"/>
  <c r="G11" i="23"/>
  <c r="H14" i="23"/>
  <c r="G6" i="23"/>
  <c r="G14" i="23"/>
  <c r="G8" i="23"/>
  <c r="G16" i="23"/>
  <c r="G10" i="23"/>
  <c r="G18" i="23"/>
  <c r="H10" i="23"/>
  <c r="H18" i="23"/>
  <c r="I6" i="22"/>
  <c r="H6" i="22"/>
  <c r="G4" i="22"/>
  <c r="H15" i="22"/>
  <c r="G19" i="22"/>
  <c r="H25" i="22"/>
  <c r="H16" i="22"/>
  <c r="H10" i="22"/>
  <c r="I18" i="22"/>
  <c r="I10" i="22"/>
  <c r="G26" i="22"/>
  <c r="H8" i="22"/>
  <c r="I25" i="22"/>
  <c r="I17" i="22"/>
  <c r="I9" i="22"/>
  <c r="I24" i="22"/>
  <c r="I16" i="22"/>
  <c r="I8" i="22"/>
  <c r="G24" i="22"/>
  <c r="H26" i="22"/>
  <c r="I23" i="22"/>
  <c r="I15" i="22"/>
  <c r="I7" i="22"/>
  <c r="I21" i="22"/>
  <c r="I13" i="22"/>
  <c r="I5" i="22"/>
  <c r="I27" i="22" s="1"/>
  <c r="G5" i="22"/>
  <c r="I20" i="22"/>
  <c r="I12" i="22"/>
  <c r="H12" i="22"/>
  <c r="H9" i="22"/>
  <c r="H21" i="22"/>
  <c r="H18" i="22"/>
  <c r="H20" i="22"/>
  <c r="H14" i="22"/>
  <c r="H17" i="22"/>
  <c r="H11" i="22"/>
  <c r="H23" i="22"/>
  <c r="H13" i="22"/>
  <c r="H7" i="22"/>
  <c r="H4" i="22"/>
  <c r="H27" i="22" l="1"/>
  <c r="G27" i="22"/>
  <c r="H8" i="24"/>
  <c r="G19" i="23"/>
  <c r="H19" i="23"/>
  <c r="E9" i="21" l="1"/>
  <c r="E14" i="21" s="1"/>
  <c r="E7" i="21"/>
  <c r="E12" i="21" s="1"/>
  <c r="A13" i="21"/>
  <c r="A14" i="21"/>
  <c r="A12" i="21"/>
  <c r="H15" i="11"/>
  <c r="H16" i="11"/>
  <c r="H17" i="11"/>
  <c r="H18" i="11"/>
  <c r="H19" i="11"/>
  <c r="H14" i="11"/>
  <c r="D15" i="11"/>
  <c r="D16" i="11"/>
  <c r="D17" i="11"/>
  <c r="D18" i="11"/>
  <c r="D19" i="11"/>
  <c r="D14" i="11"/>
  <c r="E4" i="11"/>
  <c r="E5" i="11"/>
  <c r="E6" i="11"/>
  <c r="E7" i="11"/>
  <c r="E8" i="11"/>
  <c r="E3" i="11"/>
  <c r="D4" i="11"/>
  <c r="D5" i="11"/>
  <c r="D6" i="11"/>
  <c r="D7" i="11"/>
  <c r="D8" i="11"/>
  <c r="D3" i="11"/>
  <c r="B15" i="11"/>
  <c r="B16" i="11"/>
  <c r="B17" i="11"/>
  <c r="B18" i="11"/>
  <c r="B19" i="11"/>
  <c r="B14" i="11"/>
  <c r="A15" i="11"/>
  <c r="A16" i="11"/>
  <c r="A17" i="11"/>
  <c r="A18" i="11"/>
  <c r="A19" i="11"/>
  <c r="A14" i="11"/>
  <c r="A51" i="1"/>
  <c r="A49" i="1"/>
  <c r="A48" i="1"/>
  <c r="E27" i="1"/>
  <c r="A7" i="12"/>
  <c r="E8" i="21" s="1"/>
  <c r="C3" i="12"/>
  <c r="C7" i="12" l="1"/>
  <c r="E13" i="21"/>
  <c r="E10" i="8"/>
  <c r="E5" i="8"/>
  <c r="B7" i="8" s="1"/>
  <c r="J5" i="25" l="1"/>
  <c r="K4" i="4" s="1"/>
  <c r="J14" i="25"/>
  <c r="K13" i="4" s="1"/>
  <c r="J15" i="25"/>
  <c r="K14" i="4" s="1"/>
  <c r="J8" i="25"/>
  <c r="K7" i="4" s="1"/>
  <c r="J9" i="25"/>
  <c r="K8" i="4" s="1"/>
  <c r="J12" i="25"/>
  <c r="K11" i="4" s="1"/>
  <c r="J11" i="25"/>
  <c r="K10" i="4" s="1"/>
  <c r="J7" i="25"/>
  <c r="K6" i="4" s="1"/>
  <c r="J13" i="25"/>
  <c r="K12" i="4" s="1"/>
  <c r="J6" i="25"/>
  <c r="K5" i="4" s="1"/>
  <c r="J10" i="25"/>
  <c r="K9" i="4" s="1"/>
  <c r="J4" i="25"/>
  <c r="J5" i="24"/>
  <c r="P4" i="4" s="1"/>
  <c r="J22" i="22"/>
  <c r="C21" i="4" s="1"/>
  <c r="J7" i="23"/>
  <c r="N6" i="4" s="1"/>
  <c r="J7" i="24"/>
  <c r="P6" i="4" s="1"/>
  <c r="J6" i="24"/>
  <c r="P5" i="4" s="1"/>
  <c r="J11" i="23"/>
  <c r="N10" i="4" s="1"/>
  <c r="J15" i="23"/>
  <c r="N14" i="4" s="1"/>
  <c r="J24" i="22"/>
  <c r="C23" i="4" s="1"/>
  <c r="J4" i="23"/>
  <c r="J4" i="24"/>
  <c r="J5" i="23"/>
  <c r="N4" i="4" s="1"/>
  <c r="J5" i="22"/>
  <c r="C4" i="4" s="1"/>
  <c r="J12" i="23"/>
  <c r="N11" i="4" s="1"/>
  <c r="J19" i="22"/>
  <c r="C18" i="4" s="1"/>
  <c r="J17" i="23"/>
  <c r="N16" i="4" s="1"/>
  <c r="J13" i="22"/>
  <c r="C12" i="4" s="1"/>
  <c r="J20" i="22"/>
  <c r="C19" i="4" s="1"/>
  <c r="J14" i="23"/>
  <c r="N13" i="4" s="1"/>
  <c r="J14" i="22"/>
  <c r="C13" i="4" s="1"/>
  <c r="J18" i="23"/>
  <c r="N17" i="4" s="1"/>
  <c r="J8" i="23"/>
  <c r="N7" i="4" s="1"/>
  <c r="J23" i="22"/>
  <c r="C22" i="4" s="1"/>
  <c r="J11" i="22"/>
  <c r="C10" i="4" s="1"/>
  <c r="J18" i="22"/>
  <c r="C17" i="4" s="1"/>
  <c r="J6" i="23"/>
  <c r="N5" i="4" s="1"/>
  <c r="J10" i="22"/>
  <c r="C9" i="4" s="1"/>
  <c r="J16" i="23"/>
  <c r="N15" i="4" s="1"/>
  <c r="J15" i="22"/>
  <c r="C14" i="4" s="1"/>
  <c r="J9" i="23"/>
  <c r="N8" i="4" s="1"/>
  <c r="J8" i="22"/>
  <c r="C7" i="4" s="1"/>
  <c r="J16" i="22"/>
  <c r="C15" i="4" s="1"/>
  <c r="J9" i="22"/>
  <c r="C8" i="4" s="1"/>
  <c r="J6" i="22"/>
  <c r="C5" i="4" s="1"/>
  <c r="J12" i="22"/>
  <c r="C11" i="4" s="1"/>
  <c r="J4" i="22"/>
  <c r="J25" i="22"/>
  <c r="C24" i="4" s="1"/>
  <c r="J10" i="23"/>
  <c r="N9" i="4" s="1"/>
  <c r="J26" i="22"/>
  <c r="C25" i="4" s="1"/>
  <c r="J17" i="22"/>
  <c r="C16" i="4" s="1"/>
  <c r="J13" i="23"/>
  <c r="N12" i="4" s="1"/>
  <c r="J7" i="22"/>
  <c r="C6" i="4" s="1"/>
  <c r="J21" i="22"/>
  <c r="C20" i="4" s="1"/>
  <c r="E7" i="12"/>
  <c r="F23" i="1"/>
  <c r="F5" i="1"/>
  <c r="N3" i="4" l="1"/>
  <c r="N26" i="4" s="1"/>
  <c r="J19" i="23"/>
  <c r="H20" i="23" s="1"/>
  <c r="K3" i="4"/>
  <c r="K26" i="4" s="1"/>
  <c r="J16" i="25"/>
  <c r="H17" i="25" s="1"/>
  <c r="P3" i="4"/>
  <c r="P26" i="4" s="1"/>
  <c r="J8" i="24"/>
  <c r="H9" i="24" s="1"/>
  <c r="C3" i="4"/>
  <c r="J27" i="22"/>
  <c r="H9" i="6"/>
  <c r="F11" i="6" s="1"/>
  <c r="B19" i="5"/>
  <c r="B20" i="5"/>
  <c r="D32" i="5"/>
  <c r="D33" i="5"/>
  <c r="D34" i="5"/>
  <c r="D36" i="5"/>
  <c r="D37" i="5"/>
  <c r="D38" i="5"/>
  <c r="D39" i="5"/>
  <c r="D31" i="5"/>
  <c r="C38" i="5"/>
  <c r="C39" i="5"/>
  <c r="C37" i="5"/>
  <c r="C32" i="5"/>
  <c r="C33" i="5"/>
  <c r="C34" i="5"/>
  <c r="C35" i="5"/>
  <c r="C36" i="5"/>
  <c r="C31" i="5"/>
  <c r="B5" i="5"/>
  <c r="D25" i="5"/>
  <c r="D24" i="5"/>
  <c r="D14" i="5"/>
  <c r="D13" i="5"/>
  <c r="D6" i="5"/>
  <c r="D7" i="5"/>
  <c r="D8" i="5"/>
  <c r="D9" i="5"/>
  <c r="D10" i="5"/>
  <c r="D5" i="5"/>
  <c r="B25" i="5"/>
  <c r="B26" i="5"/>
  <c r="B27" i="5"/>
  <c r="B24" i="5"/>
  <c r="B14" i="5"/>
  <c r="B15" i="5"/>
  <c r="B18" i="5"/>
  <c r="B13" i="5"/>
  <c r="B6" i="5"/>
  <c r="B7" i="5"/>
  <c r="B8" i="5"/>
  <c r="B9" i="5"/>
  <c r="C25" i="5"/>
  <c r="C24" i="5"/>
  <c r="A25" i="5"/>
  <c r="A26" i="5"/>
  <c r="A27" i="5"/>
  <c r="A24" i="5"/>
  <c r="C14" i="5"/>
  <c r="C13" i="5"/>
  <c r="A14" i="5"/>
  <c r="A15" i="5"/>
  <c r="A16" i="5"/>
  <c r="A17" i="5"/>
  <c r="A18" i="5"/>
  <c r="A19" i="5"/>
  <c r="A20" i="5"/>
  <c r="A13" i="5"/>
  <c r="C6" i="5"/>
  <c r="C7" i="5"/>
  <c r="C8" i="5"/>
  <c r="C9" i="5"/>
  <c r="C10" i="5"/>
  <c r="C5" i="5"/>
  <c r="A6" i="5"/>
  <c r="A7" i="5"/>
  <c r="A8" i="5"/>
  <c r="A9" i="5"/>
  <c r="A5" i="5"/>
  <c r="J12" i="7"/>
  <c r="B12" i="7"/>
  <c r="B19" i="7"/>
  <c r="B25" i="7"/>
  <c r="B30" i="6"/>
  <c r="B10" i="6"/>
  <c r="B17" i="6"/>
  <c r="B17" i="5" s="1"/>
  <c r="H17" i="6"/>
  <c r="H18" i="6"/>
  <c r="G9" i="24" l="1"/>
  <c r="I9" i="24"/>
  <c r="G17" i="25"/>
  <c r="I17" i="25"/>
  <c r="H28" i="22"/>
  <c r="C26" i="4"/>
  <c r="I20" i="23"/>
  <c r="G20" i="23"/>
  <c r="B16" i="6"/>
  <c r="B16" i="5" s="1"/>
  <c r="B22" i="6"/>
  <c r="B31" i="6"/>
  <c r="B41" i="5" s="1"/>
  <c r="I28" i="22" l="1"/>
  <c r="G28" i="22"/>
  <c r="BI27" i="2"/>
  <c r="Q17" i="2"/>
  <c r="L27" i="2" l="1"/>
  <c r="I5" i="1"/>
  <c r="I23" i="1"/>
  <c r="G23" i="1"/>
  <c r="G5" i="1"/>
  <c r="H23" i="1"/>
  <c r="H5" i="1"/>
  <c r="F6" i="1"/>
  <c r="Q52" i="2" s="1"/>
  <c r="F7" i="1"/>
  <c r="U57" i="2" s="1"/>
  <c r="F8" i="1"/>
  <c r="U47" i="2" s="1"/>
  <c r="F9" i="1"/>
  <c r="Y37" i="2" s="1"/>
  <c r="F10" i="1"/>
  <c r="AC27" i="2" s="1"/>
  <c r="F11" i="1"/>
  <c r="AG17" i="2" s="1"/>
  <c r="F12" i="1"/>
  <c r="AG69" i="2" s="1"/>
  <c r="F13" i="1"/>
  <c r="AG57" i="2" s="1"/>
  <c r="F14" i="1"/>
  <c r="AG47" i="2" s="1"/>
  <c r="F15" i="1"/>
  <c r="AG27" i="2" s="1"/>
  <c r="F16" i="1"/>
  <c r="AG37" i="2" s="1"/>
  <c r="F17" i="1"/>
  <c r="F18" i="1"/>
  <c r="AO27" i="2" s="1"/>
  <c r="F19" i="1"/>
  <c r="AS27" i="2" s="1"/>
  <c r="F20" i="1"/>
  <c r="F21" i="1"/>
  <c r="BA27" i="2" s="1"/>
  <c r="F22" i="1"/>
  <c r="BE27" i="2" s="1"/>
  <c r="F24" i="1"/>
  <c r="BM27" i="2" s="1"/>
  <c r="F25" i="1"/>
  <c r="BQ27" i="2" s="1"/>
  <c r="F26" i="1"/>
  <c r="BU27" i="2" s="1"/>
  <c r="F4" i="1"/>
  <c r="I4" i="1" s="1"/>
  <c r="AK27" i="2" l="1"/>
  <c r="E33" i="1"/>
  <c r="J23" i="1"/>
  <c r="H22" i="4" s="1"/>
  <c r="J5" i="1"/>
  <c r="H4" i="4" s="1"/>
  <c r="G18" i="1"/>
  <c r="G15" i="1"/>
  <c r="AW27" i="2"/>
  <c r="G20" i="1"/>
  <c r="I20" i="1"/>
  <c r="H12" i="1"/>
  <c r="H22" i="1"/>
  <c r="H11" i="1"/>
  <c r="G14" i="1"/>
  <c r="I19" i="1"/>
  <c r="I18" i="1"/>
  <c r="H20" i="1"/>
  <c r="H6" i="1"/>
  <c r="G24" i="1"/>
  <c r="G11" i="1"/>
  <c r="I11" i="1"/>
  <c r="H21" i="1"/>
  <c r="H19" i="1"/>
  <c r="G10" i="1"/>
  <c r="I10" i="1"/>
  <c r="H10" i="1"/>
  <c r="H18" i="1"/>
  <c r="G22" i="1"/>
  <c r="G7" i="1"/>
  <c r="H13" i="1"/>
  <c r="M27" i="2"/>
  <c r="N27" i="2" s="1"/>
  <c r="P17" i="2" s="1"/>
  <c r="R17" i="2" s="1"/>
  <c r="AF17" i="2" s="1"/>
  <c r="AH17" i="2" s="1"/>
  <c r="F27" i="1"/>
  <c r="G13" i="1"/>
  <c r="H14" i="1"/>
  <c r="G6" i="1"/>
  <c r="I9" i="1"/>
  <c r="G21" i="1"/>
  <c r="G12" i="1"/>
  <c r="I25" i="1"/>
  <c r="I16" i="1"/>
  <c r="I8" i="1"/>
  <c r="I24" i="1"/>
  <c r="I7" i="1"/>
  <c r="I26" i="1"/>
  <c r="I15" i="1"/>
  <c r="H26" i="1"/>
  <c r="H9" i="1"/>
  <c r="G19" i="1"/>
  <c r="I14" i="1"/>
  <c r="I6" i="1"/>
  <c r="H8" i="1"/>
  <c r="G26" i="1"/>
  <c r="H25" i="1"/>
  <c r="H16" i="1"/>
  <c r="G9" i="1"/>
  <c r="I22" i="1"/>
  <c r="I13" i="1"/>
  <c r="H24" i="1"/>
  <c r="H15" i="1"/>
  <c r="H7" i="1"/>
  <c r="G25" i="1"/>
  <c r="G16" i="1"/>
  <c r="G8" i="1"/>
  <c r="I21" i="1"/>
  <c r="I12" i="1"/>
  <c r="G4" i="1"/>
  <c r="H4" i="1"/>
  <c r="J4" i="1" s="1"/>
  <c r="H3" i="4" s="1"/>
  <c r="I17" i="1"/>
  <c r="G17" i="1"/>
  <c r="H17" i="1"/>
  <c r="J17" i="1" s="1"/>
  <c r="H16" i="4" s="1"/>
  <c r="C48" i="1" l="1"/>
  <c r="E35" i="1"/>
  <c r="E37" i="1"/>
  <c r="C51" i="1" s="1"/>
  <c r="D51" i="1" s="1"/>
  <c r="J9" i="1"/>
  <c r="H8" i="4" s="1"/>
  <c r="J19" i="1"/>
  <c r="H18" i="4" s="1"/>
  <c r="J26" i="1"/>
  <c r="H25" i="4" s="1"/>
  <c r="J11" i="1"/>
  <c r="H10" i="4" s="1"/>
  <c r="J16" i="1"/>
  <c r="H15" i="4" s="1"/>
  <c r="J21" i="1"/>
  <c r="H20" i="4" s="1"/>
  <c r="J22" i="1"/>
  <c r="H21" i="4" s="1"/>
  <c r="J20" i="1"/>
  <c r="H19" i="4" s="1"/>
  <c r="J13" i="1"/>
  <c r="H12" i="4" s="1"/>
  <c r="J15" i="1"/>
  <c r="H14" i="4" s="1"/>
  <c r="J8" i="1"/>
  <c r="H7" i="4" s="1"/>
  <c r="J18" i="1"/>
  <c r="H17" i="4" s="1"/>
  <c r="J12" i="1"/>
  <c r="H11" i="4" s="1"/>
  <c r="J25" i="1"/>
  <c r="H24" i="4" s="1"/>
  <c r="J7" i="1"/>
  <c r="H6" i="4" s="1"/>
  <c r="J24" i="1"/>
  <c r="H23" i="4" s="1"/>
  <c r="J14" i="1"/>
  <c r="H13" i="4" s="1"/>
  <c r="J10" i="1"/>
  <c r="H9" i="4" s="1"/>
  <c r="J6" i="1"/>
  <c r="H5" i="4" s="1"/>
  <c r="H27" i="1"/>
  <c r="C33" i="1" s="1"/>
  <c r="C43" i="1" s="1"/>
  <c r="I27" i="1"/>
  <c r="D33" i="1" s="1"/>
  <c r="G27" i="1"/>
  <c r="B33" i="1" s="1"/>
  <c r="P52" i="2"/>
  <c r="R52" i="2" s="1"/>
  <c r="H26" i="4" l="1"/>
  <c r="B29" i="4" s="1"/>
  <c r="B24" i="21" s="1"/>
  <c r="D43" i="1"/>
  <c r="B7" i="21" s="1"/>
  <c r="C45" i="1"/>
  <c r="D45" i="1" s="1"/>
  <c r="B9" i="21" s="1"/>
  <c r="C49" i="1"/>
  <c r="D49" i="1" s="1"/>
  <c r="B13" i="21" s="1"/>
  <c r="D48" i="1"/>
  <c r="B12" i="21" s="1"/>
  <c r="C50" i="1"/>
  <c r="D50" i="1" s="1"/>
  <c r="B14" i="21" s="1"/>
  <c r="E34" i="1"/>
  <c r="D37" i="1"/>
  <c r="D35" i="1"/>
  <c r="B37" i="1"/>
  <c r="B35" i="1"/>
  <c r="C35" i="1"/>
  <c r="C44" i="1" s="1"/>
  <c r="D44" i="1" s="1"/>
  <c r="B8" i="21" s="1"/>
  <c r="C37" i="1"/>
  <c r="C46" i="1" s="1"/>
  <c r="D46" i="1" s="1"/>
  <c r="J27" i="1"/>
  <c r="C34" i="1" s="1"/>
  <c r="B43" i="1" s="1"/>
  <c r="B45" i="1" s="1"/>
  <c r="C8" i="21" s="1"/>
  <c r="D8" i="21" s="1"/>
  <c r="T47" i="2"/>
  <c r="V47" i="2" s="1"/>
  <c r="AF47" i="2" s="1"/>
  <c r="AH47" i="2" s="1"/>
  <c r="T57" i="2"/>
  <c r="V57" i="2" s="1"/>
  <c r="X37" i="2" s="1"/>
  <c r="Z37" i="2" s="1"/>
  <c r="AF69" i="2"/>
  <c r="AH69" i="2" s="1"/>
  <c r="B20" i="21" l="1"/>
  <c r="F8" i="21"/>
  <c r="B21" i="21"/>
  <c r="F9" i="21"/>
  <c r="C21" i="21"/>
  <c r="F14" i="21"/>
  <c r="C19" i="21"/>
  <c r="F12" i="21"/>
  <c r="C20" i="21"/>
  <c r="F13" i="21"/>
  <c r="H13" i="21" s="1"/>
  <c r="B19" i="21"/>
  <c r="F7" i="21"/>
  <c r="E38" i="1"/>
  <c r="B51" i="1" s="1"/>
  <c r="C14" i="21" s="1"/>
  <c r="D14" i="21" s="1"/>
  <c r="E36" i="1"/>
  <c r="B49" i="1" s="1"/>
  <c r="C12" i="21" s="1"/>
  <c r="D12" i="21" s="1"/>
  <c r="B48" i="1"/>
  <c r="B50" i="1" s="1"/>
  <c r="C13" i="21" s="1"/>
  <c r="D13" i="21" s="1"/>
  <c r="C36" i="1"/>
  <c r="B44" i="1" s="1"/>
  <c r="C7" i="21" s="1"/>
  <c r="D7" i="21" s="1"/>
  <c r="B34" i="1"/>
  <c r="D34" i="1"/>
  <c r="C38" i="1"/>
  <c r="B46" i="1" s="1"/>
  <c r="C9" i="21" s="1"/>
  <c r="D9" i="21" s="1"/>
  <c r="AF57" i="2"/>
  <c r="AH57" i="2" s="1"/>
  <c r="AF37" i="2"/>
  <c r="AH37" i="2" s="1"/>
  <c r="AB27" i="2"/>
  <c r="AD27" i="2" s="1"/>
  <c r="AF27" i="2" s="1"/>
  <c r="AH27" i="2" s="1"/>
  <c r="H12" i="21" l="1"/>
  <c r="H14" i="21"/>
  <c r="E19" i="21"/>
  <c r="E21" i="21"/>
  <c r="E20" i="21"/>
  <c r="D38" i="1"/>
  <c r="D36" i="1"/>
  <c r="B38" i="1"/>
  <c r="B36" i="1"/>
  <c r="AJ27" i="2"/>
  <c r="AL27" i="2" s="1"/>
  <c r="AN27" i="2" s="1"/>
  <c r="AP27" i="2" s="1"/>
  <c r="AR27" i="2" s="1"/>
  <c r="AT27" i="2" s="1"/>
  <c r="AV27" i="2" s="1"/>
  <c r="AX27" i="2" s="1"/>
  <c r="AZ27" i="2" s="1"/>
  <c r="BB27" i="2" s="1"/>
  <c r="BD27" i="2" s="1"/>
  <c r="BF27" i="2" s="1"/>
  <c r="BH27" i="2" s="1"/>
  <c r="BJ27" i="2" s="1"/>
  <c r="BL27" i="2" s="1"/>
  <c r="BN27" i="2" s="1"/>
  <c r="BP27" i="2" s="1"/>
  <c r="BR27" i="2" s="1"/>
  <c r="BT27" i="2" s="1"/>
  <c r="BV27" i="2" s="1"/>
  <c r="BX27" i="2" s="1"/>
  <c r="BZ27" i="2" s="1"/>
  <c r="BX29" i="2" s="1"/>
  <c r="BY30" i="2" s="1"/>
  <c r="F20" i="21" l="1"/>
  <c r="G20" i="21"/>
  <c r="F21" i="21"/>
  <c r="G21" i="21"/>
  <c r="F19" i="21"/>
  <c r="G19" i="21"/>
  <c r="BV29" i="2"/>
  <c r="BT29" i="2" s="1"/>
  <c r="BR29" i="2" s="1"/>
  <c r="BP29" i="2" s="1"/>
  <c r="F7" i="7" l="1"/>
  <c r="B23" i="21"/>
  <c r="BU30" i="2"/>
  <c r="BN29" i="2"/>
  <c r="BL29" i="2" s="1"/>
  <c r="BQ30" i="2"/>
  <c r="H42" i="21" l="1"/>
  <c r="I42" i="21"/>
  <c r="L42" i="21"/>
  <c r="F42" i="21"/>
  <c r="G42" i="21"/>
  <c r="J42" i="21"/>
  <c r="K42" i="21"/>
  <c r="E42" i="21"/>
  <c r="A42" i="21"/>
  <c r="D42" i="21"/>
  <c r="C42" i="21"/>
  <c r="B42" i="21"/>
  <c r="F13" i="7"/>
  <c r="D35" i="5"/>
  <c r="BM30" i="2"/>
  <c r="BJ29" i="2"/>
  <c r="BH29" i="2" s="1"/>
  <c r="B26" i="7" l="1"/>
  <c r="D41" i="5" s="1"/>
  <c r="B44" i="5" s="1"/>
  <c r="L44" i="21" s="1"/>
  <c r="B47" i="21" s="1"/>
  <c r="A27" i="21"/>
  <c r="BF29" i="2"/>
  <c r="BD29" i="2" s="1"/>
  <c r="BI30" i="2"/>
  <c r="C27" i="21" l="1"/>
  <c r="B27" i="21"/>
  <c r="BE30" i="2"/>
  <c r="BB29" i="2"/>
  <c r="AZ29" i="2" s="1"/>
  <c r="S42" i="21" l="1"/>
  <c r="Q42" i="21"/>
  <c r="N42" i="21"/>
  <c r="R42" i="21"/>
  <c r="M42" i="21"/>
  <c r="O42" i="21"/>
  <c r="P42" i="21"/>
  <c r="X42" i="21"/>
  <c r="T42" i="21"/>
  <c r="U42" i="21"/>
  <c r="V42" i="21"/>
  <c r="W42" i="21"/>
  <c r="BD42" i="21"/>
  <c r="AM42" i="21"/>
  <c r="AU42" i="21"/>
  <c r="Z42" i="21"/>
  <c r="H32" i="21"/>
  <c r="H33" i="21" s="1"/>
  <c r="D32" i="21"/>
  <c r="D33" i="21" s="1"/>
  <c r="BG42" i="21"/>
  <c r="A32" i="21"/>
  <c r="AQ42" i="21"/>
  <c r="AO42" i="21"/>
  <c r="AH42" i="21"/>
  <c r="AK42" i="21"/>
  <c r="AB42" i="21"/>
  <c r="Y42" i="21"/>
  <c r="AJ42" i="21"/>
  <c r="AL42" i="21"/>
  <c r="K32" i="21"/>
  <c r="K33" i="21" s="1"/>
  <c r="AS42" i="21"/>
  <c r="BA42" i="21"/>
  <c r="AN42" i="21"/>
  <c r="AA42" i="21"/>
  <c r="C32" i="21"/>
  <c r="C33" i="21" s="1"/>
  <c r="B32" i="21"/>
  <c r="B33" i="21" s="1"/>
  <c r="BE42" i="21"/>
  <c r="BF42" i="21"/>
  <c r="BH42" i="21"/>
  <c r="BB42" i="21"/>
  <c r="AR42" i="21"/>
  <c r="F32" i="21"/>
  <c r="F33" i="21" s="1"/>
  <c r="AF42" i="21"/>
  <c r="AC42" i="21"/>
  <c r="G32" i="21"/>
  <c r="G33" i="21" s="1"/>
  <c r="AX42" i="21"/>
  <c r="AY42" i="21"/>
  <c r="AZ42" i="21"/>
  <c r="AW42" i="21"/>
  <c r="AE42" i="21"/>
  <c r="L32" i="21"/>
  <c r="L33" i="21" s="1"/>
  <c r="AP42" i="21"/>
  <c r="AV42" i="21"/>
  <c r="AG42" i="21"/>
  <c r="AI42" i="21"/>
  <c r="J32" i="21"/>
  <c r="J33" i="21" s="1"/>
  <c r="AD42" i="21"/>
  <c r="I32" i="21"/>
  <c r="I33" i="21" s="1"/>
  <c r="AT42" i="21"/>
  <c r="BC42" i="21"/>
  <c r="E32" i="21"/>
  <c r="E33" i="21" s="1"/>
  <c r="D36" i="21"/>
  <c r="D37" i="21" s="1"/>
  <c r="F36" i="21"/>
  <c r="F37" i="21" s="1"/>
  <c r="K36" i="21"/>
  <c r="K37" i="21" s="1"/>
  <c r="A36" i="21"/>
  <c r="H36" i="21"/>
  <c r="H37" i="21" s="1"/>
  <c r="L36" i="21"/>
  <c r="L37" i="21" s="1"/>
  <c r="B36" i="21"/>
  <c r="B37" i="21" s="1"/>
  <c r="J36" i="21"/>
  <c r="J37" i="21" s="1"/>
  <c r="C36" i="21"/>
  <c r="C37" i="21" s="1"/>
  <c r="I36" i="21"/>
  <c r="I37" i="21" s="1"/>
  <c r="E36" i="21"/>
  <c r="E37" i="21" s="1"/>
  <c r="G36" i="21"/>
  <c r="G37" i="21" s="1"/>
  <c r="BA30" i="2"/>
  <c r="AX29" i="2"/>
  <c r="AV29" i="2" s="1"/>
  <c r="A33" i="21" l="1"/>
  <c r="M32" i="21"/>
  <c r="M33" i="21" s="1"/>
  <c r="X44" i="21"/>
  <c r="B48" i="21" s="1"/>
  <c r="E47" i="21" s="1"/>
  <c r="AJ44" i="21"/>
  <c r="B49" i="21" s="1"/>
  <c r="BH44" i="21"/>
  <c r="B51" i="21" s="1"/>
  <c r="M36" i="21"/>
  <c r="M37" i="21" s="1"/>
  <c r="A37" i="21"/>
  <c r="AV44" i="21"/>
  <c r="B50" i="21" s="1"/>
  <c r="AW30" i="2"/>
  <c r="AT29" i="2"/>
  <c r="AR29" i="2" s="1"/>
  <c r="AP29" i="2" l="1"/>
  <c r="AN29" i="2" s="1"/>
  <c r="AL29" i="2" s="1"/>
  <c r="AJ29" i="2" s="1"/>
  <c r="AH19" i="2" s="1"/>
  <c r="AS30" i="2"/>
  <c r="AH29" i="2" l="1"/>
  <c r="AF29" i="2" s="1"/>
  <c r="AH39" i="2"/>
  <c r="AO30" i="2"/>
  <c r="AF19" i="2" l="1"/>
  <c r="R19" i="2" s="1"/>
  <c r="AH71" i="2"/>
  <c r="AF71" i="2" s="1"/>
  <c r="AH49" i="2"/>
  <c r="AH59" i="2"/>
  <c r="AF59" i="2" s="1"/>
  <c r="AG60" i="2" s="1"/>
  <c r="AD29" i="2"/>
  <c r="AB29" i="2" s="1"/>
  <c r="AF49" i="2"/>
  <c r="AF39" i="2"/>
  <c r="AK30" i="2"/>
  <c r="Z39" i="2" l="1"/>
  <c r="X39" i="2" s="1"/>
  <c r="AG40" i="2"/>
  <c r="AG50" i="2"/>
  <c r="AG72" i="2"/>
  <c r="AG30" i="2"/>
  <c r="P19" i="2"/>
  <c r="AG20" i="2"/>
  <c r="Q20" i="2" l="1"/>
  <c r="V49" i="2"/>
  <c r="V59" i="2"/>
  <c r="AC30" i="2"/>
  <c r="T59" i="2" l="1"/>
  <c r="U60" i="2" s="1"/>
  <c r="T49" i="2"/>
  <c r="R54" i="2" s="1"/>
  <c r="Y40" i="2"/>
  <c r="P54" i="2" l="1"/>
  <c r="N29" i="2" s="1"/>
  <c r="U50" i="2"/>
  <c r="Q55" i="2" l="1"/>
  <c r="L29" i="2"/>
  <c r="J29" i="2" l="1"/>
  <c r="M30" i="2"/>
</calcChain>
</file>

<file path=xl/sharedStrings.xml><?xml version="1.0" encoding="utf-8"?>
<sst xmlns="http://schemas.openxmlformats.org/spreadsheetml/2006/main" count="793" uniqueCount="355">
  <si>
    <t>Actividades</t>
  </si>
  <si>
    <t>Predesesora</t>
  </si>
  <si>
    <t>TO</t>
  </si>
  <si>
    <t>TM</t>
  </si>
  <si>
    <t>TP</t>
  </si>
  <si>
    <t>Costo por proceso</t>
  </si>
  <si>
    <t>Concepto</t>
  </si>
  <si>
    <t>H</t>
  </si>
  <si>
    <t>T</t>
  </si>
  <si>
    <t>Investigacion de sistemas modulares</t>
  </si>
  <si>
    <t>Investigacion de metodologias de desarrollo</t>
  </si>
  <si>
    <t>Investigacion de estandares de programacion</t>
  </si>
  <si>
    <t>Investigacion de estandares en bases de datos</t>
  </si>
  <si>
    <t>Investigacion de estandares en desarrollo web</t>
  </si>
  <si>
    <t>Investigacion de tecnologias complementarias de desarrollo</t>
  </si>
  <si>
    <t>Investigacion de estandares de seguridad</t>
  </si>
  <si>
    <t>Establecer metodologias de desarrollo</t>
  </si>
  <si>
    <t>Establecer estandares de programacion</t>
  </si>
  <si>
    <t>Establecer estandares de bases de datos</t>
  </si>
  <si>
    <t>Establecer estandares de seguridad</t>
  </si>
  <si>
    <t>Establecer tecnologias complementarias de desarrollo</t>
  </si>
  <si>
    <t>Descripcion</t>
  </si>
  <si>
    <t xml:space="preserve">Diseño del modulo </t>
  </si>
  <si>
    <t>Desarrollo del modulo</t>
  </si>
  <si>
    <t>Correccion de errores en el modulo</t>
  </si>
  <si>
    <t>Optimizacion sobre diseño</t>
  </si>
  <si>
    <t>Optimizacion sobre codigo</t>
  </si>
  <si>
    <t>Primer testeo del modulo</t>
  </si>
  <si>
    <t>Segundo testeo del modulo</t>
  </si>
  <si>
    <t>Integracion del modulo al sistema</t>
  </si>
  <si>
    <t>Tercer testeo del modulo</t>
  </si>
  <si>
    <t>Correccion de errores del modulo sobre el sistema</t>
  </si>
  <si>
    <t>Establecer estandares en desarrollo de sistemas web</t>
  </si>
  <si>
    <t>Si se presenta alguna problemática, se realizara las debidas correccion.</t>
  </si>
  <si>
    <t>Se realiza un testeo del modulo para evitar posibles problematicas.</t>
  </si>
  <si>
    <t>Se realiza una revicion total del modulo que permita detectar errores y optimizaciones antes de su desarrollo.</t>
  </si>
  <si>
    <t>Diseño teorico del modulo que describe mediante diagramas de flujo, casos de uso, clases, etc., la magnitud del sistema y posibles problematicas.</t>
  </si>
  <si>
    <t>Se realiza el desarrollo del modulo.</t>
  </si>
  <si>
    <t>Se verifica que el modulo cumpla con los requisitos necesarios.</t>
  </si>
  <si>
    <t>Analisis de sistemas modulares que permitan conocer los requerimientos de software y hardware necesarios para su desarrollo e implementacion.</t>
  </si>
  <si>
    <t>Investigacion de metodologias que puedan ajustarce al modelo de desarrollo del sistema.</t>
  </si>
  <si>
    <t>Investigacion de estandres necesarios al implementar y desarollar codigo.</t>
  </si>
  <si>
    <t>Investigacion de estandares necesarios en el desarrollo de bases datos.</t>
  </si>
  <si>
    <t>Investigacion de estandares de posicionamiento y desarrollo web.</t>
  </si>
  <si>
    <t>Investigacion de tecnologias que pueden facilitar o mejorar el desarrollo del sistema.</t>
  </si>
  <si>
    <t>Investigacion de estandares de seguridad al desarollar sistemas empresariales.</t>
  </si>
  <si>
    <t>Definir que metodologia se implementara en el desarrollo de modulos.</t>
  </si>
  <si>
    <t>Definir que estandares seran utilizados en el desarrollo de software.</t>
  </si>
  <si>
    <t>Definir los estandares a utilizar en el desarrollo de bases de datos.</t>
  </si>
  <si>
    <t>Definir los estandares necesarios para el desarrollo de sistemas web.</t>
  </si>
  <si>
    <t>Definir los estandares de seguridad necesarios en el sistema.</t>
  </si>
  <si>
    <t>Definir que tecnologias seran utilizadas para optimizar el desarrollo del sistema.</t>
  </si>
  <si>
    <t>Se integra el modulo desarollado al sistema.</t>
  </si>
  <si>
    <t>Se realiza un testeo para verificar el correcto funcionamiento.</t>
  </si>
  <si>
    <t>Se realiza el testeo del modulo sobre el sistema para estudiar su comportamiento sobre el mismo.</t>
  </si>
  <si>
    <t>Correccion de posibles errores sobre el modulo y el sistema</t>
  </si>
  <si>
    <t>-</t>
  </si>
  <si>
    <t>3,1</t>
  </si>
  <si>
    <t>3,1,4,5</t>
  </si>
  <si>
    <t>1,3,4,5,6</t>
  </si>
  <si>
    <t>8,9,10,11,12,13</t>
  </si>
  <si>
    <t>Horas de trabajo</t>
  </si>
  <si>
    <t>Dias de trabajo</t>
  </si>
  <si>
    <t>Total de horas al mes</t>
  </si>
  <si>
    <t>Salario minimo</t>
  </si>
  <si>
    <t>Trabajador</t>
  </si>
  <si>
    <t>Salario x hora</t>
  </si>
  <si>
    <t>Horas</t>
  </si>
  <si>
    <t>Salarios</t>
  </si>
  <si>
    <t>Salario x mes</t>
  </si>
  <si>
    <t>No. salarios minimos equivalentes</t>
  </si>
  <si>
    <t>Duracionen x dias</t>
  </si>
  <si>
    <t>Duracion en horas</t>
  </si>
  <si>
    <t>Unicamente funciona para el tiempo promedio</t>
  </si>
  <si>
    <t>Constantes de tiempos</t>
  </si>
  <si>
    <t>Meses</t>
  </si>
  <si>
    <t>Calculado de acuerdo a la duracion en horas del proyecto</t>
  </si>
  <si>
    <t>IP</t>
  </si>
  <si>
    <t>IL</t>
  </si>
  <si>
    <t>Tiempo de inicio mas proximo</t>
  </si>
  <si>
    <t>Tiempo de terminacion mas proximo</t>
  </si>
  <si>
    <t>Tiempo de inicio lejano</t>
  </si>
  <si>
    <t>TL</t>
  </si>
  <si>
    <t>Tiempo de terminacion mas lejano</t>
  </si>
  <si>
    <t>Holgura</t>
  </si>
  <si>
    <t>Tiempo</t>
  </si>
  <si>
    <t>Numeracion</t>
  </si>
  <si>
    <t>Actividad</t>
  </si>
  <si>
    <t>Nomenglatura</t>
  </si>
  <si>
    <t>Inicio</t>
  </si>
  <si>
    <t>Final</t>
  </si>
  <si>
    <t>MedicalSoftTech</t>
  </si>
  <si>
    <t>Administracion y Recursos Humanos</t>
  </si>
  <si>
    <t>Finanzas y Contabilidad</t>
  </si>
  <si>
    <t>Investigacion y Desarrollo</t>
  </si>
  <si>
    <t>Publicidad y Mercadotecnia</t>
  </si>
  <si>
    <t>Redes y Soporte</t>
  </si>
  <si>
    <t>Direccion</t>
  </si>
  <si>
    <t>Recepcion de informacion</t>
  </si>
  <si>
    <t>Analisis de oportunidades</t>
  </si>
  <si>
    <t>Propuesta de objetivos</t>
  </si>
  <si>
    <t>Entrevista</t>
  </si>
  <si>
    <t>Investigacion de mercado</t>
  </si>
  <si>
    <t>Aplicación examen</t>
  </si>
  <si>
    <t>Asignacion de presupuesto</t>
  </si>
  <si>
    <t>Inversiones</t>
  </si>
  <si>
    <t>Analisis de documentos</t>
  </si>
  <si>
    <t xml:space="preserve">Delimitacion de la audiencia </t>
  </si>
  <si>
    <t>Proyectos</t>
  </si>
  <si>
    <t>Elaboracion de contrato</t>
  </si>
  <si>
    <t>Planificacion de estrategias</t>
  </si>
  <si>
    <t>Visita al área</t>
  </si>
  <si>
    <t>Planificacion de medios</t>
  </si>
  <si>
    <t>Atención personalizada</t>
  </si>
  <si>
    <t>Actividades de integración</t>
  </si>
  <si>
    <t>Diseño de imagen</t>
  </si>
  <si>
    <t>Atención a distancia</t>
  </si>
  <si>
    <t>Cursos de iniciación</t>
  </si>
  <si>
    <t>Determinacion de USP</t>
  </si>
  <si>
    <t>Cursos del área</t>
  </si>
  <si>
    <t>Desarrollo de estrategias</t>
  </si>
  <si>
    <t>Detección de problemas en infraestructura</t>
  </si>
  <si>
    <t>Recepcion de proyecto</t>
  </si>
  <si>
    <t>Evaluacion de estrategias</t>
  </si>
  <si>
    <t>Problemas físicos en infraestructura</t>
  </si>
  <si>
    <t>Revision de documentacion</t>
  </si>
  <si>
    <t>Aplicación</t>
  </si>
  <si>
    <t>Problemas lógicos en infraestructura</t>
  </si>
  <si>
    <t>Administracion de actividades</t>
  </si>
  <si>
    <t>Control</t>
  </si>
  <si>
    <t>Generar reportes del problema</t>
  </si>
  <si>
    <t>Asignacion de actividades</t>
  </si>
  <si>
    <t>Solicitar aceptación del problema</t>
  </si>
  <si>
    <t>Juntas con personal</t>
  </si>
  <si>
    <t>Atender problema</t>
  </si>
  <si>
    <t>Asignacion de lider de proyecto</t>
  </si>
  <si>
    <t>Generar reporte final</t>
  </si>
  <si>
    <t>General reportes mensuales</t>
  </si>
  <si>
    <t>Respaldo BD</t>
  </si>
  <si>
    <t>Analizar actividades realizadas</t>
  </si>
  <si>
    <t>Analisis de trafico de redes</t>
  </si>
  <si>
    <t>Proyecto terminado</t>
  </si>
  <si>
    <t>Análisis de equipo de computo</t>
  </si>
  <si>
    <t>Generar reporte de desempeño</t>
  </si>
  <si>
    <t>Reporte de actividades</t>
  </si>
  <si>
    <t>Incentivos por desempeño</t>
  </si>
  <si>
    <t>Problema de seguridad</t>
  </si>
  <si>
    <t>Liberar proyecto</t>
  </si>
  <si>
    <t>Supervisar funcionamiento</t>
  </si>
  <si>
    <t>Retroalimentacion al area</t>
  </si>
  <si>
    <t>Costo</t>
  </si>
  <si>
    <t>Total</t>
  </si>
  <si>
    <t>Activos</t>
  </si>
  <si>
    <t>Pasivo</t>
  </si>
  <si>
    <t>Equipo de computo</t>
  </si>
  <si>
    <t>Gastos Generales</t>
  </si>
  <si>
    <t>Luz</t>
  </si>
  <si>
    <t>Agua</t>
  </si>
  <si>
    <t>Internet</t>
  </si>
  <si>
    <t>Renta de establecimiento</t>
  </si>
  <si>
    <t>Telefono</t>
  </si>
  <si>
    <t>Pasivos</t>
  </si>
  <si>
    <t>Patrimonio</t>
  </si>
  <si>
    <t>Caja o banco</t>
  </si>
  <si>
    <t>Capital Social</t>
  </si>
  <si>
    <t>Balance General</t>
  </si>
  <si>
    <t>Clientes</t>
  </si>
  <si>
    <t>Proveedores</t>
  </si>
  <si>
    <t>Credito Bancario</t>
  </si>
  <si>
    <t>Resultado del ejercicio</t>
  </si>
  <si>
    <t>Deudores diversos</t>
  </si>
  <si>
    <t>Mobiliario de oficina</t>
  </si>
  <si>
    <t>Equipo de transporte</t>
  </si>
  <si>
    <t>Documentos por pagar</t>
  </si>
  <si>
    <t>Impuestos por pagar</t>
  </si>
  <si>
    <t>Credito hipotecario</t>
  </si>
  <si>
    <t>Ventas</t>
  </si>
  <si>
    <t>Costos de venta</t>
  </si>
  <si>
    <t xml:space="preserve">Mercancia </t>
  </si>
  <si>
    <t>Documentos por cobrar</t>
  </si>
  <si>
    <t>Terrenos</t>
  </si>
  <si>
    <t>Edificios</t>
  </si>
  <si>
    <t>Depositos en garantia</t>
  </si>
  <si>
    <t>Gastos de instalacion</t>
  </si>
  <si>
    <t xml:space="preserve">Papeleria y utileria </t>
  </si>
  <si>
    <t>Publicidad</t>
  </si>
  <si>
    <t>Primas de seguro</t>
  </si>
  <si>
    <t>Rentas pagadas por anticipado</t>
  </si>
  <si>
    <t>Acreedores diversos</t>
  </si>
  <si>
    <t>Intereses cobrados por anticipado</t>
  </si>
  <si>
    <t>Rentas cobradas por anticipado</t>
  </si>
  <si>
    <t>Activos Fijos</t>
  </si>
  <si>
    <t>Activos Corrientes</t>
  </si>
  <si>
    <t>Activos Diferidos</t>
  </si>
  <si>
    <t>Intereses pagados por anticipado</t>
  </si>
  <si>
    <t>Activos Totales</t>
  </si>
  <si>
    <t>Pasivos Corrientes</t>
  </si>
  <si>
    <t>Pasivos Totales</t>
  </si>
  <si>
    <t>Impuestos sobre la renta</t>
  </si>
  <si>
    <t>Gastos de venta</t>
  </si>
  <si>
    <t>Gastos de administracion</t>
  </si>
  <si>
    <t>Gastos y produccion financiera</t>
  </si>
  <si>
    <t>Gastos generales</t>
  </si>
  <si>
    <t>Pasivos Fijo</t>
  </si>
  <si>
    <t>Pasivos Diferidos</t>
  </si>
  <si>
    <t>Documentos por pagar a largo plazo</t>
  </si>
  <si>
    <t>Acreedores hipotecarios</t>
  </si>
  <si>
    <t>Dias</t>
  </si>
  <si>
    <t>Costo total</t>
  </si>
  <si>
    <t>Costo mensual</t>
  </si>
  <si>
    <t>Cantidad</t>
  </si>
  <si>
    <t>Computadora portatil</t>
  </si>
  <si>
    <t>Uniforme</t>
  </si>
  <si>
    <t>Alimento</t>
  </si>
  <si>
    <t>Papeleria y utileria</t>
  </si>
  <si>
    <t>Paisvos Fijos</t>
  </si>
  <si>
    <t>Costos</t>
  </si>
  <si>
    <t>No. De trabajadores</t>
  </si>
  <si>
    <t>Metas intermedias</t>
  </si>
  <si>
    <t>Investigacion</t>
  </si>
  <si>
    <t>Estandares</t>
  </si>
  <si>
    <t>Desartollo</t>
  </si>
  <si>
    <t>No. Telefonos</t>
  </si>
  <si>
    <t>No. De dispos.</t>
  </si>
  <si>
    <t>ABC</t>
  </si>
  <si>
    <t>Proceso</t>
  </si>
  <si>
    <t>Salario x hora total</t>
  </si>
  <si>
    <t>Costo de desarrollo</t>
  </si>
  <si>
    <t>Trabajadores</t>
  </si>
  <si>
    <t>Tiempo optimo (hrs.)</t>
  </si>
  <si>
    <t>Tiempo medio (hrs.)</t>
  </si>
  <si>
    <t>Tiempo tardio (hrs.)</t>
  </si>
  <si>
    <t>No. De personas</t>
  </si>
  <si>
    <t>Segunda vuelta</t>
  </si>
  <si>
    <t>Inicio de la empresa</t>
  </si>
  <si>
    <t>En funcionamiento</t>
  </si>
  <si>
    <t>Inventario</t>
  </si>
  <si>
    <t>Citas</t>
  </si>
  <si>
    <t>Base de datos</t>
  </si>
  <si>
    <t>Procesos</t>
  </si>
  <si>
    <t>No.</t>
  </si>
  <si>
    <t>Documentacion</t>
  </si>
  <si>
    <t>Interfaces</t>
  </si>
  <si>
    <t>Login</t>
  </si>
  <si>
    <t>Usuarios</t>
  </si>
  <si>
    <t>Admin</t>
  </si>
  <si>
    <t>Maestro</t>
  </si>
  <si>
    <t>Cliente</t>
  </si>
  <si>
    <t>Resultado de Inventario</t>
  </si>
  <si>
    <t>Resultado de Productividad</t>
  </si>
  <si>
    <t>Resultado de conformidad laboral</t>
  </si>
  <si>
    <t>Extensiones</t>
  </si>
  <si>
    <t>Configuracion</t>
  </si>
  <si>
    <t>Formas de contacto</t>
  </si>
  <si>
    <t>Presentacion</t>
  </si>
  <si>
    <t>Procesos de seguridad</t>
  </si>
  <si>
    <t>Resultados de conformidad cliente</t>
  </si>
  <si>
    <t>Situacion de la empresa</t>
  </si>
  <si>
    <t xml:space="preserve">Paginas minimas </t>
  </si>
  <si>
    <t>Atencion de citas</t>
  </si>
  <si>
    <t>Control de trabajadores</t>
  </si>
  <si>
    <t>Control de clientes</t>
  </si>
  <si>
    <t>Carencias de la empresa</t>
  </si>
  <si>
    <t>Control de inventarios</t>
  </si>
  <si>
    <t>Administracion de documentos</t>
  </si>
  <si>
    <t>Respaldo de informacion</t>
  </si>
  <si>
    <t>Control de seguridad</t>
  </si>
  <si>
    <t>Estado general de la empresa</t>
  </si>
  <si>
    <t>Modulos</t>
  </si>
  <si>
    <t>Objetivo inicial</t>
  </si>
  <si>
    <t>3 semanas</t>
  </si>
  <si>
    <t>1 mes</t>
  </si>
  <si>
    <t>2 meses y 3 semanas</t>
  </si>
  <si>
    <t>1 mes y 1 semana</t>
  </si>
  <si>
    <t>Costo x Mes</t>
  </si>
  <si>
    <t>Empresa</t>
  </si>
  <si>
    <t>Func.</t>
  </si>
  <si>
    <t>No. De modulos</t>
  </si>
  <si>
    <t xml:space="preserve"> Meses de desarrollo</t>
  </si>
  <si>
    <t>Años</t>
  </si>
  <si>
    <t>Desarolladores</t>
  </si>
  <si>
    <t>Comentar posibles cambios sobre el funcionamiento del sistema</t>
  </si>
  <si>
    <t>Monitorear las funciones del sistema y generar reportes sobre ello</t>
  </si>
  <si>
    <t>Entregar proyecto a cliente</t>
  </si>
  <si>
    <t>Premiar el desempeño de los empleados para generar motivacion</t>
  </si>
  <si>
    <t>Analizar desempeño de los empleados</t>
  </si>
  <si>
    <t>Generar reportes de desempeño</t>
  </si>
  <si>
    <t>Culminacion del proyecto</t>
  </si>
  <si>
    <t>Analisis de lo realizado para llevar un control de calidad al avance del proyecto</t>
  </si>
  <si>
    <t>Monitorear avance del proyecto mediante reportes</t>
  </si>
  <si>
    <t>Generar reportes mensuales</t>
  </si>
  <si>
    <t>Preparacion del equipo de trabajo bajo un lider de proyecto</t>
  </si>
  <si>
    <t>Platicas sobre el proyecto y actividades a realizar para su realizacion</t>
  </si>
  <si>
    <t>Juntas con el personal</t>
  </si>
  <si>
    <t>Definir activiades que seran destinadas a el area de desarrollo</t>
  </si>
  <si>
    <t>Revisar actividades que llevan a cabo la realizacion del proyecto</t>
  </si>
  <si>
    <t>Analisar la viavilidad del proyecto</t>
  </si>
  <si>
    <t>Documentacion del proyecto a realizar</t>
  </si>
  <si>
    <t>Recepcion del proyecto</t>
  </si>
  <si>
    <t>Cursos sobre actividades realizadas en el area</t>
  </si>
  <si>
    <t>Cursos del area</t>
  </si>
  <si>
    <t>Cursos de seguridad, higiene, etc (protocolos)</t>
  </si>
  <si>
    <t>Cursos de iniciacion</t>
  </si>
  <si>
    <t>Actividades para familiarizar al empleado</t>
  </si>
  <si>
    <t xml:space="preserve">Actividades de integracion </t>
  </si>
  <si>
    <t>Recorrer con el empleado las areas de la empresa</t>
  </si>
  <si>
    <t>Visita al area</t>
  </si>
  <si>
    <t>Documentacion de contratacion</t>
  </si>
  <si>
    <t>Verificar conveniencia del interesado</t>
  </si>
  <si>
    <t>Probar capacidades del interesado</t>
  </si>
  <si>
    <t>Aplicación de examen</t>
  </si>
  <si>
    <t>Conocer actitudes y aptitudes del interesado</t>
  </si>
  <si>
    <t>Recibir documentacion del interesado</t>
  </si>
  <si>
    <t>Total (Hrs)</t>
  </si>
  <si>
    <t>Total ($)</t>
  </si>
  <si>
    <t>Reclutamiento de personal</t>
  </si>
  <si>
    <t>Capacitacion de personal</t>
  </si>
  <si>
    <t>Culminacion de proyecto</t>
  </si>
  <si>
    <t>Proyecto funcional</t>
  </si>
  <si>
    <t>Encuesta de calidad</t>
  </si>
  <si>
    <t>1, 2</t>
  </si>
  <si>
    <t>5, 6, 15</t>
  </si>
  <si>
    <t>8, 9</t>
  </si>
  <si>
    <t>.</t>
  </si>
  <si>
    <t>11, 12, 13</t>
  </si>
  <si>
    <t>Costo total del EDT</t>
  </si>
  <si>
    <t>Delimitacion de la audiencia</t>
  </si>
  <si>
    <t>Aplicación de estrategias</t>
  </si>
  <si>
    <t xml:space="preserve"> Investigacion </t>
  </si>
  <si>
    <t xml:space="preserve"> Estrategias </t>
  </si>
  <si>
    <t xml:space="preserve"> Estudio de resultados </t>
  </si>
  <si>
    <t>Pacientes</t>
  </si>
  <si>
    <t>Gasto por mes</t>
  </si>
  <si>
    <t xml:space="preserve">Gasto de procesos </t>
  </si>
  <si>
    <t>Balance del primer año</t>
  </si>
  <si>
    <t>Balance del segundo año</t>
  </si>
  <si>
    <t>Balance del tercer año</t>
  </si>
  <si>
    <t>Balance del cuarto año</t>
  </si>
  <si>
    <t>Balance del quinto año</t>
  </si>
  <si>
    <t>Balance 2</t>
  </si>
  <si>
    <t>Balance 1</t>
  </si>
  <si>
    <t>Balance 5</t>
  </si>
  <si>
    <t>Balance 4</t>
  </si>
  <si>
    <t>Balance 3</t>
  </si>
  <si>
    <t>Balances</t>
  </si>
  <si>
    <t>Primer año</t>
  </si>
  <si>
    <t>Segundo año</t>
  </si>
  <si>
    <t>Tercer año</t>
  </si>
  <si>
    <t>Cuarto año</t>
  </si>
  <si>
    <t>Quinto año</t>
  </si>
  <si>
    <t>Desarrollo</t>
  </si>
  <si>
    <t>Inversion inicial</t>
  </si>
  <si>
    <t>Atención a clientes</t>
  </si>
  <si>
    <t>Mantenimiento de infraestructura</t>
  </si>
  <si>
    <t>Seguridad de información lado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</si>
</sst>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6" borderId="1" xfId="0" applyFill="1" applyBorder="1"/>
    <xf numFmtId="0" fontId="0" fillId="10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ont="1"/>
    <xf numFmtId="0" fontId="0" fillId="0" borderId="1" xfId="0" applyFill="1" applyBorder="1" applyAlignment="1">
      <alignment vertical="center"/>
    </xf>
    <xf numFmtId="15" fontId="0" fillId="0" borderId="0" xfId="0" applyNumberFormat="1"/>
    <xf numFmtId="15" fontId="0" fillId="2" borderId="1" xfId="0" applyNumberFormat="1" applyFill="1" applyBorder="1" applyAlignment="1">
      <alignment vertical="center"/>
    </xf>
    <xf numFmtId="15" fontId="0" fillId="16" borderId="4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16" borderId="1" xfId="0" applyFill="1" applyBorder="1"/>
    <xf numFmtId="0" fontId="0" fillId="16" borderId="1" xfId="0" applyFill="1" applyBorder="1" applyAlignment="1">
      <alignment horizontal="left"/>
    </xf>
    <xf numFmtId="0" fontId="0" fillId="18" borderId="1" xfId="0" applyFill="1" applyBorder="1" applyAlignment="1">
      <alignment vertical="center"/>
    </xf>
    <xf numFmtId="0" fontId="0" fillId="18" borderId="1" xfId="0" applyFill="1" applyBorder="1"/>
    <xf numFmtId="16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19" borderId="4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0" fillId="2" borderId="1" xfId="0" applyFill="1" applyBorder="1"/>
    <xf numFmtId="0" fontId="0" fillId="19" borderId="1" xfId="0" applyFill="1" applyBorder="1"/>
    <xf numFmtId="164" fontId="0" fillId="0" borderId="1" xfId="1" applyFont="1" applyBorder="1"/>
    <xf numFmtId="164" fontId="0" fillId="0" borderId="1" xfId="0" applyNumberFormat="1" applyFill="1" applyBorder="1"/>
    <xf numFmtId="0" fontId="0" fillId="8" borderId="1" xfId="0" applyFill="1" applyBorder="1"/>
    <xf numFmtId="164" fontId="0" fillId="0" borderId="1" xfId="0" applyNumberFormat="1" applyBorder="1"/>
    <xf numFmtId="0" fontId="0" fillId="7" borderId="1" xfId="0" applyFill="1" applyBorder="1"/>
    <xf numFmtId="3" fontId="0" fillId="0" borderId="1" xfId="0" applyNumberFormat="1" applyBorder="1"/>
    <xf numFmtId="0" fontId="0" fillId="0" borderId="0" xfId="0" applyBorder="1"/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/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3" borderId="1" xfId="0" applyFill="1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</cellXfs>
  <cellStyles count="4">
    <cellStyle name="Currency" xfId="1" builtinId="4"/>
    <cellStyle name="Moneda 2" xfId="3" xr:uid="{05D67017-504A-44D7-BE73-B77EBCDCF780}"/>
    <cellStyle name="Normal" xfId="0" builtinId="0"/>
    <cellStyle name="Normal 2" xfId="2" xr:uid="{930CD5C5-1958-4F81-A51C-93B029339453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Proyeccion</a:t>
            </a:r>
            <a:r>
              <a:rPr lang="es-MX" baseline="0"/>
              <a:t> de la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Inversion!$A$42:$BH$42</c:f>
              <c:numCache>
                <c:formatCode>_-"$"* #,##0.00_-;\-"$"* #,##0.00_-;_-"$"* "-"??_-;_-@_-</c:formatCode>
                <c:ptCount val="60"/>
                <c:pt idx="0">
                  <c:v>-42227.15</c:v>
                </c:pt>
                <c:pt idx="1">
                  <c:v>-42227.15</c:v>
                </c:pt>
                <c:pt idx="2">
                  <c:v>-42227.15</c:v>
                </c:pt>
                <c:pt idx="3">
                  <c:v>-42227.15</c:v>
                </c:pt>
                <c:pt idx="4">
                  <c:v>-42227.15</c:v>
                </c:pt>
                <c:pt idx="5">
                  <c:v>-42227.15</c:v>
                </c:pt>
                <c:pt idx="6">
                  <c:v>-42227.15</c:v>
                </c:pt>
                <c:pt idx="7">
                  <c:v>-42227.15</c:v>
                </c:pt>
                <c:pt idx="8">
                  <c:v>-42227.15</c:v>
                </c:pt>
                <c:pt idx="9">
                  <c:v>-42227.15</c:v>
                </c:pt>
                <c:pt idx="10">
                  <c:v>-42227.15</c:v>
                </c:pt>
                <c:pt idx="11">
                  <c:v>-42227.15</c:v>
                </c:pt>
                <c:pt idx="12">
                  <c:v>-10295.612593750004</c:v>
                </c:pt>
                <c:pt idx="13">
                  <c:v>-10295.612593750004</c:v>
                </c:pt>
                <c:pt idx="14">
                  <c:v>-10295.612593750004</c:v>
                </c:pt>
                <c:pt idx="15">
                  <c:v>-10295.612593750004</c:v>
                </c:pt>
                <c:pt idx="16">
                  <c:v>-10295.612593750004</c:v>
                </c:pt>
                <c:pt idx="17">
                  <c:v>-10295.612593750004</c:v>
                </c:pt>
                <c:pt idx="18">
                  <c:v>-18041.873312499985</c:v>
                </c:pt>
                <c:pt idx="19">
                  <c:v>-18041.873312499985</c:v>
                </c:pt>
                <c:pt idx="20">
                  <c:v>-18041.873312499985</c:v>
                </c:pt>
                <c:pt idx="21">
                  <c:v>-18041.873312499985</c:v>
                </c:pt>
                <c:pt idx="22">
                  <c:v>-18041.873312499985</c:v>
                </c:pt>
                <c:pt idx="23">
                  <c:v>-18041.873312499985</c:v>
                </c:pt>
                <c:pt idx="24">
                  <c:v>13889.66409375002</c:v>
                </c:pt>
                <c:pt idx="25">
                  <c:v>13889.66409375002</c:v>
                </c:pt>
                <c:pt idx="26">
                  <c:v>13889.66409375002</c:v>
                </c:pt>
                <c:pt idx="27">
                  <c:v>13889.66409375002</c:v>
                </c:pt>
                <c:pt idx="28">
                  <c:v>13889.66409375002</c:v>
                </c:pt>
                <c:pt idx="29">
                  <c:v>13889.66409375002</c:v>
                </c:pt>
                <c:pt idx="30">
                  <c:v>45821.20150000001</c:v>
                </c:pt>
                <c:pt idx="31">
                  <c:v>45821.20150000001</c:v>
                </c:pt>
                <c:pt idx="32">
                  <c:v>45821.20150000001</c:v>
                </c:pt>
                <c:pt idx="33">
                  <c:v>45821.20150000001</c:v>
                </c:pt>
                <c:pt idx="34">
                  <c:v>45821.20150000001</c:v>
                </c:pt>
                <c:pt idx="35">
                  <c:v>45821.20150000001</c:v>
                </c:pt>
                <c:pt idx="36">
                  <c:v>77752.738906250001</c:v>
                </c:pt>
                <c:pt idx="37">
                  <c:v>77752.738906250001</c:v>
                </c:pt>
                <c:pt idx="38">
                  <c:v>77752.738906250001</c:v>
                </c:pt>
                <c:pt idx="39">
                  <c:v>77752.738906250001</c:v>
                </c:pt>
                <c:pt idx="40">
                  <c:v>109684.27631250002</c:v>
                </c:pt>
                <c:pt idx="41">
                  <c:v>109684.27631250002</c:v>
                </c:pt>
                <c:pt idx="42">
                  <c:v>109684.27631250002</c:v>
                </c:pt>
                <c:pt idx="43">
                  <c:v>109684.27631250002</c:v>
                </c:pt>
                <c:pt idx="44">
                  <c:v>141615.81371875003</c:v>
                </c:pt>
                <c:pt idx="45">
                  <c:v>141615.81371875003</c:v>
                </c:pt>
                <c:pt idx="46">
                  <c:v>141615.81371875003</c:v>
                </c:pt>
                <c:pt idx="47">
                  <c:v>141615.81371875003</c:v>
                </c:pt>
                <c:pt idx="48">
                  <c:v>173547.35112499999</c:v>
                </c:pt>
                <c:pt idx="49">
                  <c:v>173547.35112499999</c:v>
                </c:pt>
                <c:pt idx="50">
                  <c:v>173547.35112499999</c:v>
                </c:pt>
                <c:pt idx="51">
                  <c:v>173547.35112499999</c:v>
                </c:pt>
                <c:pt idx="52">
                  <c:v>205478.88853125001</c:v>
                </c:pt>
                <c:pt idx="53">
                  <c:v>205478.88853125001</c:v>
                </c:pt>
                <c:pt idx="54">
                  <c:v>205478.88853125001</c:v>
                </c:pt>
                <c:pt idx="55">
                  <c:v>205478.88853125001</c:v>
                </c:pt>
                <c:pt idx="56">
                  <c:v>237410.42593749997</c:v>
                </c:pt>
                <c:pt idx="57">
                  <c:v>237410.42593749997</c:v>
                </c:pt>
                <c:pt idx="58">
                  <c:v>237410.42593749997</c:v>
                </c:pt>
                <c:pt idx="59">
                  <c:v>237410.42593749997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2-47FF-9DED-CA9C707B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61480"/>
        <c:axId val="449861808"/>
      </c:lineChart>
      <c:catAx>
        <c:axId val="449861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61808"/>
        <c:crosses val="autoZero"/>
        <c:auto val="1"/>
        <c:lblAlgn val="ctr"/>
        <c:lblOffset val="100"/>
        <c:noMultiLvlLbl val="0"/>
      </c:catAx>
      <c:valAx>
        <c:axId val="449861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Ganancias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6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7F45AB-0DD1-4499-9005-808AED2B55FC}">
  <sheetPr/>
  <sheetViews>
    <sheetView workbookViewId="0"/>
  </sheetViews>
  <pageMargins left="0.7" right="0.7" top="0.75" bottom="0.75" header="0.3" footer="0.3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353786</xdr:colOff>
      <xdr:row>20</xdr:row>
      <xdr:rowOff>122464</xdr:rowOff>
    </xdr:from>
    <xdr:to>
      <xdr:col>16</xdr:col>
      <xdr:colOff>367393</xdr:colOff>
      <xdr:row>48</xdr:row>
      <xdr:rowOff>136071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9243E74C-328E-46B5-B162-BDB391B72076}"/>
            </a:ext>
          </a:extLst>
        </xdr:cNvPr>
        <xdr:cNvCxnSpPr/>
      </xdr:nvCxnSpPr>
      <xdr:spPr>
        <a:xfrm flipH="1">
          <a:off x="8667750" y="3932464"/>
          <a:ext cx="13607" cy="5715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13607</xdr:colOff>
      <xdr:row>27</xdr:row>
      <xdr:rowOff>204107</xdr:rowOff>
    </xdr:from>
    <xdr:to>
      <xdr:col>16</xdr:col>
      <xdr:colOff>367393</xdr:colOff>
      <xdr:row>27</xdr:row>
      <xdr:rowOff>204107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759060AB-F042-41F6-BCB0-9297EACF1436}"/>
            </a:ext>
          </a:extLst>
        </xdr:cNvPr>
        <xdr:cNvCxnSpPr/>
      </xdr:nvCxnSpPr>
      <xdr:spPr>
        <a:xfrm>
          <a:off x="7443107" y="5347607"/>
          <a:ext cx="1238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340179</xdr:colOff>
      <xdr:row>27</xdr:row>
      <xdr:rowOff>204107</xdr:rowOff>
    </xdr:from>
    <xdr:to>
      <xdr:col>26</xdr:col>
      <xdr:colOff>353785</xdr:colOff>
      <xdr:row>27</xdr:row>
      <xdr:rowOff>204107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F7261823-0821-4F11-BAD0-6BE8EFE96073}"/>
            </a:ext>
          </a:extLst>
        </xdr:cNvPr>
        <xdr:cNvCxnSpPr/>
      </xdr:nvCxnSpPr>
      <xdr:spPr>
        <a:xfrm>
          <a:off x="8654143" y="5347607"/>
          <a:ext cx="47216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381000</xdr:colOff>
      <xdr:row>27</xdr:row>
      <xdr:rowOff>217714</xdr:rowOff>
    </xdr:from>
    <xdr:to>
      <xdr:col>24</xdr:col>
      <xdr:colOff>381000</xdr:colOff>
      <xdr:row>34</xdr:row>
      <xdr:rowOff>68036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23B004AE-FD38-4225-963F-D2792FDE2898}"/>
            </a:ext>
          </a:extLst>
        </xdr:cNvPr>
        <xdr:cNvCxnSpPr/>
      </xdr:nvCxnSpPr>
      <xdr:spPr>
        <a:xfrm>
          <a:off x="12423321" y="5361214"/>
          <a:ext cx="0" cy="1374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27</xdr:row>
      <xdr:rowOff>204107</xdr:rowOff>
    </xdr:from>
    <xdr:to>
      <xdr:col>20</xdr:col>
      <xdr:colOff>353786</xdr:colOff>
      <xdr:row>44</xdr:row>
      <xdr:rowOff>190500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4DD732E7-38F4-4CFC-A8C5-3A0C89CF1E2B}"/>
            </a:ext>
          </a:extLst>
        </xdr:cNvPr>
        <xdr:cNvCxnSpPr/>
      </xdr:nvCxnSpPr>
      <xdr:spPr>
        <a:xfrm>
          <a:off x="10531929" y="5347607"/>
          <a:ext cx="0" cy="3415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326571</xdr:colOff>
      <xdr:row>50</xdr:row>
      <xdr:rowOff>81643</xdr:rowOff>
    </xdr:from>
    <xdr:to>
      <xdr:col>20</xdr:col>
      <xdr:colOff>326571</xdr:colOff>
      <xdr:row>54</xdr:row>
      <xdr:rowOff>40821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A504AFBB-71EA-4852-BC89-9E4D7F19E1FB}"/>
            </a:ext>
          </a:extLst>
        </xdr:cNvPr>
        <xdr:cNvCxnSpPr/>
      </xdr:nvCxnSpPr>
      <xdr:spPr>
        <a:xfrm>
          <a:off x="10504714" y="9974036"/>
          <a:ext cx="0" cy="7211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54428</xdr:colOff>
      <xdr:row>52</xdr:row>
      <xdr:rowOff>95250</xdr:rowOff>
    </xdr:from>
    <xdr:to>
      <xdr:col>20</xdr:col>
      <xdr:colOff>326571</xdr:colOff>
      <xdr:row>52</xdr:row>
      <xdr:rowOff>95250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5FEE4007-B9F9-4F1A-A426-61A2E68AD6A6}"/>
            </a:ext>
          </a:extLst>
        </xdr:cNvPr>
        <xdr:cNvCxnSpPr/>
      </xdr:nvCxnSpPr>
      <xdr:spPr>
        <a:xfrm>
          <a:off x="9348107" y="10368643"/>
          <a:ext cx="115660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136071</xdr:colOff>
      <xdr:row>17</xdr:row>
      <xdr:rowOff>68036</xdr:rowOff>
    </xdr:from>
    <xdr:to>
      <xdr:col>30</xdr:col>
      <xdr:colOff>476250</xdr:colOff>
      <xdr:row>17</xdr:row>
      <xdr:rowOff>81643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CA48512B-5C03-4E45-ADF9-7263F447C7C2}"/>
            </a:ext>
          </a:extLst>
        </xdr:cNvPr>
        <xdr:cNvCxnSpPr/>
      </xdr:nvCxnSpPr>
      <xdr:spPr>
        <a:xfrm>
          <a:off x="9429750" y="3306536"/>
          <a:ext cx="5932714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340179</xdr:colOff>
      <xdr:row>55</xdr:row>
      <xdr:rowOff>122464</xdr:rowOff>
    </xdr:from>
    <xdr:to>
      <xdr:col>16</xdr:col>
      <xdr:colOff>340179</xdr:colOff>
      <xdr:row>70</xdr:row>
      <xdr:rowOff>108857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3180ACA1-04D9-466F-B417-EB65CACCE68E}"/>
            </a:ext>
          </a:extLst>
        </xdr:cNvPr>
        <xdr:cNvCxnSpPr/>
      </xdr:nvCxnSpPr>
      <xdr:spPr>
        <a:xfrm>
          <a:off x="8654143" y="10967357"/>
          <a:ext cx="0" cy="28438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326572</xdr:colOff>
      <xdr:row>70</xdr:row>
      <xdr:rowOff>122464</xdr:rowOff>
    </xdr:from>
    <xdr:to>
      <xdr:col>30</xdr:col>
      <xdr:colOff>476250</xdr:colOff>
      <xdr:row>70</xdr:row>
      <xdr:rowOff>122464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F7BBD0BB-63C0-49D6-89E6-E546B1C328FC}"/>
            </a:ext>
          </a:extLst>
        </xdr:cNvPr>
        <xdr:cNvCxnSpPr/>
      </xdr:nvCxnSpPr>
      <xdr:spPr>
        <a:xfrm>
          <a:off x="8640536" y="13824857"/>
          <a:ext cx="67219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122464</xdr:colOff>
      <xdr:row>57</xdr:row>
      <xdr:rowOff>95250</xdr:rowOff>
    </xdr:from>
    <xdr:to>
      <xdr:col>30</xdr:col>
      <xdr:colOff>408215</xdr:colOff>
      <xdr:row>57</xdr:row>
      <xdr:rowOff>95250</xdr:rowOff>
    </xdr:to>
    <xdr:cxnSp macro="">
      <xdr:nvCxnSpPr>
        <xdr:cNvPr id="108" name="Conector recto de flecha 107">
          <a:extLst>
            <a:ext uri="{FF2B5EF4-FFF2-40B4-BE49-F238E27FC236}">
              <a16:creationId xmlns:a16="http://schemas.microsoft.com/office/drawing/2014/main" id="{534D05E5-5F6E-4204-88FF-A8C9B0F43886}"/>
            </a:ext>
          </a:extLst>
        </xdr:cNvPr>
        <xdr:cNvCxnSpPr/>
      </xdr:nvCxnSpPr>
      <xdr:spPr>
        <a:xfrm>
          <a:off x="11280321" y="11321143"/>
          <a:ext cx="401410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47</xdr:row>
      <xdr:rowOff>81643</xdr:rowOff>
    </xdr:from>
    <xdr:to>
      <xdr:col>30</xdr:col>
      <xdr:colOff>421822</xdr:colOff>
      <xdr:row>47</xdr:row>
      <xdr:rowOff>81643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2B7696AC-F2E3-43F8-9B79-F71CCC179D6E}"/>
            </a:ext>
          </a:extLst>
        </xdr:cNvPr>
        <xdr:cNvCxnSpPr/>
      </xdr:nvCxnSpPr>
      <xdr:spPr>
        <a:xfrm>
          <a:off x="11253107" y="9402536"/>
          <a:ext cx="40549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108857</xdr:colOff>
      <xdr:row>37</xdr:row>
      <xdr:rowOff>68036</xdr:rowOff>
    </xdr:from>
    <xdr:to>
      <xdr:col>30</xdr:col>
      <xdr:colOff>435429</xdr:colOff>
      <xdr:row>37</xdr:row>
      <xdr:rowOff>68036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416560C5-D651-4D3A-983E-9DEE6884B144}"/>
            </a:ext>
          </a:extLst>
        </xdr:cNvPr>
        <xdr:cNvCxnSpPr/>
      </xdr:nvCxnSpPr>
      <xdr:spPr>
        <a:xfrm>
          <a:off x="13130893" y="7307036"/>
          <a:ext cx="2190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81643</xdr:colOff>
      <xdr:row>27</xdr:row>
      <xdr:rowOff>190500</xdr:rowOff>
    </xdr:from>
    <xdr:to>
      <xdr:col>30</xdr:col>
      <xdr:colOff>462643</xdr:colOff>
      <xdr:row>27</xdr:row>
      <xdr:rowOff>190500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ECD7D7D0-C2D3-4A8C-90E9-020DC95E7464}"/>
            </a:ext>
          </a:extLst>
        </xdr:cNvPr>
        <xdr:cNvCxnSpPr/>
      </xdr:nvCxnSpPr>
      <xdr:spPr>
        <a:xfrm>
          <a:off x="14967857" y="533400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17</xdr:row>
      <xdr:rowOff>81643</xdr:rowOff>
    </xdr:from>
    <xdr:to>
      <xdr:col>34</xdr:col>
      <xdr:colOff>285750</xdr:colOff>
      <xdr:row>69</xdr:row>
      <xdr:rowOff>95250</xdr:rowOff>
    </xdr:to>
    <xdr:cxnSp macro="">
      <xdr:nvCxnSpPr>
        <xdr:cNvPr id="119" name="Conector recto 118">
          <a:extLst>
            <a:ext uri="{FF2B5EF4-FFF2-40B4-BE49-F238E27FC236}">
              <a16:creationId xmlns:a16="http://schemas.microsoft.com/office/drawing/2014/main" id="{4ABA65F1-A93D-4DF1-B81A-D3ED1151F846}"/>
            </a:ext>
          </a:extLst>
        </xdr:cNvPr>
        <xdr:cNvCxnSpPr/>
      </xdr:nvCxnSpPr>
      <xdr:spPr>
        <a:xfrm>
          <a:off x="17036143" y="3320143"/>
          <a:ext cx="0" cy="1028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27</xdr:row>
      <xdr:rowOff>217714</xdr:rowOff>
    </xdr:from>
    <xdr:to>
      <xdr:col>34</xdr:col>
      <xdr:colOff>503464</xdr:colOff>
      <xdr:row>27</xdr:row>
      <xdr:rowOff>217714</xdr:rowOff>
    </xdr:to>
    <xdr:cxnSp macro="">
      <xdr:nvCxnSpPr>
        <xdr:cNvPr id="121" name="Conector recto de flecha 120">
          <a:extLst>
            <a:ext uri="{FF2B5EF4-FFF2-40B4-BE49-F238E27FC236}">
              <a16:creationId xmlns:a16="http://schemas.microsoft.com/office/drawing/2014/main" id="{9B3228DC-3612-47F8-83F9-42F2343AA505}"/>
            </a:ext>
          </a:extLst>
        </xdr:cNvPr>
        <xdr:cNvCxnSpPr/>
      </xdr:nvCxnSpPr>
      <xdr:spPr>
        <a:xfrm>
          <a:off x="17036143" y="5361214"/>
          <a:ext cx="2177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122464</xdr:colOff>
      <xdr:row>17</xdr:row>
      <xdr:rowOff>81643</xdr:rowOff>
    </xdr:from>
    <xdr:to>
      <xdr:col>34</xdr:col>
      <xdr:colOff>285750</xdr:colOff>
      <xdr:row>17</xdr:row>
      <xdr:rowOff>81643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7A0FF0D2-F68B-43CC-824E-B28C6AAD1AC9}"/>
            </a:ext>
          </a:extLst>
        </xdr:cNvPr>
        <xdr:cNvCxnSpPr/>
      </xdr:nvCxnSpPr>
      <xdr:spPr>
        <a:xfrm flipH="1">
          <a:off x="16872857" y="3320143"/>
          <a:ext cx="16328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68036</xdr:colOff>
      <xdr:row>69</xdr:row>
      <xdr:rowOff>81643</xdr:rowOff>
    </xdr:from>
    <xdr:to>
      <xdr:col>34</xdr:col>
      <xdr:colOff>285750</xdr:colOff>
      <xdr:row>69</xdr:row>
      <xdr:rowOff>81643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BC09DC2E-5127-4AEC-876B-C5097A27FE2F}"/>
            </a:ext>
          </a:extLst>
        </xdr:cNvPr>
        <xdr:cNvCxnSpPr/>
      </xdr:nvCxnSpPr>
      <xdr:spPr>
        <a:xfrm flipH="1">
          <a:off x="16818429" y="13593536"/>
          <a:ext cx="21771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122464</xdr:colOff>
      <xdr:row>27</xdr:row>
      <xdr:rowOff>217714</xdr:rowOff>
    </xdr:from>
    <xdr:to>
      <xdr:col>34</xdr:col>
      <xdr:colOff>285750</xdr:colOff>
      <xdr:row>27</xdr:row>
      <xdr:rowOff>217714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A0E4DE80-E4FD-42BB-92C4-F735B7B20E29}"/>
            </a:ext>
          </a:extLst>
        </xdr:cNvPr>
        <xdr:cNvCxnSpPr/>
      </xdr:nvCxnSpPr>
      <xdr:spPr>
        <a:xfrm flipH="1">
          <a:off x="16872857" y="5361214"/>
          <a:ext cx="16328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108857</xdr:colOff>
      <xdr:row>47</xdr:row>
      <xdr:rowOff>95250</xdr:rowOff>
    </xdr:from>
    <xdr:to>
      <xdr:col>34</xdr:col>
      <xdr:colOff>285750</xdr:colOff>
      <xdr:row>47</xdr:row>
      <xdr:rowOff>95250</xdr:rowOff>
    </xdr:to>
    <xdr:cxnSp macro="">
      <xdr:nvCxnSpPr>
        <xdr:cNvPr id="134" name="Conector recto 133">
          <a:extLst>
            <a:ext uri="{FF2B5EF4-FFF2-40B4-BE49-F238E27FC236}">
              <a16:creationId xmlns:a16="http://schemas.microsoft.com/office/drawing/2014/main" id="{D7091D0A-A31C-4EEB-81AD-37733922A6ED}"/>
            </a:ext>
          </a:extLst>
        </xdr:cNvPr>
        <xdr:cNvCxnSpPr/>
      </xdr:nvCxnSpPr>
      <xdr:spPr>
        <a:xfrm flipH="1">
          <a:off x="16859250" y="9416143"/>
          <a:ext cx="17689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57</xdr:row>
      <xdr:rowOff>108857</xdr:rowOff>
    </xdr:from>
    <xdr:to>
      <xdr:col>34</xdr:col>
      <xdr:colOff>272143</xdr:colOff>
      <xdr:row>57</xdr:row>
      <xdr:rowOff>108857</xdr:rowOff>
    </xdr:to>
    <xdr:cxnSp macro="">
      <xdr:nvCxnSpPr>
        <xdr:cNvPr id="136" name="Conector recto 135">
          <a:extLst>
            <a:ext uri="{FF2B5EF4-FFF2-40B4-BE49-F238E27FC236}">
              <a16:creationId xmlns:a16="http://schemas.microsoft.com/office/drawing/2014/main" id="{EC52247B-D236-4615-97F1-7380659E62FF}"/>
            </a:ext>
          </a:extLst>
        </xdr:cNvPr>
        <xdr:cNvCxnSpPr/>
      </xdr:nvCxnSpPr>
      <xdr:spPr>
        <a:xfrm flipH="1">
          <a:off x="16845643" y="11334750"/>
          <a:ext cx="17689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108857</xdr:colOff>
      <xdr:row>37</xdr:row>
      <xdr:rowOff>108857</xdr:rowOff>
    </xdr:from>
    <xdr:to>
      <xdr:col>34</xdr:col>
      <xdr:colOff>285750</xdr:colOff>
      <xdr:row>37</xdr:row>
      <xdr:rowOff>108857</xdr:rowOff>
    </xdr:to>
    <xdr:cxnSp macro="">
      <xdr:nvCxnSpPr>
        <xdr:cNvPr id="138" name="Conector recto 137">
          <a:extLst>
            <a:ext uri="{FF2B5EF4-FFF2-40B4-BE49-F238E27FC236}">
              <a16:creationId xmlns:a16="http://schemas.microsoft.com/office/drawing/2014/main" id="{CEE501BF-59B5-4D16-8406-04B3E67AA388}"/>
            </a:ext>
          </a:extLst>
        </xdr:cNvPr>
        <xdr:cNvCxnSpPr/>
      </xdr:nvCxnSpPr>
      <xdr:spPr>
        <a:xfrm flipH="1">
          <a:off x="16859250" y="7347857"/>
          <a:ext cx="17689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68036</xdr:colOff>
      <xdr:row>27</xdr:row>
      <xdr:rowOff>190500</xdr:rowOff>
    </xdr:from>
    <xdr:to>
      <xdr:col>38</xdr:col>
      <xdr:colOff>489858</xdr:colOff>
      <xdr:row>27</xdr:row>
      <xdr:rowOff>190500</xdr:rowOff>
    </xdr:to>
    <xdr:cxnSp macro="">
      <xdr:nvCxnSpPr>
        <xdr:cNvPr id="141" name="Conector recto de flecha 140">
          <a:extLst>
            <a:ext uri="{FF2B5EF4-FFF2-40B4-BE49-F238E27FC236}">
              <a16:creationId xmlns:a16="http://schemas.microsoft.com/office/drawing/2014/main" id="{D7067FE9-75FE-4155-AA60-E59F13BEBBE0}"/>
            </a:ext>
          </a:extLst>
        </xdr:cNvPr>
        <xdr:cNvCxnSpPr/>
      </xdr:nvCxnSpPr>
      <xdr:spPr>
        <a:xfrm>
          <a:off x="18682607" y="5334000"/>
          <a:ext cx="42182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81643</xdr:colOff>
      <xdr:row>27</xdr:row>
      <xdr:rowOff>190500</xdr:rowOff>
    </xdr:from>
    <xdr:to>
      <xdr:col>42</xdr:col>
      <xdr:colOff>489858</xdr:colOff>
      <xdr:row>27</xdr:row>
      <xdr:rowOff>190500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84DC095D-7557-4CBA-8ED7-39298E4489F2}"/>
            </a:ext>
          </a:extLst>
        </xdr:cNvPr>
        <xdr:cNvCxnSpPr/>
      </xdr:nvCxnSpPr>
      <xdr:spPr>
        <a:xfrm>
          <a:off x="20601214" y="5334000"/>
          <a:ext cx="4082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81643</xdr:colOff>
      <xdr:row>27</xdr:row>
      <xdr:rowOff>176893</xdr:rowOff>
    </xdr:from>
    <xdr:to>
      <xdr:col>46</xdr:col>
      <xdr:colOff>503465</xdr:colOff>
      <xdr:row>27</xdr:row>
      <xdr:rowOff>176893</xdr:rowOff>
    </xdr:to>
    <xdr:cxnSp macro="">
      <xdr:nvCxnSpPr>
        <xdr:cNvPr id="145" name="Conector recto de flecha 144">
          <a:extLst>
            <a:ext uri="{FF2B5EF4-FFF2-40B4-BE49-F238E27FC236}">
              <a16:creationId xmlns:a16="http://schemas.microsoft.com/office/drawing/2014/main" id="{BFE182E4-C495-48A3-94BD-BCE513523651}"/>
            </a:ext>
          </a:extLst>
        </xdr:cNvPr>
        <xdr:cNvCxnSpPr/>
      </xdr:nvCxnSpPr>
      <xdr:spPr>
        <a:xfrm>
          <a:off x="22506214" y="5320393"/>
          <a:ext cx="42182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54429</xdr:colOff>
      <xdr:row>27</xdr:row>
      <xdr:rowOff>190500</xdr:rowOff>
    </xdr:from>
    <xdr:to>
      <xdr:col>50</xdr:col>
      <xdr:colOff>476250</xdr:colOff>
      <xdr:row>27</xdr:row>
      <xdr:rowOff>190500</xdr:rowOff>
    </xdr:to>
    <xdr:cxnSp macro="">
      <xdr:nvCxnSpPr>
        <xdr:cNvPr id="147" name="Conector recto de flecha 146">
          <a:extLst>
            <a:ext uri="{FF2B5EF4-FFF2-40B4-BE49-F238E27FC236}">
              <a16:creationId xmlns:a16="http://schemas.microsoft.com/office/drawing/2014/main" id="{0E6B99B4-F47F-46E3-8C0C-C42B51F70D8A}"/>
            </a:ext>
          </a:extLst>
        </xdr:cNvPr>
        <xdr:cNvCxnSpPr/>
      </xdr:nvCxnSpPr>
      <xdr:spPr>
        <a:xfrm>
          <a:off x="24384000" y="5334000"/>
          <a:ext cx="4218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95250</xdr:colOff>
      <xdr:row>27</xdr:row>
      <xdr:rowOff>217714</xdr:rowOff>
    </xdr:from>
    <xdr:to>
      <xdr:col>54</xdr:col>
      <xdr:colOff>517071</xdr:colOff>
      <xdr:row>27</xdr:row>
      <xdr:rowOff>217714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52A43E93-7AE2-4467-8E6D-892C6AFB44D9}"/>
            </a:ext>
          </a:extLst>
        </xdr:cNvPr>
        <xdr:cNvCxnSpPr/>
      </xdr:nvCxnSpPr>
      <xdr:spPr>
        <a:xfrm>
          <a:off x="26370643" y="5361214"/>
          <a:ext cx="4218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68036</xdr:colOff>
      <xdr:row>27</xdr:row>
      <xdr:rowOff>204107</xdr:rowOff>
    </xdr:from>
    <xdr:to>
      <xdr:col>58</xdr:col>
      <xdr:colOff>503465</xdr:colOff>
      <xdr:row>27</xdr:row>
      <xdr:rowOff>204107</xdr:rowOff>
    </xdr:to>
    <xdr:cxnSp macro="">
      <xdr:nvCxnSpPr>
        <xdr:cNvPr id="151" name="Conector recto de flecha 150">
          <a:extLst>
            <a:ext uri="{FF2B5EF4-FFF2-40B4-BE49-F238E27FC236}">
              <a16:creationId xmlns:a16="http://schemas.microsoft.com/office/drawing/2014/main" id="{C2995312-D76C-45A3-8E1C-18928036F385}"/>
            </a:ext>
          </a:extLst>
        </xdr:cNvPr>
        <xdr:cNvCxnSpPr/>
      </xdr:nvCxnSpPr>
      <xdr:spPr>
        <a:xfrm>
          <a:off x="28289250" y="5347607"/>
          <a:ext cx="4354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81643</xdr:colOff>
      <xdr:row>27</xdr:row>
      <xdr:rowOff>204107</xdr:rowOff>
    </xdr:from>
    <xdr:to>
      <xdr:col>62</xdr:col>
      <xdr:colOff>489857</xdr:colOff>
      <xdr:row>27</xdr:row>
      <xdr:rowOff>204107</xdr:rowOff>
    </xdr:to>
    <xdr:cxnSp macro="">
      <xdr:nvCxnSpPr>
        <xdr:cNvPr id="153" name="Conector recto de flecha 152">
          <a:extLst>
            <a:ext uri="{FF2B5EF4-FFF2-40B4-BE49-F238E27FC236}">
              <a16:creationId xmlns:a16="http://schemas.microsoft.com/office/drawing/2014/main" id="{641DC524-A80D-46E6-B2EA-5519156EC355}"/>
            </a:ext>
          </a:extLst>
        </xdr:cNvPr>
        <xdr:cNvCxnSpPr/>
      </xdr:nvCxnSpPr>
      <xdr:spPr>
        <a:xfrm>
          <a:off x="30248679" y="5347607"/>
          <a:ext cx="4082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81643</xdr:colOff>
      <xdr:row>27</xdr:row>
      <xdr:rowOff>204107</xdr:rowOff>
    </xdr:from>
    <xdr:to>
      <xdr:col>66</xdr:col>
      <xdr:colOff>476250</xdr:colOff>
      <xdr:row>27</xdr:row>
      <xdr:rowOff>204107</xdr:rowOff>
    </xdr:to>
    <xdr:cxnSp macro="">
      <xdr:nvCxnSpPr>
        <xdr:cNvPr id="155" name="Conector recto de flecha 154">
          <a:extLst>
            <a:ext uri="{FF2B5EF4-FFF2-40B4-BE49-F238E27FC236}">
              <a16:creationId xmlns:a16="http://schemas.microsoft.com/office/drawing/2014/main" id="{76F7ABFD-CA1A-4B4A-9C16-7592CCECB81E}"/>
            </a:ext>
          </a:extLst>
        </xdr:cNvPr>
        <xdr:cNvCxnSpPr/>
      </xdr:nvCxnSpPr>
      <xdr:spPr>
        <a:xfrm>
          <a:off x="32194500" y="5347607"/>
          <a:ext cx="39460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95250</xdr:colOff>
      <xdr:row>27</xdr:row>
      <xdr:rowOff>204107</xdr:rowOff>
    </xdr:from>
    <xdr:to>
      <xdr:col>70</xdr:col>
      <xdr:colOff>489857</xdr:colOff>
      <xdr:row>27</xdr:row>
      <xdr:rowOff>204107</xdr:rowOff>
    </xdr:to>
    <xdr:cxnSp macro="">
      <xdr:nvCxnSpPr>
        <xdr:cNvPr id="157" name="Conector recto de flecha 156">
          <a:extLst>
            <a:ext uri="{FF2B5EF4-FFF2-40B4-BE49-F238E27FC236}">
              <a16:creationId xmlns:a16="http://schemas.microsoft.com/office/drawing/2014/main" id="{4846991D-D39B-4D59-9297-DF581B4FB324}"/>
            </a:ext>
          </a:extLst>
        </xdr:cNvPr>
        <xdr:cNvCxnSpPr/>
      </xdr:nvCxnSpPr>
      <xdr:spPr>
        <a:xfrm>
          <a:off x="34153929" y="5347607"/>
          <a:ext cx="39460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81643</xdr:colOff>
      <xdr:row>27</xdr:row>
      <xdr:rowOff>190500</xdr:rowOff>
    </xdr:from>
    <xdr:to>
      <xdr:col>74</xdr:col>
      <xdr:colOff>503464</xdr:colOff>
      <xdr:row>27</xdr:row>
      <xdr:rowOff>190500</xdr:rowOff>
    </xdr:to>
    <xdr:cxnSp macro="">
      <xdr:nvCxnSpPr>
        <xdr:cNvPr id="159" name="Conector recto de flecha 158">
          <a:extLst>
            <a:ext uri="{FF2B5EF4-FFF2-40B4-BE49-F238E27FC236}">
              <a16:creationId xmlns:a16="http://schemas.microsoft.com/office/drawing/2014/main" id="{DE5D30D9-77B0-4F85-9C3D-477095443D25}"/>
            </a:ext>
          </a:extLst>
        </xdr:cNvPr>
        <xdr:cNvCxnSpPr/>
      </xdr:nvCxnSpPr>
      <xdr:spPr>
        <a:xfrm>
          <a:off x="36086143" y="5334000"/>
          <a:ext cx="4218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68035</xdr:colOff>
      <xdr:row>27</xdr:row>
      <xdr:rowOff>204107</xdr:rowOff>
    </xdr:from>
    <xdr:to>
      <xdr:col>10</xdr:col>
      <xdr:colOff>489857</xdr:colOff>
      <xdr:row>27</xdr:row>
      <xdr:rowOff>204107</xdr:rowOff>
    </xdr:to>
    <xdr:cxnSp macro="">
      <xdr:nvCxnSpPr>
        <xdr:cNvPr id="161" name="Conector recto de flecha 160">
          <a:extLst>
            <a:ext uri="{FF2B5EF4-FFF2-40B4-BE49-F238E27FC236}">
              <a16:creationId xmlns:a16="http://schemas.microsoft.com/office/drawing/2014/main" id="{2B3F4DAE-E2CD-4EDD-B834-74AE10F12076}"/>
            </a:ext>
          </a:extLst>
        </xdr:cNvPr>
        <xdr:cNvCxnSpPr/>
      </xdr:nvCxnSpPr>
      <xdr:spPr>
        <a:xfrm>
          <a:off x="5851071" y="5347607"/>
          <a:ext cx="42182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10</xdr:row>
      <xdr:rowOff>180975</xdr:rowOff>
    </xdr:from>
    <xdr:to>
      <xdr:col>5</xdr:col>
      <xdr:colOff>742950</xdr:colOff>
      <xdr:row>14</xdr:row>
      <xdr:rowOff>84975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6D4B7798-D196-4E20-879C-67D67E6EC205}"/>
            </a:ext>
          </a:extLst>
        </xdr:cNvPr>
        <xdr:cNvSpPr/>
      </xdr:nvSpPr>
      <xdr:spPr>
        <a:xfrm>
          <a:off x="3886200" y="208597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7</a:t>
          </a:r>
        </a:p>
      </xdr:txBody>
    </xdr:sp>
    <xdr:clientData/>
  </xdr:twoCellAnchor>
  <xdr:twoCellAnchor>
    <xdr:from>
      <xdr:col>11</xdr:col>
      <xdr:colOff>47625</xdr:colOff>
      <xdr:row>10</xdr:row>
      <xdr:rowOff>142875</xdr:rowOff>
    </xdr:from>
    <xdr:to>
      <xdr:col>11</xdr:col>
      <xdr:colOff>714375</xdr:colOff>
      <xdr:row>14</xdr:row>
      <xdr:rowOff>46875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D70FC6C-2557-4ED3-9061-7CA39B6E1C99}"/>
            </a:ext>
          </a:extLst>
        </xdr:cNvPr>
        <xdr:cNvSpPr/>
      </xdr:nvSpPr>
      <xdr:spPr>
        <a:xfrm>
          <a:off x="8429625" y="204787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15</a:t>
          </a:r>
        </a:p>
      </xdr:txBody>
    </xdr:sp>
    <xdr:clientData/>
  </xdr:twoCellAnchor>
  <xdr:twoCellAnchor>
    <xdr:from>
      <xdr:col>3</xdr:col>
      <xdr:colOff>66675</xdr:colOff>
      <xdr:row>19</xdr:row>
      <xdr:rowOff>47625</xdr:rowOff>
    </xdr:from>
    <xdr:to>
      <xdr:col>3</xdr:col>
      <xdr:colOff>733425</xdr:colOff>
      <xdr:row>22</xdr:row>
      <xdr:rowOff>142125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33C9F93F-E459-4373-8CEF-3F6B371EC85D}"/>
            </a:ext>
          </a:extLst>
        </xdr:cNvPr>
        <xdr:cNvSpPr/>
      </xdr:nvSpPr>
      <xdr:spPr>
        <a:xfrm>
          <a:off x="2352675" y="366712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7</xdr:col>
      <xdr:colOff>47625</xdr:colOff>
      <xdr:row>27</xdr:row>
      <xdr:rowOff>95250</xdr:rowOff>
    </xdr:from>
    <xdr:to>
      <xdr:col>7</xdr:col>
      <xdr:colOff>714375</xdr:colOff>
      <xdr:row>30</xdr:row>
      <xdr:rowOff>189750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3F9728EE-BDF1-4D8D-AF66-4905BBFDE89C}"/>
            </a:ext>
          </a:extLst>
        </xdr:cNvPr>
        <xdr:cNvSpPr/>
      </xdr:nvSpPr>
      <xdr:spPr>
        <a:xfrm>
          <a:off x="5381625" y="5238750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10</a:t>
          </a:r>
        </a:p>
      </xdr:txBody>
    </xdr:sp>
    <xdr:clientData/>
  </xdr:twoCellAnchor>
  <xdr:twoCellAnchor>
    <xdr:from>
      <xdr:col>7</xdr:col>
      <xdr:colOff>47625</xdr:colOff>
      <xdr:row>10</xdr:row>
      <xdr:rowOff>180975</xdr:rowOff>
    </xdr:from>
    <xdr:to>
      <xdr:col>7</xdr:col>
      <xdr:colOff>714375</xdr:colOff>
      <xdr:row>14</xdr:row>
      <xdr:rowOff>84975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1098C49-E816-444F-AACF-2570D282D2AC}"/>
            </a:ext>
          </a:extLst>
        </xdr:cNvPr>
        <xdr:cNvSpPr/>
      </xdr:nvSpPr>
      <xdr:spPr>
        <a:xfrm>
          <a:off x="5381625" y="208597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12</a:t>
          </a:r>
        </a:p>
      </xdr:txBody>
    </xdr:sp>
    <xdr:clientData/>
  </xdr:twoCellAnchor>
  <xdr:twoCellAnchor>
    <xdr:from>
      <xdr:col>7</xdr:col>
      <xdr:colOff>57150</xdr:colOff>
      <xdr:row>5</xdr:row>
      <xdr:rowOff>28575</xdr:rowOff>
    </xdr:from>
    <xdr:to>
      <xdr:col>7</xdr:col>
      <xdr:colOff>723900</xdr:colOff>
      <xdr:row>8</xdr:row>
      <xdr:rowOff>123075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2DF6A160-3F5D-49EC-A39C-F5FA96C0920E}"/>
            </a:ext>
          </a:extLst>
        </xdr:cNvPr>
        <xdr:cNvSpPr/>
      </xdr:nvSpPr>
      <xdr:spPr>
        <a:xfrm>
          <a:off x="5391150" y="98107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8</a:t>
          </a:r>
        </a:p>
      </xdr:txBody>
    </xdr:sp>
    <xdr:clientData/>
  </xdr:twoCellAnchor>
  <xdr:twoCellAnchor>
    <xdr:from>
      <xdr:col>3</xdr:col>
      <xdr:colOff>38100</xdr:colOff>
      <xdr:row>27</xdr:row>
      <xdr:rowOff>66675</xdr:rowOff>
    </xdr:from>
    <xdr:to>
      <xdr:col>3</xdr:col>
      <xdr:colOff>704850</xdr:colOff>
      <xdr:row>30</xdr:row>
      <xdr:rowOff>161175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26D09D3A-8964-40D8-81E4-1AC005C5D188}"/>
            </a:ext>
          </a:extLst>
        </xdr:cNvPr>
        <xdr:cNvSpPr/>
      </xdr:nvSpPr>
      <xdr:spPr>
        <a:xfrm>
          <a:off x="2324100" y="521017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>
    <xdr:from>
      <xdr:col>7</xdr:col>
      <xdr:colOff>47625</xdr:colOff>
      <xdr:row>15</xdr:row>
      <xdr:rowOff>57150</xdr:rowOff>
    </xdr:from>
    <xdr:to>
      <xdr:col>7</xdr:col>
      <xdr:colOff>714375</xdr:colOff>
      <xdr:row>18</xdr:row>
      <xdr:rowOff>151650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5E5963A-7A62-48D1-B42B-282CD540D267}"/>
            </a:ext>
          </a:extLst>
        </xdr:cNvPr>
        <xdr:cNvSpPr/>
      </xdr:nvSpPr>
      <xdr:spPr>
        <a:xfrm>
          <a:off x="5381625" y="2914650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2</xdr:col>
      <xdr:colOff>57150</xdr:colOff>
      <xdr:row>23</xdr:row>
      <xdr:rowOff>38100</xdr:rowOff>
    </xdr:from>
    <xdr:to>
      <xdr:col>2</xdr:col>
      <xdr:colOff>723900</xdr:colOff>
      <xdr:row>26</xdr:row>
      <xdr:rowOff>132600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B1527891-0956-4EBA-908E-BA2377866599}"/>
            </a:ext>
          </a:extLst>
        </xdr:cNvPr>
        <xdr:cNvSpPr/>
      </xdr:nvSpPr>
      <xdr:spPr>
        <a:xfrm>
          <a:off x="1581150" y="4419600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3</a:t>
          </a:r>
        </a:p>
      </xdr:txBody>
    </xdr:sp>
    <xdr:clientData/>
  </xdr:twoCellAnchor>
  <xdr:twoCellAnchor>
    <xdr:from>
      <xdr:col>2</xdr:col>
      <xdr:colOff>57150</xdr:colOff>
      <xdr:row>5</xdr:row>
      <xdr:rowOff>47625</xdr:rowOff>
    </xdr:from>
    <xdr:to>
      <xdr:col>2</xdr:col>
      <xdr:colOff>723900</xdr:colOff>
      <xdr:row>8</xdr:row>
      <xdr:rowOff>142125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1E68ADEE-3F6B-4A59-93CF-531ED69C577F}"/>
            </a:ext>
          </a:extLst>
        </xdr:cNvPr>
        <xdr:cNvSpPr/>
      </xdr:nvSpPr>
      <xdr:spPr>
        <a:xfrm>
          <a:off x="1581150" y="100012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</a:t>
          </a:r>
        </a:p>
      </xdr:txBody>
    </xdr:sp>
    <xdr:clientData/>
  </xdr:twoCellAnchor>
  <xdr:twoCellAnchor>
    <xdr:from>
      <xdr:col>1</xdr:col>
      <xdr:colOff>28575</xdr:colOff>
      <xdr:row>11</xdr:row>
      <xdr:rowOff>47625</xdr:rowOff>
    </xdr:from>
    <xdr:to>
      <xdr:col>1</xdr:col>
      <xdr:colOff>695325</xdr:colOff>
      <xdr:row>14</xdr:row>
      <xdr:rowOff>142125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14A038C6-80B8-4A18-B332-3EF7A9589764}"/>
            </a:ext>
          </a:extLst>
        </xdr:cNvPr>
        <xdr:cNvSpPr/>
      </xdr:nvSpPr>
      <xdr:spPr>
        <a:xfrm>
          <a:off x="790575" y="214312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</a:t>
          </a:r>
        </a:p>
      </xdr:txBody>
    </xdr:sp>
    <xdr:clientData/>
  </xdr:twoCellAnchor>
  <xdr:twoCellAnchor>
    <xdr:from>
      <xdr:col>4</xdr:col>
      <xdr:colOff>66675</xdr:colOff>
      <xdr:row>15</xdr:row>
      <xdr:rowOff>38100</xdr:rowOff>
    </xdr:from>
    <xdr:to>
      <xdr:col>4</xdr:col>
      <xdr:colOff>733425</xdr:colOff>
      <xdr:row>18</xdr:row>
      <xdr:rowOff>132600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B0344110-53F8-49F4-A271-E25DDEDB0C17}"/>
            </a:ext>
          </a:extLst>
        </xdr:cNvPr>
        <xdr:cNvSpPr/>
      </xdr:nvSpPr>
      <xdr:spPr>
        <a:xfrm>
          <a:off x="3114675" y="2895600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9</xdr:col>
      <xdr:colOff>28575</xdr:colOff>
      <xdr:row>10</xdr:row>
      <xdr:rowOff>142875</xdr:rowOff>
    </xdr:from>
    <xdr:to>
      <xdr:col>9</xdr:col>
      <xdr:colOff>695325</xdr:colOff>
      <xdr:row>14</xdr:row>
      <xdr:rowOff>46875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EF0C2133-4E5E-461B-9F41-FDE9D9C46F08}"/>
            </a:ext>
          </a:extLst>
        </xdr:cNvPr>
        <xdr:cNvSpPr/>
      </xdr:nvSpPr>
      <xdr:spPr>
        <a:xfrm>
          <a:off x="6886575" y="204787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14</a:t>
          </a:r>
        </a:p>
      </xdr:txBody>
    </xdr:sp>
    <xdr:clientData/>
  </xdr:twoCellAnchor>
  <xdr:twoCellAnchor>
    <xdr:from>
      <xdr:col>13</xdr:col>
      <xdr:colOff>66675</xdr:colOff>
      <xdr:row>10</xdr:row>
      <xdr:rowOff>142875</xdr:rowOff>
    </xdr:from>
    <xdr:to>
      <xdr:col>13</xdr:col>
      <xdr:colOff>733425</xdr:colOff>
      <xdr:row>14</xdr:row>
      <xdr:rowOff>46875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B24F17F5-9A67-4A14-91E5-11A56A101569}"/>
            </a:ext>
          </a:extLst>
        </xdr:cNvPr>
        <xdr:cNvSpPr/>
      </xdr:nvSpPr>
      <xdr:spPr>
        <a:xfrm>
          <a:off x="9972675" y="204787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16</a:t>
          </a:r>
        </a:p>
      </xdr:txBody>
    </xdr:sp>
    <xdr:clientData/>
  </xdr:twoCellAnchor>
  <xdr:twoCellAnchor>
    <xdr:from>
      <xdr:col>7</xdr:col>
      <xdr:colOff>47625</xdr:colOff>
      <xdr:row>19</xdr:row>
      <xdr:rowOff>66675</xdr:rowOff>
    </xdr:from>
    <xdr:to>
      <xdr:col>7</xdr:col>
      <xdr:colOff>714375</xdr:colOff>
      <xdr:row>22</xdr:row>
      <xdr:rowOff>161175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88F14FC8-BD02-409C-A54A-14AA6C11310F}"/>
            </a:ext>
          </a:extLst>
        </xdr:cNvPr>
        <xdr:cNvSpPr/>
      </xdr:nvSpPr>
      <xdr:spPr>
        <a:xfrm>
          <a:off x="5381625" y="368617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11</a:t>
          </a:r>
        </a:p>
      </xdr:txBody>
    </xdr:sp>
    <xdr:clientData/>
  </xdr:twoCellAnchor>
  <xdr:twoCellAnchor>
    <xdr:from>
      <xdr:col>7</xdr:col>
      <xdr:colOff>66675</xdr:colOff>
      <xdr:row>33</xdr:row>
      <xdr:rowOff>133350</xdr:rowOff>
    </xdr:from>
    <xdr:to>
      <xdr:col>7</xdr:col>
      <xdr:colOff>733425</xdr:colOff>
      <xdr:row>37</xdr:row>
      <xdr:rowOff>37350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25322A68-D07A-412B-AFCD-3A39454EFF61}"/>
            </a:ext>
          </a:extLst>
        </xdr:cNvPr>
        <xdr:cNvSpPr/>
      </xdr:nvSpPr>
      <xdr:spPr>
        <a:xfrm>
          <a:off x="5400675" y="6419850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9</a:t>
          </a:r>
        </a:p>
      </xdr:txBody>
    </xdr:sp>
    <xdr:clientData/>
  </xdr:twoCellAnchor>
  <xdr:twoCellAnchor>
    <xdr:from>
      <xdr:col>15</xdr:col>
      <xdr:colOff>57150</xdr:colOff>
      <xdr:row>10</xdr:row>
      <xdr:rowOff>133350</xdr:rowOff>
    </xdr:from>
    <xdr:to>
      <xdr:col>15</xdr:col>
      <xdr:colOff>723900</xdr:colOff>
      <xdr:row>14</xdr:row>
      <xdr:rowOff>37350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BF2D1E12-9EA6-4B4F-B870-76DA208132B8}"/>
            </a:ext>
          </a:extLst>
        </xdr:cNvPr>
        <xdr:cNvSpPr/>
      </xdr:nvSpPr>
      <xdr:spPr>
        <a:xfrm>
          <a:off x="11487150" y="2038350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17</a:t>
          </a:r>
        </a:p>
      </xdr:txBody>
    </xdr:sp>
    <xdr:clientData/>
  </xdr:twoCellAnchor>
  <xdr:twoCellAnchor>
    <xdr:from>
      <xdr:col>17</xdr:col>
      <xdr:colOff>57150</xdr:colOff>
      <xdr:row>10</xdr:row>
      <xdr:rowOff>133350</xdr:rowOff>
    </xdr:from>
    <xdr:to>
      <xdr:col>17</xdr:col>
      <xdr:colOff>723900</xdr:colOff>
      <xdr:row>14</xdr:row>
      <xdr:rowOff>37350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1ADFB79F-E250-429A-BB6E-F2E926FB7802}"/>
            </a:ext>
          </a:extLst>
        </xdr:cNvPr>
        <xdr:cNvSpPr/>
      </xdr:nvSpPr>
      <xdr:spPr>
        <a:xfrm>
          <a:off x="13011150" y="2038350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18</a:t>
          </a:r>
        </a:p>
      </xdr:txBody>
    </xdr:sp>
    <xdr:clientData/>
  </xdr:twoCellAnchor>
  <xdr:twoCellAnchor>
    <xdr:from>
      <xdr:col>19</xdr:col>
      <xdr:colOff>47625</xdr:colOff>
      <xdr:row>10</xdr:row>
      <xdr:rowOff>123825</xdr:rowOff>
    </xdr:from>
    <xdr:to>
      <xdr:col>19</xdr:col>
      <xdr:colOff>714375</xdr:colOff>
      <xdr:row>14</xdr:row>
      <xdr:rowOff>27825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48BF0C2A-D5E6-4B84-9CAC-4DD9C8EA594A}"/>
            </a:ext>
          </a:extLst>
        </xdr:cNvPr>
        <xdr:cNvSpPr/>
      </xdr:nvSpPr>
      <xdr:spPr>
        <a:xfrm>
          <a:off x="14525625" y="202882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21</xdr:col>
      <xdr:colOff>76200</xdr:colOff>
      <xdr:row>10</xdr:row>
      <xdr:rowOff>123825</xdr:rowOff>
    </xdr:from>
    <xdr:to>
      <xdr:col>21</xdr:col>
      <xdr:colOff>742950</xdr:colOff>
      <xdr:row>14</xdr:row>
      <xdr:rowOff>27825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5BEE195D-7653-4DFF-B0CE-D5733B906BED}"/>
            </a:ext>
          </a:extLst>
        </xdr:cNvPr>
        <xdr:cNvSpPr/>
      </xdr:nvSpPr>
      <xdr:spPr>
        <a:xfrm>
          <a:off x="16078200" y="202882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20</a:t>
          </a:r>
        </a:p>
      </xdr:txBody>
    </xdr:sp>
    <xdr:clientData/>
  </xdr:twoCellAnchor>
  <xdr:twoCellAnchor>
    <xdr:from>
      <xdr:col>23</xdr:col>
      <xdr:colOff>57150</xdr:colOff>
      <xdr:row>10</xdr:row>
      <xdr:rowOff>123825</xdr:rowOff>
    </xdr:from>
    <xdr:to>
      <xdr:col>23</xdr:col>
      <xdr:colOff>723900</xdr:colOff>
      <xdr:row>14</xdr:row>
      <xdr:rowOff>27825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EDE28245-B83F-4CAE-B1F2-0197A0B51F93}"/>
            </a:ext>
          </a:extLst>
        </xdr:cNvPr>
        <xdr:cNvSpPr/>
      </xdr:nvSpPr>
      <xdr:spPr>
        <a:xfrm>
          <a:off x="17583150" y="202882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21</a:t>
          </a:r>
        </a:p>
      </xdr:txBody>
    </xdr:sp>
    <xdr:clientData/>
  </xdr:twoCellAnchor>
  <xdr:twoCellAnchor>
    <xdr:from>
      <xdr:col>25</xdr:col>
      <xdr:colOff>38100</xdr:colOff>
      <xdr:row>10</xdr:row>
      <xdr:rowOff>123825</xdr:rowOff>
    </xdr:from>
    <xdr:to>
      <xdr:col>25</xdr:col>
      <xdr:colOff>704850</xdr:colOff>
      <xdr:row>14</xdr:row>
      <xdr:rowOff>27825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FB6FEC3-8D2D-415E-8D10-BB86CAB79800}"/>
            </a:ext>
          </a:extLst>
        </xdr:cNvPr>
        <xdr:cNvSpPr/>
      </xdr:nvSpPr>
      <xdr:spPr>
        <a:xfrm>
          <a:off x="19088100" y="202882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26</xdr:col>
      <xdr:colOff>504825</xdr:colOff>
      <xdr:row>10</xdr:row>
      <xdr:rowOff>123825</xdr:rowOff>
    </xdr:from>
    <xdr:to>
      <xdr:col>27</xdr:col>
      <xdr:colOff>409575</xdr:colOff>
      <xdr:row>14</xdr:row>
      <xdr:rowOff>27825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6B53EB27-C38F-4C30-B85B-A709B1390369}"/>
            </a:ext>
          </a:extLst>
        </xdr:cNvPr>
        <xdr:cNvSpPr/>
      </xdr:nvSpPr>
      <xdr:spPr>
        <a:xfrm>
          <a:off x="20316825" y="202882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2</xdr:col>
      <xdr:colOff>626257</xdr:colOff>
      <xdr:row>26</xdr:row>
      <xdr:rowOff>35067</xdr:rowOff>
    </xdr:from>
    <xdr:to>
      <xdr:col>3</xdr:col>
      <xdr:colOff>135743</xdr:colOff>
      <xdr:row>27</xdr:row>
      <xdr:rowOff>164208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B1F77BF7-D465-4E56-8330-841083024DD7}"/>
            </a:ext>
          </a:extLst>
        </xdr:cNvPr>
        <xdr:cNvCxnSpPr>
          <a:stCxn id="10" idx="5"/>
          <a:endCxn id="8" idx="1"/>
        </xdr:cNvCxnSpPr>
      </xdr:nvCxnSpPr>
      <xdr:spPr>
        <a:xfrm>
          <a:off x="2150257" y="4988067"/>
          <a:ext cx="271486" cy="3196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44592</xdr:rowOff>
    </xdr:from>
    <xdr:to>
      <xdr:col>2</xdr:col>
      <xdr:colOff>154793</xdr:colOff>
      <xdr:row>11</xdr:row>
      <xdr:rowOff>47625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6D678719-90F0-4E33-AE10-59573396B30F}"/>
            </a:ext>
          </a:extLst>
        </xdr:cNvPr>
        <xdr:cNvCxnSpPr>
          <a:stCxn id="12" idx="0"/>
          <a:endCxn id="11" idx="3"/>
        </xdr:cNvCxnSpPr>
      </xdr:nvCxnSpPr>
      <xdr:spPr>
        <a:xfrm flipV="1">
          <a:off x="1123950" y="1568592"/>
          <a:ext cx="554843" cy="5745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723900</xdr:colOff>
      <xdr:row>6</xdr:row>
      <xdr:rowOff>171075</xdr:rowOff>
    </xdr:from>
    <xdr:to>
      <xdr:col>7</xdr:col>
      <xdr:colOff>57150</xdr:colOff>
      <xdr:row>6</xdr:row>
      <xdr:rowOff>190125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59B54436-772B-4620-ABD6-E9A38841285C}"/>
            </a:ext>
          </a:extLst>
        </xdr:cNvPr>
        <xdr:cNvCxnSpPr>
          <a:stCxn id="11" idx="6"/>
          <a:endCxn id="7" idx="2"/>
        </xdr:cNvCxnSpPr>
      </xdr:nvCxnSpPr>
      <xdr:spPr>
        <a:xfrm flipV="1">
          <a:off x="2247900" y="1314075"/>
          <a:ext cx="31432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14</xdr:row>
      <xdr:rowOff>142125</xdr:rowOff>
    </xdr:from>
    <xdr:to>
      <xdr:col>2</xdr:col>
      <xdr:colOff>390525</xdr:colOff>
      <xdr:row>23</xdr:row>
      <xdr:rowOff>38100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3F813DAA-598C-46A0-8535-036C471A699C}"/>
            </a:ext>
          </a:extLst>
        </xdr:cNvPr>
        <xdr:cNvCxnSpPr>
          <a:stCxn id="12" idx="4"/>
          <a:endCxn id="10" idx="0"/>
        </xdr:cNvCxnSpPr>
      </xdr:nvCxnSpPr>
      <xdr:spPr>
        <a:xfrm>
          <a:off x="1123950" y="2809125"/>
          <a:ext cx="790575" cy="1610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12</xdr:row>
      <xdr:rowOff>132975</xdr:rowOff>
    </xdr:from>
    <xdr:to>
      <xdr:col>5</xdr:col>
      <xdr:colOff>76200</xdr:colOff>
      <xdr:row>12</xdr:row>
      <xdr:rowOff>190125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6A7F1D6E-7E10-4C73-9E35-5B5B4921DA8E}"/>
            </a:ext>
          </a:extLst>
        </xdr:cNvPr>
        <xdr:cNvCxnSpPr>
          <a:stCxn id="12" idx="6"/>
          <a:endCxn id="2" idx="2"/>
        </xdr:cNvCxnSpPr>
      </xdr:nvCxnSpPr>
      <xdr:spPr>
        <a:xfrm flipV="1">
          <a:off x="1457325" y="2418975"/>
          <a:ext cx="2428875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12</xdr:row>
      <xdr:rowOff>190125</xdr:rowOff>
    </xdr:from>
    <xdr:to>
      <xdr:col>4</xdr:col>
      <xdr:colOff>164318</xdr:colOff>
      <xdr:row>15</xdr:row>
      <xdr:rowOff>135633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8F1ADA0F-B209-4CB4-BAB6-BEC51C39E613}"/>
            </a:ext>
          </a:extLst>
        </xdr:cNvPr>
        <xdr:cNvCxnSpPr>
          <a:stCxn id="12" idx="6"/>
          <a:endCxn id="13" idx="1"/>
        </xdr:cNvCxnSpPr>
      </xdr:nvCxnSpPr>
      <xdr:spPr>
        <a:xfrm>
          <a:off x="1457325" y="2476125"/>
          <a:ext cx="1754993" cy="517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12</xdr:row>
      <xdr:rowOff>190125</xdr:rowOff>
    </xdr:from>
    <xdr:to>
      <xdr:col>3</xdr:col>
      <xdr:colOff>164318</xdr:colOff>
      <xdr:row>19</xdr:row>
      <xdr:rowOff>145158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C733C04-0D21-4778-8375-0AB90767B165}"/>
            </a:ext>
          </a:extLst>
        </xdr:cNvPr>
        <xdr:cNvCxnSpPr>
          <a:stCxn id="12" idx="6"/>
          <a:endCxn id="4" idx="1"/>
        </xdr:cNvCxnSpPr>
      </xdr:nvCxnSpPr>
      <xdr:spPr>
        <a:xfrm>
          <a:off x="1457325" y="2476125"/>
          <a:ext cx="992993" cy="12885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29</xdr:row>
      <xdr:rowOff>18675</xdr:rowOff>
    </xdr:from>
    <xdr:to>
      <xdr:col>7</xdr:col>
      <xdr:colOff>47625</xdr:colOff>
      <xdr:row>29</xdr:row>
      <xdr:rowOff>47250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E3BDCB48-3ACC-4262-8F99-CE68CE4FA5D7}"/>
            </a:ext>
          </a:extLst>
        </xdr:cNvPr>
        <xdr:cNvCxnSpPr>
          <a:stCxn id="8" idx="6"/>
          <a:endCxn id="5" idx="2"/>
        </xdr:cNvCxnSpPr>
      </xdr:nvCxnSpPr>
      <xdr:spPr>
        <a:xfrm>
          <a:off x="2990850" y="5543175"/>
          <a:ext cx="239077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733425</xdr:colOff>
      <xdr:row>20</xdr:row>
      <xdr:rowOff>190125</xdr:rowOff>
    </xdr:from>
    <xdr:to>
      <xdr:col>7</xdr:col>
      <xdr:colOff>47625</xdr:colOff>
      <xdr:row>21</xdr:row>
      <xdr:rowOff>18675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862F9DD-3FEA-46F2-A161-438C0C9B9DAD}"/>
            </a:ext>
          </a:extLst>
        </xdr:cNvPr>
        <xdr:cNvCxnSpPr>
          <a:stCxn id="4" idx="6"/>
          <a:endCxn id="16" idx="2"/>
        </xdr:cNvCxnSpPr>
      </xdr:nvCxnSpPr>
      <xdr:spPr>
        <a:xfrm>
          <a:off x="3019425" y="4000125"/>
          <a:ext cx="23622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16</xdr:row>
      <xdr:rowOff>180600</xdr:rowOff>
    </xdr:from>
    <xdr:to>
      <xdr:col>7</xdr:col>
      <xdr:colOff>47625</xdr:colOff>
      <xdr:row>17</xdr:row>
      <xdr:rowOff>9150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BFBF8DAA-4936-43D4-9F2F-0DAEC0A30D1C}"/>
            </a:ext>
          </a:extLst>
        </xdr:cNvPr>
        <xdr:cNvCxnSpPr>
          <a:stCxn id="13" idx="6"/>
          <a:endCxn id="9" idx="2"/>
        </xdr:cNvCxnSpPr>
      </xdr:nvCxnSpPr>
      <xdr:spPr>
        <a:xfrm>
          <a:off x="3781425" y="3228600"/>
          <a:ext cx="16002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12</xdr:row>
      <xdr:rowOff>132975</xdr:rowOff>
    </xdr:from>
    <xdr:to>
      <xdr:col>7</xdr:col>
      <xdr:colOff>47625</xdr:colOff>
      <xdr:row>12</xdr:row>
      <xdr:rowOff>132975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70B2694C-5A90-41CC-9E7F-36C6D9443D3C}"/>
            </a:ext>
          </a:extLst>
        </xdr:cNvPr>
        <xdr:cNvCxnSpPr>
          <a:stCxn id="2" idx="6"/>
          <a:endCxn id="6" idx="2"/>
        </xdr:cNvCxnSpPr>
      </xdr:nvCxnSpPr>
      <xdr:spPr>
        <a:xfrm>
          <a:off x="4552950" y="2418975"/>
          <a:ext cx="828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723900</xdr:colOff>
      <xdr:row>6</xdr:row>
      <xdr:rowOff>171075</xdr:rowOff>
    </xdr:from>
    <xdr:to>
      <xdr:col>9</xdr:col>
      <xdr:colOff>126218</xdr:colOff>
      <xdr:row>11</xdr:row>
      <xdr:rowOff>49908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3EC7DC4F-F2DD-49F9-97DE-E43A40715799}"/>
            </a:ext>
          </a:extLst>
        </xdr:cNvPr>
        <xdr:cNvCxnSpPr>
          <a:stCxn id="7" idx="6"/>
          <a:endCxn id="14" idx="1"/>
        </xdr:cNvCxnSpPr>
      </xdr:nvCxnSpPr>
      <xdr:spPr>
        <a:xfrm>
          <a:off x="6057900" y="1314075"/>
          <a:ext cx="926318" cy="831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12</xdr:row>
      <xdr:rowOff>94875</xdr:rowOff>
    </xdr:from>
    <xdr:to>
      <xdr:col>9</xdr:col>
      <xdr:colOff>28575</xdr:colOff>
      <xdr:row>12</xdr:row>
      <xdr:rowOff>132975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52207845-E83F-432C-AF1D-7525AE0CA9F4}"/>
            </a:ext>
          </a:extLst>
        </xdr:cNvPr>
        <xdr:cNvCxnSpPr>
          <a:stCxn id="6" idx="6"/>
          <a:endCxn id="14" idx="2"/>
        </xdr:cNvCxnSpPr>
      </xdr:nvCxnSpPr>
      <xdr:spPr>
        <a:xfrm flipV="1">
          <a:off x="6048375" y="2380875"/>
          <a:ext cx="8382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13</xdr:row>
      <xdr:rowOff>139842</xdr:rowOff>
    </xdr:from>
    <xdr:to>
      <xdr:col>9</xdr:col>
      <xdr:colOff>126218</xdr:colOff>
      <xdr:row>17</xdr:row>
      <xdr:rowOff>9150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26D85C73-4799-4BA0-9168-CE00A9490943}"/>
            </a:ext>
          </a:extLst>
        </xdr:cNvPr>
        <xdr:cNvCxnSpPr>
          <a:stCxn id="9" idx="6"/>
          <a:endCxn id="14" idx="3"/>
        </xdr:cNvCxnSpPr>
      </xdr:nvCxnSpPr>
      <xdr:spPr>
        <a:xfrm flipV="1">
          <a:off x="6048375" y="2616342"/>
          <a:ext cx="935843" cy="631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14</xdr:row>
      <xdr:rowOff>46875</xdr:rowOff>
    </xdr:from>
    <xdr:to>
      <xdr:col>9</xdr:col>
      <xdr:colOff>361950</xdr:colOff>
      <xdr:row>21</xdr:row>
      <xdr:rowOff>18675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72D280D-ADA8-4454-96D8-63E4A569F276}"/>
            </a:ext>
          </a:extLst>
        </xdr:cNvPr>
        <xdr:cNvCxnSpPr>
          <a:stCxn id="16" idx="6"/>
          <a:endCxn id="14" idx="4"/>
        </xdr:cNvCxnSpPr>
      </xdr:nvCxnSpPr>
      <xdr:spPr>
        <a:xfrm flipV="1">
          <a:off x="6048375" y="2713875"/>
          <a:ext cx="1171575" cy="130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14</xdr:row>
      <xdr:rowOff>46875</xdr:rowOff>
    </xdr:from>
    <xdr:to>
      <xdr:col>9</xdr:col>
      <xdr:colOff>361950</xdr:colOff>
      <xdr:row>29</xdr:row>
      <xdr:rowOff>47250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B616EDE-5634-491F-B728-A8BA1ADA43D5}"/>
            </a:ext>
          </a:extLst>
        </xdr:cNvPr>
        <xdr:cNvCxnSpPr>
          <a:stCxn id="5" idx="6"/>
          <a:endCxn id="14" idx="4"/>
        </xdr:cNvCxnSpPr>
      </xdr:nvCxnSpPr>
      <xdr:spPr>
        <a:xfrm flipV="1">
          <a:off x="6048375" y="2713875"/>
          <a:ext cx="1171575" cy="2857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733425</xdr:colOff>
      <xdr:row>14</xdr:row>
      <xdr:rowOff>46875</xdr:rowOff>
    </xdr:from>
    <xdr:to>
      <xdr:col>9</xdr:col>
      <xdr:colOff>361950</xdr:colOff>
      <xdr:row>35</xdr:row>
      <xdr:rowOff>85350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470BF6D3-4BCC-442E-83E7-780FDFC7EF87}"/>
            </a:ext>
          </a:extLst>
        </xdr:cNvPr>
        <xdr:cNvCxnSpPr>
          <a:stCxn id="17" idx="6"/>
          <a:endCxn id="14" idx="4"/>
        </xdr:cNvCxnSpPr>
      </xdr:nvCxnSpPr>
      <xdr:spPr>
        <a:xfrm flipV="1">
          <a:off x="6067425" y="2713875"/>
          <a:ext cx="1152525" cy="4038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695325</xdr:colOff>
      <xdr:row>12</xdr:row>
      <xdr:rowOff>94875</xdr:rowOff>
    </xdr:from>
    <xdr:to>
      <xdr:col>11</xdr:col>
      <xdr:colOff>47625</xdr:colOff>
      <xdr:row>12</xdr:row>
      <xdr:rowOff>94875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2BF7038F-D4BE-4A7D-AC14-CCB8B3473E6B}"/>
            </a:ext>
          </a:extLst>
        </xdr:cNvPr>
        <xdr:cNvCxnSpPr>
          <a:stCxn id="14" idx="6"/>
          <a:endCxn id="3" idx="2"/>
        </xdr:cNvCxnSpPr>
      </xdr:nvCxnSpPr>
      <xdr:spPr>
        <a:xfrm>
          <a:off x="7553325" y="2380875"/>
          <a:ext cx="876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714375</xdr:colOff>
      <xdr:row>12</xdr:row>
      <xdr:rowOff>94875</xdr:rowOff>
    </xdr:from>
    <xdr:to>
      <xdr:col>13</xdr:col>
      <xdr:colOff>66675</xdr:colOff>
      <xdr:row>12</xdr:row>
      <xdr:rowOff>94875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6F013EDE-908D-4ED9-91BC-923047B70406}"/>
            </a:ext>
          </a:extLst>
        </xdr:cNvPr>
        <xdr:cNvCxnSpPr>
          <a:stCxn id="3" idx="6"/>
          <a:endCxn id="15" idx="2"/>
        </xdr:cNvCxnSpPr>
      </xdr:nvCxnSpPr>
      <xdr:spPr>
        <a:xfrm>
          <a:off x="9096375" y="2380875"/>
          <a:ext cx="876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733425</xdr:colOff>
      <xdr:row>12</xdr:row>
      <xdr:rowOff>85350</xdr:rowOff>
    </xdr:from>
    <xdr:to>
      <xdr:col>15</xdr:col>
      <xdr:colOff>57150</xdr:colOff>
      <xdr:row>12</xdr:row>
      <xdr:rowOff>94875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7A97685A-5524-4718-8CD6-B3B72DC6D248}"/>
            </a:ext>
          </a:extLst>
        </xdr:cNvPr>
        <xdr:cNvCxnSpPr>
          <a:stCxn id="15" idx="6"/>
          <a:endCxn id="18" idx="2"/>
        </xdr:cNvCxnSpPr>
      </xdr:nvCxnSpPr>
      <xdr:spPr>
        <a:xfrm flipV="1">
          <a:off x="10639425" y="2371350"/>
          <a:ext cx="8477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12</xdr:row>
      <xdr:rowOff>85350</xdr:rowOff>
    </xdr:from>
    <xdr:to>
      <xdr:col>17</xdr:col>
      <xdr:colOff>57150</xdr:colOff>
      <xdr:row>12</xdr:row>
      <xdr:rowOff>85350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ADDC557A-38E2-4451-9A86-EEB52D5AD2BE}"/>
            </a:ext>
          </a:extLst>
        </xdr:cNvPr>
        <xdr:cNvCxnSpPr>
          <a:stCxn id="18" idx="6"/>
          <a:endCxn id="19" idx="2"/>
        </xdr:cNvCxnSpPr>
      </xdr:nvCxnSpPr>
      <xdr:spPr>
        <a:xfrm>
          <a:off x="12153900" y="237135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723900</xdr:colOff>
      <xdr:row>12</xdr:row>
      <xdr:rowOff>75825</xdr:rowOff>
    </xdr:from>
    <xdr:to>
      <xdr:col>19</xdr:col>
      <xdr:colOff>47625</xdr:colOff>
      <xdr:row>12</xdr:row>
      <xdr:rowOff>85350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12629817-E4F8-4B0A-B934-63BFCD773E41}"/>
            </a:ext>
          </a:extLst>
        </xdr:cNvPr>
        <xdr:cNvCxnSpPr>
          <a:stCxn id="19" idx="6"/>
          <a:endCxn id="20" idx="2"/>
        </xdr:cNvCxnSpPr>
      </xdr:nvCxnSpPr>
      <xdr:spPr>
        <a:xfrm flipV="1">
          <a:off x="13677900" y="2361825"/>
          <a:ext cx="8477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714375</xdr:colOff>
      <xdr:row>12</xdr:row>
      <xdr:rowOff>75825</xdr:rowOff>
    </xdr:from>
    <xdr:to>
      <xdr:col>21</xdr:col>
      <xdr:colOff>76200</xdr:colOff>
      <xdr:row>12</xdr:row>
      <xdr:rowOff>75825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96279B51-04E0-4531-AB51-CBF4EC222368}"/>
            </a:ext>
          </a:extLst>
        </xdr:cNvPr>
        <xdr:cNvCxnSpPr>
          <a:stCxn id="20" idx="6"/>
          <a:endCxn id="21" idx="2"/>
        </xdr:cNvCxnSpPr>
      </xdr:nvCxnSpPr>
      <xdr:spPr>
        <a:xfrm>
          <a:off x="15192375" y="2361825"/>
          <a:ext cx="885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742950</xdr:colOff>
      <xdr:row>12</xdr:row>
      <xdr:rowOff>75825</xdr:rowOff>
    </xdr:from>
    <xdr:to>
      <xdr:col>23</xdr:col>
      <xdr:colOff>57150</xdr:colOff>
      <xdr:row>12</xdr:row>
      <xdr:rowOff>75825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91DB8C26-89E5-45FC-8A21-4A2207403B61}"/>
            </a:ext>
          </a:extLst>
        </xdr:cNvPr>
        <xdr:cNvCxnSpPr>
          <a:stCxn id="21" idx="6"/>
          <a:endCxn id="22" idx="2"/>
        </xdr:cNvCxnSpPr>
      </xdr:nvCxnSpPr>
      <xdr:spPr>
        <a:xfrm>
          <a:off x="16744950" y="2361825"/>
          <a:ext cx="838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723900</xdr:colOff>
      <xdr:row>12</xdr:row>
      <xdr:rowOff>75825</xdr:rowOff>
    </xdr:from>
    <xdr:to>
      <xdr:col>25</xdr:col>
      <xdr:colOff>38100</xdr:colOff>
      <xdr:row>12</xdr:row>
      <xdr:rowOff>75825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DCCDB02F-5342-4AFA-AF78-7C3931CAAAE1}"/>
            </a:ext>
          </a:extLst>
        </xdr:cNvPr>
        <xdr:cNvCxnSpPr>
          <a:stCxn id="22" idx="6"/>
          <a:endCxn id="23" idx="2"/>
        </xdr:cNvCxnSpPr>
      </xdr:nvCxnSpPr>
      <xdr:spPr>
        <a:xfrm>
          <a:off x="18249900" y="2361825"/>
          <a:ext cx="838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704850</xdr:colOff>
      <xdr:row>12</xdr:row>
      <xdr:rowOff>75825</xdr:rowOff>
    </xdr:from>
    <xdr:to>
      <xdr:col>26</xdr:col>
      <xdr:colOff>504825</xdr:colOff>
      <xdr:row>12</xdr:row>
      <xdr:rowOff>75825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B17E994E-F4C5-4F98-BA4B-62461F6CD9B3}"/>
            </a:ext>
          </a:extLst>
        </xdr:cNvPr>
        <xdr:cNvCxnSpPr>
          <a:stCxn id="23" idx="6"/>
          <a:endCxn id="24" idx="2"/>
        </xdr:cNvCxnSpPr>
      </xdr:nvCxnSpPr>
      <xdr:spPr>
        <a:xfrm>
          <a:off x="19754850" y="2361825"/>
          <a:ext cx="561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26</xdr:row>
      <xdr:rowOff>132600</xdr:rowOff>
    </xdr:from>
    <xdr:to>
      <xdr:col>7</xdr:col>
      <xdr:colOff>66675</xdr:colOff>
      <xdr:row>35</xdr:row>
      <xdr:rowOff>85350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1D8B9060-C311-4321-86FC-E240C6E80898}"/>
            </a:ext>
          </a:extLst>
        </xdr:cNvPr>
        <xdr:cNvCxnSpPr>
          <a:stCxn id="10" idx="4"/>
          <a:endCxn id="17" idx="2"/>
        </xdr:cNvCxnSpPr>
      </xdr:nvCxnSpPr>
      <xdr:spPr>
        <a:xfrm rot="16200000" flipH="1">
          <a:off x="2823975" y="4176150"/>
          <a:ext cx="1667250" cy="34861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285751</xdr:colOff>
      <xdr:row>8</xdr:row>
      <xdr:rowOff>76200</xdr:rowOff>
    </xdr:from>
    <xdr:to>
      <xdr:col>1</xdr:col>
      <xdr:colOff>619125</xdr:colOff>
      <xdr:row>9</xdr:row>
      <xdr:rowOff>142875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C9D4383B-8CA7-44F3-99AE-28652DE1D57D}"/>
            </a:ext>
          </a:extLst>
        </xdr:cNvPr>
        <xdr:cNvSpPr txBox="1"/>
      </xdr:nvSpPr>
      <xdr:spPr>
        <a:xfrm>
          <a:off x="1047751" y="1600200"/>
          <a:ext cx="333374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</a:t>
          </a:r>
        </a:p>
        <a:p>
          <a:endParaRPr lang="es-MX" sz="1100"/>
        </a:p>
        <a:p>
          <a:endParaRPr lang="es-MX" sz="1100"/>
        </a:p>
      </xdr:txBody>
    </xdr:sp>
    <xdr:clientData/>
  </xdr:twoCellAnchor>
  <xdr:twoCellAnchor>
    <xdr:from>
      <xdr:col>4</xdr:col>
      <xdr:colOff>514351</xdr:colOff>
      <xdr:row>4</xdr:row>
      <xdr:rowOff>123825</xdr:rowOff>
    </xdr:from>
    <xdr:to>
      <xdr:col>5</xdr:col>
      <xdr:colOff>85725</xdr:colOff>
      <xdr:row>6</xdr:row>
      <xdr:rowOff>28575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24015A49-6024-4941-9808-1B978506046A}"/>
            </a:ext>
          </a:extLst>
        </xdr:cNvPr>
        <xdr:cNvSpPr txBox="1"/>
      </xdr:nvSpPr>
      <xdr:spPr>
        <a:xfrm>
          <a:off x="3562351" y="885825"/>
          <a:ext cx="3333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64</a:t>
          </a:r>
        </a:p>
      </xdr:txBody>
    </xdr:sp>
    <xdr:clientData/>
  </xdr:twoCellAnchor>
  <xdr:twoCellAnchor>
    <xdr:from>
      <xdr:col>8</xdr:col>
      <xdr:colOff>533401</xdr:colOff>
      <xdr:row>7</xdr:row>
      <xdr:rowOff>9525</xdr:rowOff>
    </xdr:from>
    <xdr:to>
      <xdr:col>9</xdr:col>
      <xdr:colOff>38101</xdr:colOff>
      <xdr:row>8</xdr:row>
      <xdr:rowOff>104775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5D55BBEB-354E-4A78-A796-3CF1EF4E4644}"/>
            </a:ext>
          </a:extLst>
        </xdr:cNvPr>
        <xdr:cNvSpPr txBox="1"/>
      </xdr:nvSpPr>
      <xdr:spPr>
        <a:xfrm>
          <a:off x="6629401" y="1343025"/>
          <a:ext cx="266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8</a:t>
          </a:r>
        </a:p>
        <a:p>
          <a:endParaRPr lang="es-MX" sz="1100"/>
        </a:p>
      </xdr:txBody>
    </xdr:sp>
    <xdr:clientData/>
  </xdr:twoCellAnchor>
  <xdr:twoCellAnchor>
    <xdr:from>
      <xdr:col>10</xdr:col>
      <xdr:colOff>152400</xdr:colOff>
      <xdr:row>10</xdr:row>
      <xdr:rowOff>104775</xdr:rowOff>
    </xdr:from>
    <xdr:to>
      <xdr:col>10</xdr:col>
      <xdr:colOff>552449</xdr:colOff>
      <xdr:row>12</xdr:row>
      <xdr:rowOff>9525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69EDFB1E-532E-4C0B-9E96-61CC7262DF2F}"/>
            </a:ext>
          </a:extLst>
        </xdr:cNvPr>
        <xdr:cNvSpPr txBox="1"/>
      </xdr:nvSpPr>
      <xdr:spPr>
        <a:xfrm>
          <a:off x="7772400" y="2009775"/>
          <a:ext cx="400049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120</a:t>
          </a:r>
        </a:p>
        <a:p>
          <a:endParaRPr lang="es-MX" sz="1100"/>
        </a:p>
      </xdr:txBody>
    </xdr:sp>
    <xdr:clientData/>
  </xdr:twoCellAnchor>
  <xdr:twoCellAnchor>
    <xdr:from>
      <xdr:col>3</xdr:col>
      <xdr:colOff>257176</xdr:colOff>
      <xdr:row>10</xdr:row>
      <xdr:rowOff>142875</xdr:rowOff>
    </xdr:from>
    <xdr:to>
      <xdr:col>3</xdr:col>
      <xdr:colOff>628650</xdr:colOff>
      <xdr:row>12</xdr:row>
      <xdr:rowOff>47625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D432A35B-4223-42D1-9DE0-92738AE702A4}"/>
            </a:ext>
          </a:extLst>
        </xdr:cNvPr>
        <xdr:cNvSpPr txBox="1"/>
      </xdr:nvSpPr>
      <xdr:spPr>
        <a:xfrm>
          <a:off x="2543176" y="2047875"/>
          <a:ext cx="3714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</a:t>
          </a:r>
        </a:p>
        <a:p>
          <a:endParaRPr lang="es-MX" sz="1100"/>
        </a:p>
      </xdr:txBody>
    </xdr:sp>
    <xdr:clientData/>
  </xdr:twoCellAnchor>
  <xdr:twoCellAnchor>
    <xdr:from>
      <xdr:col>3</xdr:col>
      <xdr:colOff>542925</xdr:colOff>
      <xdr:row>13</xdr:row>
      <xdr:rowOff>76200</xdr:rowOff>
    </xdr:from>
    <xdr:to>
      <xdr:col>4</xdr:col>
      <xdr:colOff>161925</xdr:colOff>
      <xdr:row>14</xdr:row>
      <xdr:rowOff>171450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EE4E4383-ED59-41D6-8282-4E4929B119CA}"/>
            </a:ext>
          </a:extLst>
        </xdr:cNvPr>
        <xdr:cNvSpPr txBox="1"/>
      </xdr:nvSpPr>
      <xdr:spPr>
        <a:xfrm>
          <a:off x="2828925" y="2552700"/>
          <a:ext cx="3810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</a:t>
          </a:r>
        </a:p>
        <a:p>
          <a:endParaRPr lang="es-MX" sz="1100"/>
        </a:p>
      </xdr:txBody>
    </xdr:sp>
    <xdr:clientData/>
  </xdr:twoCellAnchor>
  <xdr:twoCellAnchor>
    <xdr:from>
      <xdr:col>2</xdr:col>
      <xdr:colOff>638176</xdr:colOff>
      <xdr:row>16</xdr:row>
      <xdr:rowOff>57150</xdr:rowOff>
    </xdr:from>
    <xdr:to>
      <xdr:col>3</xdr:col>
      <xdr:colOff>209550</xdr:colOff>
      <xdr:row>17</xdr:row>
      <xdr:rowOff>152400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9517676D-E46C-47AA-BCB1-7BDEA8F319F9}"/>
            </a:ext>
          </a:extLst>
        </xdr:cNvPr>
        <xdr:cNvSpPr txBox="1"/>
      </xdr:nvSpPr>
      <xdr:spPr>
        <a:xfrm>
          <a:off x="2162176" y="3105150"/>
          <a:ext cx="3333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</a:t>
          </a:r>
        </a:p>
        <a:p>
          <a:endParaRPr lang="es-MX" sz="1100"/>
        </a:p>
      </xdr:txBody>
    </xdr:sp>
    <xdr:clientData/>
  </xdr:twoCellAnchor>
  <xdr:twoCellAnchor>
    <xdr:from>
      <xdr:col>2</xdr:col>
      <xdr:colOff>28576</xdr:colOff>
      <xdr:row>17</xdr:row>
      <xdr:rowOff>180975</xdr:rowOff>
    </xdr:from>
    <xdr:to>
      <xdr:col>2</xdr:col>
      <xdr:colOff>381000</xdr:colOff>
      <xdr:row>19</xdr:row>
      <xdr:rowOff>85725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675C8FA0-2D90-4A2E-9C92-95E9695B40DC}"/>
            </a:ext>
          </a:extLst>
        </xdr:cNvPr>
        <xdr:cNvSpPr txBox="1"/>
      </xdr:nvSpPr>
      <xdr:spPr>
        <a:xfrm>
          <a:off x="1552576" y="3419475"/>
          <a:ext cx="35242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</a:t>
          </a:r>
        </a:p>
        <a:p>
          <a:endParaRPr lang="es-MX" sz="1100"/>
        </a:p>
      </xdr:txBody>
    </xdr:sp>
    <xdr:clientData/>
  </xdr:twoCellAnchor>
  <xdr:twoCellAnchor>
    <xdr:from>
      <xdr:col>4</xdr:col>
      <xdr:colOff>95250</xdr:colOff>
      <xdr:row>33</xdr:row>
      <xdr:rowOff>123825</xdr:rowOff>
    </xdr:from>
    <xdr:to>
      <xdr:col>4</xdr:col>
      <xdr:colOff>438149</xdr:colOff>
      <xdr:row>35</xdr:row>
      <xdr:rowOff>28575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1C2ACBFE-E9C4-4EEF-807F-F1170EE6914E}"/>
            </a:ext>
          </a:extLst>
        </xdr:cNvPr>
        <xdr:cNvSpPr txBox="1"/>
      </xdr:nvSpPr>
      <xdr:spPr>
        <a:xfrm>
          <a:off x="3143250" y="6410325"/>
          <a:ext cx="342899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24</a:t>
          </a:r>
        </a:p>
        <a:p>
          <a:endParaRPr lang="es-MX" sz="1100"/>
        </a:p>
      </xdr:txBody>
    </xdr:sp>
    <xdr:clientData/>
  </xdr:twoCellAnchor>
  <xdr:twoCellAnchor>
    <xdr:from>
      <xdr:col>5</xdr:col>
      <xdr:colOff>85725</xdr:colOff>
      <xdr:row>27</xdr:row>
      <xdr:rowOff>57150</xdr:rowOff>
    </xdr:from>
    <xdr:to>
      <xdr:col>5</xdr:col>
      <xdr:colOff>428624</xdr:colOff>
      <xdr:row>28</xdr:row>
      <xdr:rowOff>152400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61529D7E-6B08-4ED4-AD19-B9C6B9F8187F}"/>
            </a:ext>
          </a:extLst>
        </xdr:cNvPr>
        <xdr:cNvSpPr txBox="1"/>
      </xdr:nvSpPr>
      <xdr:spPr>
        <a:xfrm>
          <a:off x="3895725" y="5200650"/>
          <a:ext cx="342899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24</a:t>
          </a:r>
        </a:p>
        <a:p>
          <a:endParaRPr lang="es-MX" sz="1100"/>
        </a:p>
      </xdr:txBody>
    </xdr:sp>
    <xdr:clientData/>
  </xdr:twoCellAnchor>
  <xdr:twoCellAnchor>
    <xdr:from>
      <xdr:col>5</xdr:col>
      <xdr:colOff>190500</xdr:colOff>
      <xdr:row>19</xdr:row>
      <xdr:rowOff>47625</xdr:rowOff>
    </xdr:from>
    <xdr:to>
      <xdr:col>5</xdr:col>
      <xdr:colOff>533399</xdr:colOff>
      <xdr:row>20</xdr:row>
      <xdr:rowOff>142875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597A656D-2160-4C3A-981A-98BCF93584AF}"/>
            </a:ext>
          </a:extLst>
        </xdr:cNvPr>
        <xdr:cNvSpPr txBox="1"/>
      </xdr:nvSpPr>
      <xdr:spPr>
        <a:xfrm>
          <a:off x="4000500" y="3667125"/>
          <a:ext cx="342899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</a:t>
          </a:r>
        </a:p>
        <a:p>
          <a:endParaRPr lang="es-MX" sz="1100"/>
        </a:p>
      </xdr:txBody>
    </xdr:sp>
    <xdr:clientData/>
  </xdr:twoCellAnchor>
  <xdr:twoCellAnchor>
    <xdr:from>
      <xdr:col>5</xdr:col>
      <xdr:colOff>647701</xdr:colOff>
      <xdr:row>15</xdr:row>
      <xdr:rowOff>47625</xdr:rowOff>
    </xdr:from>
    <xdr:to>
      <xdr:col>6</xdr:col>
      <xdr:colOff>219075</xdr:colOff>
      <xdr:row>16</xdr:row>
      <xdr:rowOff>142875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24886C6E-91C3-4926-9D1B-21E817CF119D}"/>
            </a:ext>
          </a:extLst>
        </xdr:cNvPr>
        <xdr:cNvSpPr txBox="1"/>
      </xdr:nvSpPr>
      <xdr:spPr>
        <a:xfrm>
          <a:off x="4457701" y="2905125"/>
          <a:ext cx="3333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</a:t>
          </a:r>
        </a:p>
        <a:p>
          <a:endParaRPr lang="es-MX" sz="1100"/>
        </a:p>
      </xdr:txBody>
    </xdr:sp>
    <xdr:clientData/>
  </xdr:twoCellAnchor>
  <xdr:twoCellAnchor>
    <xdr:from>
      <xdr:col>6</xdr:col>
      <xdr:colOff>200026</xdr:colOff>
      <xdr:row>10</xdr:row>
      <xdr:rowOff>171450</xdr:rowOff>
    </xdr:from>
    <xdr:to>
      <xdr:col>6</xdr:col>
      <xdr:colOff>552450</xdr:colOff>
      <xdr:row>12</xdr:row>
      <xdr:rowOff>76200</xdr:rowOff>
    </xdr:to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B9C8281A-1FDE-42B9-AB00-F0D088C8F6D5}"/>
            </a:ext>
          </a:extLst>
        </xdr:cNvPr>
        <xdr:cNvSpPr txBox="1"/>
      </xdr:nvSpPr>
      <xdr:spPr>
        <a:xfrm>
          <a:off x="4772026" y="2076450"/>
          <a:ext cx="35242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</a:t>
          </a:r>
        </a:p>
        <a:p>
          <a:endParaRPr lang="es-MX" sz="1100"/>
        </a:p>
      </xdr:txBody>
    </xdr:sp>
    <xdr:clientData/>
  </xdr:twoCellAnchor>
  <xdr:twoCellAnchor>
    <xdr:from>
      <xdr:col>8</xdr:col>
      <xdr:colOff>142876</xdr:colOff>
      <xdr:row>10</xdr:row>
      <xdr:rowOff>161925</xdr:rowOff>
    </xdr:from>
    <xdr:to>
      <xdr:col>8</xdr:col>
      <xdr:colOff>409576</xdr:colOff>
      <xdr:row>12</xdr:row>
      <xdr:rowOff>66675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ECF9DD4B-3115-4E9C-92F8-E955CA27FAE6}"/>
            </a:ext>
          </a:extLst>
        </xdr:cNvPr>
        <xdr:cNvSpPr txBox="1"/>
      </xdr:nvSpPr>
      <xdr:spPr>
        <a:xfrm>
          <a:off x="6238876" y="2066925"/>
          <a:ext cx="266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8</a:t>
          </a:r>
        </a:p>
        <a:p>
          <a:endParaRPr lang="es-MX" sz="1100"/>
        </a:p>
      </xdr:txBody>
    </xdr:sp>
    <xdr:clientData/>
  </xdr:twoCellAnchor>
  <xdr:twoCellAnchor>
    <xdr:from>
      <xdr:col>8</xdr:col>
      <xdr:colOff>133351</xdr:colOff>
      <xdr:row>14</xdr:row>
      <xdr:rowOff>47625</xdr:rowOff>
    </xdr:from>
    <xdr:to>
      <xdr:col>8</xdr:col>
      <xdr:colOff>400051</xdr:colOff>
      <xdr:row>15</xdr:row>
      <xdr:rowOff>142875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AE827169-5BD2-45C6-B276-23325AB00A36}"/>
            </a:ext>
          </a:extLst>
        </xdr:cNvPr>
        <xdr:cNvSpPr txBox="1"/>
      </xdr:nvSpPr>
      <xdr:spPr>
        <a:xfrm>
          <a:off x="6229351" y="2714625"/>
          <a:ext cx="266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8</a:t>
          </a:r>
        </a:p>
        <a:p>
          <a:endParaRPr lang="es-MX" sz="1100"/>
        </a:p>
      </xdr:txBody>
    </xdr:sp>
    <xdr:clientData/>
  </xdr:twoCellAnchor>
  <xdr:twoCellAnchor>
    <xdr:from>
      <xdr:col>8</xdr:col>
      <xdr:colOff>152401</xdr:colOff>
      <xdr:row>17</xdr:row>
      <xdr:rowOff>85725</xdr:rowOff>
    </xdr:from>
    <xdr:to>
      <xdr:col>8</xdr:col>
      <xdr:colOff>419101</xdr:colOff>
      <xdr:row>18</xdr:row>
      <xdr:rowOff>180975</xdr:rowOff>
    </xdr:to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2FE4BCEF-39E6-4728-80B6-5E0A027952AE}"/>
            </a:ext>
          </a:extLst>
        </xdr:cNvPr>
        <xdr:cNvSpPr txBox="1"/>
      </xdr:nvSpPr>
      <xdr:spPr>
        <a:xfrm>
          <a:off x="6248401" y="3324225"/>
          <a:ext cx="266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8</a:t>
          </a:r>
        </a:p>
        <a:p>
          <a:endParaRPr lang="es-MX" sz="1100"/>
        </a:p>
      </xdr:txBody>
    </xdr:sp>
    <xdr:clientData/>
  </xdr:twoCellAnchor>
  <xdr:twoCellAnchor>
    <xdr:from>
      <xdr:col>8</xdr:col>
      <xdr:colOff>85726</xdr:colOff>
      <xdr:row>22</xdr:row>
      <xdr:rowOff>104775</xdr:rowOff>
    </xdr:from>
    <xdr:to>
      <xdr:col>8</xdr:col>
      <xdr:colOff>352426</xdr:colOff>
      <xdr:row>24</xdr:row>
      <xdr:rowOff>9525</xdr:rowOff>
    </xdr:to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979D6F44-DE52-4DAA-B35F-460AB6154972}"/>
            </a:ext>
          </a:extLst>
        </xdr:cNvPr>
        <xdr:cNvSpPr txBox="1"/>
      </xdr:nvSpPr>
      <xdr:spPr>
        <a:xfrm>
          <a:off x="6181726" y="4295775"/>
          <a:ext cx="266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8</a:t>
          </a:r>
        </a:p>
        <a:p>
          <a:endParaRPr lang="es-MX" sz="1100"/>
        </a:p>
      </xdr:txBody>
    </xdr:sp>
    <xdr:clientData/>
  </xdr:twoCellAnchor>
  <xdr:twoCellAnchor>
    <xdr:from>
      <xdr:col>8</xdr:col>
      <xdr:colOff>495301</xdr:colOff>
      <xdr:row>27</xdr:row>
      <xdr:rowOff>0</xdr:rowOff>
    </xdr:from>
    <xdr:to>
      <xdr:col>9</xdr:col>
      <xdr:colOff>1</xdr:colOff>
      <xdr:row>28</xdr:row>
      <xdr:rowOff>95250</xdr:rowOff>
    </xdr:to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768D4946-5DFB-4F4B-9221-CC5AC4D8F217}"/>
            </a:ext>
          </a:extLst>
        </xdr:cNvPr>
        <xdr:cNvSpPr txBox="1"/>
      </xdr:nvSpPr>
      <xdr:spPr>
        <a:xfrm>
          <a:off x="6591301" y="5143500"/>
          <a:ext cx="266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8</a:t>
          </a:r>
        </a:p>
        <a:p>
          <a:endParaRPr lang="es-MX" sz="1100"/>
        </a:p>
      </xdr:txBody>
    </xdr:sp>
    <xdr:clientData/>
  </xdr:twoCellAnchor>
  <xdr:twoCellAnchor>
    <xdr:from>
      <xdr:col>12</xdr:col>
      <xdr:colOff>209550</xdr:colOff>
      <xdr:row>10</xdr:row>
      <xdr:rowOff>95250</xdr:rowOff>
    </xdr:from>
    <xdr:to>
      <xdr:col>12</xdr:col>
      <xdr:colOff>571499</xdr:colOff>
      <xdr:row>12</xdr:row>
      <xdr:rowOff>0</xdr:rowOff>
    </xdr:to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68BDEAFE-2480-4DBB-8574-508BFD9CEB5B}"/>
            </a:ext>
          </a:extLst>
        </xdr:cNvPr>
        <xdr:cNvSpPr txBox="1"/>
      </xdr:nvSpPr>
      <xdr:spPr>
        <a:xfrm>
          <a:off x="9353550" y="2000250"/>
          <a:ext cx="361949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</a:t>
          </a:r>
        </a:p>
        <a:p>
          <a:endParaRPr lang="es-MX" sz="1100"/>
        </a:p>
      </xdr:txBody>
    </xdr:sp>
    <xdr:clientData/>
  </xdr:twoCellAnchor>
  <xdr:twoCellAnchor>
    <xdr:from>
      <xdr:col>14</xdr:col>
      <xdr:colOff>200026</xdr:colOff>
      <xdr:row>10</xdr:row>
      <xdr:rowOff>85725</xdr:rowOff>
    </xdr:from>
    <xdr:to>
      <xdr:col>14</xdr:col>
      <xdr:colOff>609600</xdr:colOff>
      <xdr:row>11</xdr:row>
      <xdr:rowOff>180975</xdr:rowOff>
    </xdr:to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8366658F-1A9F-4DDC-A228-DBB7CB442CDE}"/>
            </a:ext>
          </a:extLst>
        </xdr:cNvPr>
        <xdr:cNvSpPr txBox="1"/>
      </xdr:nvSpPr>
      <xdr:spPr>
        <a:xfrm>
          <a:off x="10868026" y="1990725"/>
          <a:ext cx="4095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160</a:t>
          </a:r>
        </a:p>
        <a:p>
          <a:endParaRPr lang="es-MX" sz="1100"/>
        </a:p>
      </xdr:txBody>
    </xdr:sp>
    <xdr:clientData/>
  </xdr:twoCellAnchor>
  <xdr:twoCellAnchor>
    <xdr:from>
      <xdr:col>16</xdr:col>
      <xdr:colOff>161925</xdr:colOff>
      <xdr:row>10</xdr:row>
      <xdr:rowOff>76200</xdr:rowOff>
    </xdr:from>
    <xdr:to>
      <xdr:col>16</xdr:col>
      <xdr:colOff>504824</xdr:colOff>
      <xdr:row>11</xdr:row>
      <xdr:rowOff>171450</xdr:rowOff>
    </xdr:to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614CE5AD-78F3-4703-8682-18F408BC8D1E}"/>
            </a:ext>
          </a:extLst>
        </xdr:cNvPr>
        <xdr:cNvSpPr txBox="1"/>
      </xdr:nvSpPr>
      <xdr:spPr>
        <a:xfrm>
          <a:off x="12353925" y="1981200"/>
          <a:ext cx="342899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10</a:t>
          </a:r>
        </a:p>
        <a:p>
          <a:endParaRPr lang="es-MX" sz="1100"/>
        </a:p>
      </xdr:txBody>
    </xdr:sp>
    <xdr:clientData/>
  </xdr:twoCellAnchor>
  <xdr:twoCellAnchor>
    <xdr:from>
      <xdr:col>18</xdr:col>
      <xdr:colOff>180976</xdr:colOff>
      <xdr:row>10</xdr:row>
      <xdr:rowOff>47625</xdr:rowOff>
    </xdr:from>
    <xdr:to>
      <xdr:col>18</xdr:col>
      <xdr:colOff>514350</xdr:colOff>
      <xdr:row>11</xdr:row>
      <xdr:rowOff>142875</xdr:rowOff>
    </xdr:to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941F2BCB-D1FA-4584-825E-935C8DCF4693}"/>
            </a:ext>
          </a:extLst>
        </xdr:cNvPr>
        <xdr:cNvSpPr txBox="1"/>
      </xdr:nvSpPr>
      <xdr:spPr>
        <a:xfrm>
          <a:off x="13896976" y="1952625"/>
          <a:ext cx="3333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32</a:t>
          </a:r>
        </a:p>
        <a:p>
          <a:endParaRPr lang="es-MX" sz="1100"/>
        </a:p>
      </xdr:txBody>
    </xdr:sp>
    <xdr:clientData/>
  </xdr:twoCellAnchor>
  <xdr:twoCellAnchor>
    <xdr:from>
      <xdr:col>20</xdr:col>
      <xdr:colOff>171451</xdr:colOff>
      <xdr:row>10</xdr:row>
      <xdr:rowOff>28575</xdr:rowOff>
    </xdr:from>
    <xdr:to>
      <xdr:col>20</xdr:col>
      <xdr:colOff>504825</xdr:colOff>
      <xdr:row>11</xdr:row>
      <xdr:rowOff>123825</xdr:rowOff>
    </xdr:to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7D514414-FC21-4885-9BAC-86D834157A4D}"/>
            </a:ext>
          </a:extLst>
        </xdr:cNvPr>
        <xdr:cNvSpPr txBox="1"/>
      </xdr:nvSpPr>
      <xdr:spPr>
        <a:xfrm>
          <a:off x="15411451" y="1933575"/>
          <a:ext cx="3333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12</a:t>
          </a:r>
        </a:p>
        <a:p>
          <a:endParaRPr lang="es-MX" sz="1100"/>
        </a:p>
      </xdr:txBody>
    </xdr:sp>
    <xdr:clientData/>
  </xdr:twoCellAnchor>
  <xdr:twoCellAnchor>
    <xdr:from>
      <xdr:col>22</xdr:col>
      <xdr:colOff>228601</xdr:colOff>
      <xdr:row>10</xdr:row>
      <xdr:rowOff>57150</xdr:rowOff>
    </xdr:from>
    <xdr:to>
      <xdr:col>22</xdr:col>
      <xdr:colOff>581025</xdr:colOff>
      <xdr:row>11</xdr:row>
      <xdr:rowOff>152400</xdr:rowOff>
    </xdr:to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E863F75E-5123-4C33-86FB-F5ECB3E82ADE}"/>
            </a:ext>
          </a:extLst>
        </xdr:cNvPr>
        <xdr:cNvSpPr txBox="1"/>
      </xdr:nvSpPr>
      <xdr:spPr>
        <a:xfrm>
          <a:off x="16992601" y="1962150"/>
          <a:ext cx="35242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10</a:t>
          </a:r>
        </a:p>
        <a:p>
          <a:endParaRPr lang="es-MX" sz="1100"/>
        </a:p>
      </xdr:txBody>
    </xdr:sp>
    <xdr:clientData/>
  </xdr:twoCellAnchor>
  <xdr:twoCellAnchor>
    <xdr:from>
      <xdr:col>24</xdr:col>
      <xdr:colOff>180976</xdr:colOff>
      <xdr:row>10</xdr:row>
      <xdr:rowOff>66675</xdr:rowOff>
    </xdr:from>
    <xdr:to>
      <xdr:col>24</xdr:col>
      <xdr:colOff>447676</xdr:colOff>
      <xdr:row>11</xdr:row>
      <xdr:rowOff>161925</xdr:rowOff>
    </xdr:to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96D17E0F-0D4C-47E3-974D-57F5336112DC}"/>
            </a:ext>
          </a:extLst>
        </xdr:cNvPr>
        <xdr:cNvSpPr txBox="1"/>
      </xdr:nvSpPr>
      <xdr:spPr>
        <a:xfrm>
          <a:off x="18468976" y="1971675"/>
          <a:ext cx="266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</a:t>
          </a:r>
        </a:p>
        <a:p>
          <a:endParaRPr lang="es-MX" sz="1100"/>
        </a:p>
      </xdr:txBody>
    </xdr:sp>
    <xdr:clientData/>
  </xdr:twoCellAnchor>
  <xdr:twoCellAnchor>
    <xdr:from>
      <xdr:col>26</xdr:col>
      <xdr:colOff>19051</xdr:colOff>
      <xdr:row>10</xdr:row>
      <xdr:rowOff>47625</xdr:rowOff>
    </xdr:from>
    <xdr:to>
      <xdr:col>26</xdr:col>
      <xdr:colOff>352425</xdr:colOff>
      <xdr:row>11</xdr:row>
      <xdr:rowOff>142875</xdr:rowOff>
    </xdr:to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5B9F9F80-8ADC-42E0-80CF-FE451D5CB236}"/>
            </a:ext>
          </a:extLst>
        </xdr:cNvPr>
        <xdr:cNvSpPr txBox="1"/>
      </xdr:nvSpPr>
      <xdr:spPr>
        <a:xfrm>
          <a:off x="19831051" y="1952625"/>
          <a:ext cx="3333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10</a:t>
          </a:r>
        </a:p>
        <a:p>
          <a:endParaRPr lang="es-MX" sz="1100"/>
        </a:p>
      </xdr:txBody>
    </xdr:sp>
    <xdr:clientData/>
  </xdr:twoCellAnchor>
  <xdr:twoCellAnchor>
    <xdr:from>
      <xdr:col>3</xdr:col>
      <xdr:colOff>38101</xdr:colOff>
      <xdr:row>25</xdr:row>
      <xdr:rowOff>76200</xdr:rowOff>
    </xdr:from>
    <xdr:to>
      <xdr:col>3</xdr:col>
      <xdr:colOff>371475</xdr:colOff>
      <xdr:row>26</xdr:row>
      <xdr:rowOff>171450</xdr:rowOff>
    </xdr:to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44A3A507-EABF-4FCF-9E83-9CFEC9EF0169}"/>
            </a:ext>
          </a:extLst>
        </xdr:cNvPr>
        <xdr:cNvSpPr txBox="1"/>
      </xdr:nvSpPr>
      <xdr:spPr>
        <a:xfrm>
          <a:off x="2324101" y="4838700"/>
          <a:ext cx="3333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24</a:t>
          </a:r>
        </a:p>
        <a:p>
          <a:endParaRPr lang="es-MX" sz="1100"/>
        </a:p>
      </xdr:txBody>
    </xdr:sp>
    <xdr:clientData/>
  </xdr:twoCellAnchor>
  <xdr:twoCellAnchor>
    <xdr:from>
      <xdr:col>27</xdr:col>
      <xdr:colOff>514351</xdr:colOff>
      <xdr:row>10</xdr:row>
      <xdr:rowOff>9525</xdr:rowOff>
    </xdr:from>
    <xdr:to>
      <xdr:col>28</xdr:col>
      <xdr:colOff>85725</xdr:colOff>
      <xdr:row>11</xdr:row>
      <xdr:rowOff>104775</xdr:rowOff>
    </xdr:to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317E02B1-AC36-4EF2-83DD-A6B5BC34C73D}"/>
            </a:ext>
          </a:extLst>
        </xdr:cNvPr>
        <xdr:cNvSpPr txBox="1"/>
      </xdr:nvSpPr>
      <xdr:spPr>
        <a:xfrm>
          <a:off x="21088351" y="1914525"/>
          <a:ext cx="33337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32</a:t>
          </a:r>
        </a:p>
        <a:p>
          <a:endParaRPr lang="es-MX" sz="1100"/>
        </a:p>
      </xdr:txBody>
    </xdr:sp>
    <xdr:clientData/>
  </xdr:twoCellAnchor>
  <xdr:twoCellAnchor>
    <xdr:from>
      <xdr:col>28</xdr:col>
      <xdr:colOff>190500</xdr:colOff>
      <xdr:row>10</xdr:row>
      <xdr:rowOff>123825</xdr:rowOff>
    </xdr:from>
    <xdr:to>
      <xdr:col>29</xdr:col>
      <xdr:colOff>95250</xdr:colOff>
      <xdr:row>14</xdr:row>
      <xdr:rowOff>27825</xdr:rowOff>
    </xdr:to>
    <xdr:sp macro="" textlink="">
      <xdr:nvSpPr>
        <xdr:cNvPr id="104" name="Elipse 103">
          <a:extLst>
            <a:ext uri="{FF2B5EF4-FFF2-40B4-BE49-F238E27FC236}">
              <a16:creationId xmlns:a16="http://schemas.microsoft.com/office/drawing/2014/main" id="{81A80DEA-CEF6-4DA1-A5FF-7FC186A59414}"/>
            </a:ext>
          </a:extLst>
        </xdr:cNvPr>
        <xdr:cNvSpPr/>
      </xdr:nvSpPr>
      <xdr:spPr>
        <a:xfrm>
          <a:off x="21526500" y="2028825"/>
          <a:ext cx="666750" cy="66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Fin</a:t>
          </a:r>
        </a:p>
      </xdr:txBody>
    </xdr:sp>
    <xdr:clientData/>
  </xdr:twoCellAnchor>
  <xdr:twoCellAnchor>
    <xdr:from>
      <xdr:col>27</xdr:col>
      <xdr:colOff>409575</xdr:colOff>
      <xdr:row>12</xdr:row>
      <xdr:rowOff>75825</xdr:rowOff>
    </xdr:from>
    <xdr:to>
      <xdr:col>28</xdr:col>
      <xdr:colOff>190500</xdr:colOff>
      <xdr:row>12</xdr:row>
      <xdr:rowOff>75825</xdr:rowOff>
    </xdr:to>
    <xdr:cxnSp macro="">
      <xdr:nvCxnSpPr>
        <xdr:cNvPr id="105" name="Conector recto de flecha 104">
          <a:extLst>
            <a:ext uri="{FF2B5EF4-FFF2-40B4-BE49-F238E27FC236}">
              <a16:creationId xmlns:a16="http://schemas.microsoft.com/office/drawing/2014/main" id="{49836549-AAD1-4B0E-AF9D-7E996F1D750A}"/>
            </a:ext>
          </a:extLst>
        </xdr:cNvPr>
        <xdr:cNvCxnSpPr>
          <a:stCxn id="24" idx="6"/>
          <a:endCxn id="104" idx="2"/>
        </xdr:cNvCxnSpPr>
      </xdr:nvCxnSpPr>
      <xdr:spPr>
        <a:xfrm>
          <a:off x="20983575" y="2361825"/>
          <a:ext cx="542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D4E06-F64B-4AB8-865B-D3C18CB89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6D3C-9F91-4427-9B79-62EDF0899B67}">
  <dimension ref="A1:P29"/>
  <sheetViews>
    <sheetView tabSelected="1" workbookViewId="0">
      <selection activeCell="K26" sqref="K26"/>
    </sheetView>
  </sheetViews>
  <sheetFormatPr baseColWidth="10" defaultRowHeight="15" x14ac:dyDescent="0.2"/>
  <cols>
    <col min="1" max="1" width="33.5" bestFit="1" customWidth="1"/>
    <col min="2" max="2" width="33.5" customWidth="1"/>
    <col min="3" max="3" width="11.5" customWidth="1"/>
    <col min="4" max="4" width="22" bestFit="1" customWidth="1"/>
    <col min="5" max="5" width="6" bestFit="1" customWidth="1"/>
    <col min="6" max="6" width="38.6640625" customWidth="1"/>
    <col min="7" max="7" width="23.1640625" customWidth="1"/>
    <col min="8" max="8" width="12.5" bestFit="1" customWidth="1"/>
    <col min="9" max="9" width="25.5" bestFit="1" customWidth="1"/>
    <col min="10" max="10" width="25.5" customWidth="1"/>
    <col min="11" max="11" width="13" customWidth="1"/>
    <col min="12" max="12" width="30.83203125" bestFit="1" customWidth="1"/>
    <col min="13" max="13" width="20.83203125" customWidth="1"/>
    <col min="14" max="14" width="11.1640625" customWidth="1"/>
    <col min="15" max="15" width="22.33203125" customWidth="1"/>
    <col min="16" max="16" width="12.6640625" customWidth="1"/>
  </cols>
  <sheetData>
    <row r="1" spans="1:16" x14ac:dyDescent="0.2">
      <c r="A1" s="107" t="s">
        <v>91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68"/>
      <c r="N1" s="108"/>
      <c r="O1" s="108"/>
      <c r="P1" s="109"/>
    </row>
    <row r="2" spans="1:16" ht="16" x14ac:dyDescent="0.2">
      <c r="A2" s="24" t="s">
        <v>92</v>
      </c>
      <c r="B2" s="24" t="s">
        <v>218</v>
      </c>
      <c r="C2" s="24" t="s">
        <v>150</v>
      </c>
      <c r="D2" s="25" t="s">
        <v>93</v>
      </c>
      <c r="E2" s="25" t="s">
        <v>150</v>
      </c>
      <c r="F2" s="26" t="s">
        <v>94</v>
      </c>
      <c r="G2" s="26" t="s">
        <v>218</v>
      </c>
      <c r="H2" s="26" t="s">
        <v>150</v>
      </c>
      <c r="I2" s="27" t="s">
        <v>95</v>
      </c>
      <c r="J2" s="98" t="s">
        <v>218</v>
      </c>
      <c r="K2" s="27" t="s">
        <v>150</v>
      </c>
      <c r="L2" s="164" t="s">
        <v>96</v>
      </c>
      <c r="M2" s="6" t="s">
        <v>218</v>
      </c>
      <c r="N2" s="166" t="s">
        <v>150</v>
      </c>
      <c r="O2" s="28" t="s">
        <v>97</v>
      </c>
      <c r="P2" s="23" t="s">
        <v>150</v>
      </c>
    </row>
    <row r="3" spans="1:16" ht="16" x14ac:dyDescent="0.2">
      <c r="A3" s="16" t="s">
        <v>98</v>
      </c>
      <c r="B3" s="70"/>
      <c r="C3" s="18">
        <f>'Admon. y R. H.'!J4</f>
        <v>359.38</v>
      </c>
      <c r="D3" s="16"/>
      <c r="E3" s="22"/>
      <c r="F3" s="16" t="s">
        <v>9</v>
      </c>
      <c r="G3" s="34"/>
      <c r="H3" s="15">
        <f>'Inv. y Des.'!J4</f>
        <v>1796.9</v>
      </c>
      <c r="I3" s="16" t="s">
        <v>99</v>
      </c>
      <c r="J3" s="97"/>
      <c r="K3" s="18">
        <f>'Pub. y Merca'!J4</f>
        <v>1796.9</v>
      </c>
      <c r="L3" s="165" t="str">
        <f>'Redes y Soporte'!B4</f>
        <v>Atención personalizada</v>
      </c>
      <c r="M3" s="21"/>
      <c r="N3" s="167">
        <f>'Redes y Soporte'!J4</f>
        <v>718.76</v>
      </c>
      <c r="O3" s="16" t="s">
        <v>100</v>
      </c>
      <c r="P3" s="18">
        <f>Direccion!J4</f>
        <v>359.38</v>
      </c>
    </row>
    <row r="4" spans="1:16" ht="16" x14ac:dyDescent="0.2">
      <c r="A4" s="16" t="s">
        <v>101</v>
      </c>
      <c r="B4" s="70"/>
      <c r="C4" s="18">
        <f>'Admon. y R. H.'!J5</f>
        <v>359.38</v>
      </c>
      <c r="D4" s="16"/>
      <c r="E4" s="22"/>
      <c r="F4" s="16" t="s">
        <v>10</v>
      </c>
      <c r="G4" s="34"/>
      <c r="H4" s="15">
        <f>'Inv. y Des.'!J5</f>
        <v>2875.04</v>
      </c>
      <c r="I4" s="16" t="s">
        <v>102</v>
      </c>
      <c r="J4" s="97"/>
      <c r="K4" s="18">
        <f>'Pub. y Merca'!J5</f>
        <v>3593.8</v>
      </c>
      <c r="L4" s="165" t="str">
        <f>'Redes y Soporte'!B5</f>
        <v>Atención a distancia</v>
      </c>
      <c r="M4" s="21"/>
      <c r="N4" s="167">
        <f>'Redes y Soporte'!J5</f>
        <v>44.922499999999999</v>
      </c>
      <c r="O4" s="16" t="s">
        <v>97</v>
      </c>
      <c r="P4" s="18">
        <f>Direccion!J5</f>
        <v>359.38</v>
      </c>
    </row>
    <row r="5" spans="1:16" ht="16" x14ac:dyDescent="0.2">
      <c r="A5" s="16" t="s">
        <v>103</v>
      </c>
      <c r="B5" s="70"/>
      <c r="C5" s="18">
        <f>'Admon. y R. H.'!J6</f>
        <v>359.38</v>
      </c>
      <c r="D5" s="16"/>
      <c r="E5" s="22"/>
      <c r="F5" s="16" t="s">
        <v>11</v>
      </c>
      <c r="G5" s="34"/>
      <c r="H5" s="15">
        <f>'Inv. y Des.'!J6</f>
        <v>1078.1399999999999</v>
      </c>
      <c r="I5" s="16" t="s">
        <v>104</v>
      </c>
      <c r="J5" s="97"/>
      <c r="K5" s="18">
        <f>'Pub. y Merca'!J6</f>
        <v>1078.1399999999999</v>
      </c>
      <c r="L5" s="165" t="str">
        <f>'Redes y Soporte'!B6</f>
        <v>Encuesta de calidad</v>
      </c>
      <c r="M5" s="94" t="s">
        <v>352</v>
      </c>
      <c r="N5" s="167">
        <f>'Redes y Soporte'!J6</f>
        <v>11.230625</v>
      </c>
      <c r="O5" s="16" t="s">
        <v>105</v>
      </c>
      <c r="P5" s="18">
        <f>Direccion!J6</f>
        <v>359.38</v>
      </c>
    </row>
    <row r="6" spans="1:16" ht="32" x14ac:dyDescent="0.2">
      <c r="A6" s="16" t="s">
        <v>106</v>
      </c>
      <c r="B6" s="70"/>
      <c r="C6" s="18">
        <f>'Admon. y R. H.'!J7</f>
        <v>718.76</v>
      </c>
      <c r="D6" s="16"/>
      <c r="E6" s="22"/>
      <c r="F6" s="16" t="s">
        <v>12</v>
      </c>
      <c r="G6" s="34"/>
      <c r="H6" s="15">
        <f>'Inv. y Des.'!J7</f>
        <v>1078.1399999999999</v>
      </c>
      <c r="I6" s="16" t="s">
        <v>107</v>
      </c>
      <c r="J6" s="94" t="s">
        <v>328</v>
      </c>
      <c r="K6" s="18">
        <f>'Pub. y Merca'!J7</f>
        <v>1078.1399999999999</v>
      </c>
      <c r="L6" s="165" t="str">
        <f>'Redes y Soporte'!B7</f>
        <v>Detección de problemas en infraestructura</v>
      </c>
      <c r="M6" s="21"/>
      <c r="N6" s="167">
        <f>'Redes y Soporte'!J7</f>
        <v>1796.9</v>
      </c>
      <c r="O6" s="16" t="s">
        <v>108</v>
      </c>
      <c r="P6" s="18">
        <f>Direccion!J7</f>
        <v>359.38</v>
      </c>
    </row>
    <row r="7" spans="1:16" ht="16" x14ac:dyDescent="0.2">
      <c r="A7" s="16" t="s">
        <v>109</v>
      </c>
      <c r="B7" s="93" t="s">
        <v>315</v>
      </c>
      <c r="C7" s="18">
        <f>'Admon. y R. H.'!J8</f>
        <v>718.76</v>
      </c>
      <c r="D7" s="16"/>
      <c r="E7" s="22"/>
      <c r="F7" s="16" t="s">
        <v>13</v>
      </c>
      <c r="G7" s="34"/>
      <c r="H7" s="15">
        <f>'Inv. y Des.'!J8</f>
        <v>1796.9</v>
      </c>
      <c r="I7" s="16" t="s">
        <v>110</v>
      </c>
      <c r="J7" s="97"/>
      <c r="K7" s="18">
        <f>'Pub. y Merca'!J8</f>
        <v>1796.9</v>
      </c>
      <c r="L7" s="165" t="str">
        <f>'Redes y Soporte'!B8</f>
        <v>Problemas físicos en infraestructura</v>
      </c>
      <c r="M7" s="21"/>
      <c r="N7" s="167">
        <f>'Redes y Soporte'!J8</f>
        <v>359.38</v>
      </c>
      <c r="O7" s="16"/>
      <c r="P7" s="22"/>
    </row>
    <row r="8" spans="1:16" ht="32" x14ac:dyDescent="0.2">
      <c r="A8" s="16" t="s">
        <v>111</v>
      </c>
      <c r="B8" s="70"/>
      <c r="C8" s="18">
        <f>'Admon. y R. H.'!J9</f>
        <v>359.38</v>
      </c>
      <c r="D8" s="16"/>
      <c r="E8" s="22"/>
      <c r="F8" s="16" t="s">
        <v>14</v>
      </c>
      <c r="G8" s="34"/>
      <c r="H8" s="15">
        <f>'Inv. y Des.'!J9</f>
        <v>1796.9</v>
      </c>
      <c r="I8" s="16" t="s">
        <v>112</v>
      </c>
      <c r="J8" s="97"/>
      <c r="K8" s="18">
        <f>'Pub. y Merca'!J9</f>
        <v>1796.9</v>
      </c>
      <c r="L8" s="165" t="str">
        <f>'Redes y Soporte'!B9</f>
        <v>Problemas lógicos en infraestructura</v>
      </c>
      <c r="M8" s="21"/>
      <c r="N8" s="167">
        <f>'Redes y Soporte'!J9</f>
        <v>359.38</v>
      </c>
      <c r="O8" s="16"/>
      <c r="P8" s="22"/>
    </row>
    <row r="9" spans="1:16" ht="16" x14ac:dyDescent="0.2">
      <c r="A9" s="16" t="s">
        <v>114</v>
      </c>
      <c r="B9" s="70"/>
      <c r="C9" s="18">
        <f>'Admon. y R. H.'!J10</f>
        <v>1078.1399999999999</v>
      </c>
      <c r="D9" s="16"/>
      <c r="E9" s="22"/>
      <c r="F9" s="16" t="s">
        <v>15</v>
      </c>
      <c r="G9" s="94" t="s">
        <v>219</v>
      </c>
      <c r="H9" s="15">
        <f>'Inv. y Des.'!J10</f>
        <v>1796.9</v>
      </c>
      <c r="I9" s="16" t="s">
        <v>115</v>
      </c>
      <c r="J9" s="97"/>
      <c r="K9" s="18">
        <f>'Pub. y Merca'!J10</f>
        <v>1437.52</v>
      </c>
      <c r="L9" s="165" t="str">
        <f>'Redes y Soporte'!B10</f>
        <v>Generar reportes del problema</v>
      </c>
      <c r="M9" s="21"/>
      <c r="N9" s="167">
        <f>'Redes y Soporte'!J10</f>
        <v>89.844999999999999</v>
      </c>
      <c r="O9" s="16"/>
      <c r="P9" s="22"/>
    </row>
    <row r="10" spans="1:16" ht="16" x14ac:dyDescent="0.2">
      <c r="A10" s="16" t="s">
        <v>117</v>
      </c>
      <c r="B10" s="70"/>
      <c r="C10" s="18">
        <f>'Admon. y R. H.'!J11</f>
        <v>1078.1399999999999</v>
      </c>
      <c r="D10" s="16"/>
      <c r="E10" s="22"/>
      <c r="F10" s="16" t="s">
        <v>16</v>
      </c>
      <c r="G10" s="34"/>
      <c r="H10" s="15">
        <f>'Inv. y Des.'!J11</f>
        <v>359.38</v>
      </c>
      <c r="I10" s="16" t="s">
        <v>118</v>
      </c>
      <c r="J10" s="97"/>
      <c r="K10" s="18">
        <f>'Pub. y Merca'!J11</f>
        <v>1796.9</v>
      </c>
      <c r="L10" s="165" t="str">
        <f>'Redes y Soporte'!B11</f>
        <v>Solicitar aceptación del problema</v>
      </c>
      <c r="M10" s="21"/>
      <c r="N10" s="167">
        <f>'Redes y Soporte'!J11</f>
        <v>1437.52</v>
      </c>
      <c r="O10" s="16"/>
      <c r="P10" s="22"/>
    </row>
    <row r="11" spans="1:16" ht="16" x14ac:dyDescent="0.2">
      <c r="A11" s="16" t="s">
        <v>119</v>
      </c>
      <c r="B11" s="93" t="s">
        <v>316</v>
      </c>
      <c r="C11" s="18">
        <f>'Admon. y R. H.'!J12</f>
        <v>1078.1399999999999</v>
      </c>
      <c r="D11" s="16"/>
      <c r="E11" s="22"/>
      <c r="F11" s="16" t="s">
        <v>17</v>
      </c>
      <c r="G11" s="34"/>
      <c r="H11" s="15">
        <f>'Inv. y Des.'!J12</f>
        <v>359.38</v>
      </c>
      <c r="I11" s="16" t="s">
        <v>120</v>
      </c>
      <c r="J11" s="97"/>
      <c r="K11" s="18">
        <f>'Pub. y Merca'!J12</f>
        <v>3593.8</v>
      </c>
      <c r="L11" s="165" t="str">
        <f>'Redes y Soporte'!B12</f>
        <v>Atender problema</v>
      </c>
      <c r="M11" s="21"/>
      <c r="N11" s="167">
        <f>'Redes y Soporte'!J12</f>
        <v>1796.9</v>
      </c>
      <c r="O11" s="16"/>
      <c r="P11" s="22"/>
    </row>
    <row r="12" spans="1:16" ht="32" x14ac:dyDescent="0.2">
      <c r="A12" s="16" t="s">
        <v>122</v>
      </c>
      <c r="B12" s="70"/>
      <c r="C12" s="18">
        <f>'Admon. y R. H.'!J13</f>
        <v>359.38</v>
      </c>
      <c r="D12" s="16"/>
      <c r="E12" s="22"/>
      <c r="F12" s="16" t="s">
        <v>18</v>
      </c>
      <c r="G12" s="34"/>
      <c r="H12" s="15">
        <f>'Inv. y Des.'!J13</f>
        <v>359.38</v>
      </c>
      <c r="I12" s="16" t="s">
        <v>123</v>
      </c>
      <c r="J12" s="94" t="s">
        <v>329</v>
      </c>
      <c r="K12" s="18">
        <f>'Pub. y Merca'!J13</f>
        <v>1796.9</v>
      </c>
      <c r="L12" s="165" t="str">
        <f>'Redes y Soporte'!B13</f>
        <v>Generar reporte final</v>
      </c>
      <c r="M12" s="94" t="s">
        <v>353</v>
      </c>
      <c r="N12" s="167">
        <f>'Redes y Soporte'!J13</f>
        <v>89.844999999999999</v>
      </c>
      <c r="O12" s="16"/>
      <c r="P12" s="22"/>
    </row>
    <row r="13" spans="1:16" ht="32" x14ac:dyDescent="0.2">
      <c r="A13" s="16" t="s">
        <v>125</v>
      </c>
      <c r="B13" s="70"/>
      <c r="C13" s="18">
        <f>'Admon. y R. H.'!J14</f>
        <v>1078.1399999999999</v>
      </c>
      <c r="D13" s="16"/>
      <c r="E13" s="22"/>
      <c r="F13" s="16" t="s">
        <v>32</v>
      </c>
      <c r="G13" s="34"/>
      <c r="H13" s="15">
        <f>'Inv. y Des.'!J14</f>
        <v>359.38</v>
      </c>
      <c r="I13" s="16" t="s">
        <v>126</v>
      </c>
      <c r="J13" s="97"/>
      <c r="K13" s="18">
        <f>'Pub. y Merca'!J14</f>
        <v>3593.8</v>
      </c>
      <c r="L13" s="165" t="str">
        <f>'Redes y Soporte'!B14</f>
        <v>Respaldo BD</v>
      </c>
      <c r="M13" s="21"/>
      <c r="N13" s="167">
        <f>'Redes y Soporte'!J14</f>
        <v>89.844999999999999</v>
      </c>
      <c r="O13" s="16"/>
      <c r="P13" s="22"/>
    </row>
    <row r="14" spans="1:16" ht="16" x14ac:dyDescent="0.2">
      <c r="A14" s="16" t="s">
        <v>128</v>
      </c>
      <c r="B14" s="70"/>
      <c r="C14" s="18">
        <f>'Admon. y R. H.'!J15</f>
        <v>718.76</v>
      </c>
      <c r="D14" s="16"/>
      <c r="E14" s="22"/>
      <c r="F14" s="16" t="s">
        <v>19</v>
      </c>
      <c r="G14" s="34"/>
      <c r="H14" s="15">
        <f>'Inv. y Des.'!J15</f>
        <v>359.38</v>
      </c>
      <c r="I14" s="16" t="s">
        <v>129</v>
      </c>
      <c r="J14" s="94" t="s">
        <v>330</v>
      </c>
      <c r="K14" s="18">
        <f>'Pub. y Merca'!J15</f>
        <v>1796.9</v>
      </c>
      <c r="L14" s="165" t="str">
        <f>'Redes y Soporte'!B15</f>
        <v>Analisis de trafico de redes</v>
      </c>
      <c r="M14" s="21"/>
      <c r="N14" s="167">
        <f>'Redes y Soporte'!J15</f>
        <v>359.38</v>
      </c>
      <c r="O14" s="16"/>
      <c r="P14" s="22"/>
    </row>
    <row r="15" spans="1:16" ht="32" x14ac:dyDescent="0.2">
      <c r="A15" s="16" t="s">
        <v>131</v>
      </c>
      <c r="B15" s="70"/>
      <c r="C15" s="18">
        <f>'Admon. y R. H.'!J16</f>
        <v>359.38</v>
      </c>
      <c r="D15" s="16"/>
      <c r="E15" s="22"/>
      <c r="F15" s="16" t="s">
        <v>20</v>
      </c>
      <c r="G15" s="94" t="s">
        <v>220</v>
      </c>
      <c r="H15" s="15">
        <f>'Inv. y Des.'!J16</f>
        <v>359.38</v>
      </c>
      <c r="I15" s="16"/>
      <c r="J15" s="76"/>
      <c r="K15" s="22"/>
      <c r="L15" s="165" t="str">
        <f>'Redes y Soporte'!B16</f>
        <v>Análisis de equipo de computo</v>
      </c>
      <c r="M15" s="21"/>
      <c r="N15" s="167">
        <f>'Redes y Soporte'!J16</f>
        <v>359.38</v>
      </c>
      <c r="O15" s="16"/>
      <c r="P15" s="22"/>
    </row>
    <row r="16" spans="1:16" ht="16" x14ac:dyDescent="0.2">
      <c r="A16" s="16" t="s">
        <v>133</v>
      </c>
      <c r="B16" s="70"/>
      <c r="C16" s="18">
        <f>'Admon. y R. H.'!J17</f>
        <v>359.38</v>
      </c>
      <c r="D16" s="16"/>
      <c r="E16" s="22"/>
      <c r="F16" s="16" t="s">
        <v>22</v>
      </c>
      <c r="G16" s="34"/>
      <c r="H16" s="15">
        <f>'Inv. y Des.'!J17</f>
        <v>5390.7</v>
      </c>
      <c r="I16" s="16"/>
      <c r="J16" s="76"/>
      <c r="K16" s="22"/>
      <c r="L16" s="165" t="str">
        <f>'Redes y Soporte'!B17</f>
        <v>Reporte de actividades</v>
      </c>
      <c r="M16" s="21"/>
      <c r="N16" s="167">
        <f>'Redes y Soporte'!J17</f>
        <v>89.844999999999999</v>
      </c>
      <c r="O16" s="16"/>
      <c r="P16" s="22"/>
    </row>
    <row r="17" spans="1:16" ht="32" x14ac:dyDescent="0.2">
      <c r="A17" s="16" t="s">
        <v>135</v>
      </c>
      <c r="B17" s="70"/>
      <c r="C17" s="18">
        <f>'Admon. y R. H.'!J18</f>
        <v>359.38</v>
      </c>
      <c r="D17" s="16"/>
      <c r="E17" s="22"/>
      <c r="F17" s="16" t="s">
        <v>25</v>
      </c>
      <c r="G17" s="34"/>
      <c r="H17" s="15">
        <f>'Inv. y Des.'!J18</f>
        <v>1796.9</v>
      </c>
      <c r="I17" s="16"/>
      <c r="J17" s="76"/>
      <c r="K17" s="22"/>
      <c r="L17" s="165" t="str">
        <f>'Redes y Soporte'!B18</f>
        <v>Problema de seguridad</v>
      </c>
      <c r="M17" s="94" t="s">
        <v>354</v>
      </c>
      <c r="N17" s="167">
        <f>'Redes y Soporte'!J18</f>
        <v>359.38</v>
      </c>
      <c r="O17" s="16"/>
      <c r="P17" s="22"/>
    </row>
    <row r="18" spans="1:16" ht="16" x14ac:dyDescent="0.2">
      <c r="A18" s="16" t="s">
        <v>137</v>
      </c>
      <c r="B18" s="70"/>
      <c r="C18" s="18">
        <f>'Admon. y R. H.'!J19</f>
        <v>1078.1399999999999</v>
      </c>
      <c r="D18" s="16"/>
      <c r="E18" s="22"/>
      <c r="F18" s="16" t="s">
        <v>23</v>
      </c>
      <c r="G18" s="34"/>
      <c r="H18" s="15">
        <f>'Inv. y Des.'!J19</f>
        <v>7187.6</v>
      </c>
      <c r="I18" s="16"/>
      <c r="J18" s="76"/>
      <c r="K18" s="22"/>
      <c r="L18" s="21"/>
      <c r="M18" s="21"/>
      <c r="N18" s="167"/>
      <c r="O18" s="16"/>
      <c r="P18" s="22"/>
    </row>
    <row r="19" spans="1:16" ht="16" x14ac:dyDescent="0.2">
      <c r="A19" s="16" t="s">
        <v>139</v>
      </c>
      <c r="B19" s="70"/>
      <c r="C19" s="18">
        <f>'Admon. y R. H.'!J20</f>
        <v>359.38</v>
      </c>
      <c r="D19" s="16"/>
      <c r="E19" s="22"/>
      <c r="F19" s="16" t="s">
        <v>27</v>
      </c>
      <c r="G19" s="34"/>
      <c r="H19" s="15">
        <f>'Inv. y Des.'!J20</f>
        <v>449.22500000000002</v>
      </c>
      <c r="I19" s="16"/>
      <c r="J19" s="76"/>
      <c r="K19" s="22"/>
      <c r="L19" s="21"/>
      <c r="M19" s="21"/>
      <c r="N19" s="95"/>
      <c r="O19" s="16"/>
      <c r="P19" s="22"/>
    </row>
    <row r="20" spans="1:16" ht="16" x14ac:dyDescent="0.2">
      <c r="A20" s="16" t="s">
        <v>141</v>
      </c>
      <c r="B20" s="93" t="s">
        <v>317</v>
      </c>
      <c r="C20" s="18">
        <f>'Admon. y R. H.'!J21</f>
        <v>718.76</v>
      </c>
      <c r="D20" s="16"/>
      <c r="E20" s="22"/>
      <c r="F20" s="16" t="s">
        <v>24</v>
      </c>
      <c r="G20" s="34"/>
      <c r="H20" s="15">
        <f>'Inv. y Des.'!J21</f>
        <v>1437.52</v>
      </c>
      <c r="I20" s="16"/>
      <c r="J20" s="76"/>
      <c r="K20" s="22"/>
      <c r="L20" s="21"/>
      <c r="M20" s="21"/>
      <c r="N20" s="95"/>
      <c r="O20" s="16"/>
      <c r="P20" s="22"/>
    </row>
    <row r="21" spans="1:16" ht="16" x14ac:dyDescent="0.2">
      <c r="A21" s="16" t="s">
        <v>143</v>
      </c>
      <c r="B21" s="70"/>
      <c r="C21" s="18">
        <f>'Admon. y R. H.'!J22</f>
        <v>718.76</v>
      </c>
      <c r="D21" s="16"/>
      <c r="E21" s="22"/>
      <c r="F21" s="16" t="s">
        <v>26</v>
      </c>
      <c r="G21" s="34"/>
      <c r="H21" s="15">
        <f>'Inv. y Des.'!J22</f>
        <v>539.06999999999994</v>
      </c>
      <c r="I21" s="16"/>
      <c r="J21" s="76"/>
      <c r="K21" s="22"/>
      <c r="L21" s="21"/>
      <c r="M21" s="21"/>
      <c r="N21" s="95"/>
      <c r="O21" s="16"/>
      <c r="P21" s="22"/>
    </row>
    <row r="22" spans="1:16" ht="16" x14ac:dyDescent="0.2">
      <c r="A22" s="16" t="s">
        <v>145</v>
      </c>
      <c r="B22" s="70"/>
      <c r="C22" s="18">
        <f>'Admon. y R. H.'!J23</f>
        <v>359.38</v>
      </c>
      <c r="D22" s="16"/>
      <c r="E22" s="22"/>
      <c r="F22" s="16" t="s">
        <v>28</v>
      </c>
      <c r="G22" s="34"/>
      <c r="H22" s="15">
        <f>'Inv. y Des.'!J23</f>
        <v>449.22500000000002</v>
      </c>
      <c r="I22" s="16"/>
      <c r="J22" s="76"/>
      <c r="K22" s="22"/>
      <c r="L22" s="21"/>
      <c r="M22" s="21"/>
      <c r="N22" s="95"/>
      <c r="O22" s="16"/>
      <c r="P22" s="22"/>
    </row>
    <row r="23" spans="1:16" ht="16" x14ac:dyDescent="0.2">
      <c r="A23" s="16" t="s">
        <v>147</v>
      </c>
      <c r="B23" s="70"/>
      <c r="C23" s="18">
        <f>'Admon. y R. H.'!J24</f>
        <v>359.38</v>
      </c>
      <c r="D23" s="16"/>
      <c r="E23" s="22"/>
      <c r="F23" s="16" t="s">
        <v>29</v>
      </c>
      <c r="G23" s="34"/>
      <c r="H23" s="15">
        <f>'Inv. y Des.'!J24</f>
        <v>179.69</v>
      </c>
      <c r="I23" s="16"/>
      <c r="J23" s="76"/>
      <c r="K23" s="22"/>
      <c r="L23" s="16"/>
      <c r="M23" s="106"/>
      <c r="N23" s="22"/>
      <c r="O23" s="16"/>
      <c r="P23" s="22"/>
    </row>
    <row r="24" spans="1:16" ht="16" x14ac:dyDescent="0.2">
      <c r="A24" s="16" t="s">
        <v>148</v>
      </c>
      <c r="B24" s="70"/>
      <c r="C24" s="18">
        <f>'Admon. y R. H.'!J25</f>
        <v>359.38</v>
      </c>
      <c r="D24" s="16"/>
      <c r="E24" s="22"/>
      <c r="F24" s="16" t="s">
        <v>30</v>
      </c>
      <c r="G24" s="34"/>
      <c r="H24" s="15">
        <f>'Inv. y Des.'!J25</f>
        <v>449.22500000000002</v>
      </c>
      <c r="I24" s="16"/>
      <c r="J24" s="76"/>
      <c r="K24" s="22"/>
      <c r="L24" s="16"/>
      <c r="M24" s="106"/>
      <c r="N24" s="22"/>
      <c r="O24" s="16"/>
      <c r="P24" s="22"/>
    </row>
    <row r="25" spans="1:16" ht="32" x14ac:dyDescent="0.2">
      <c r="A25" s="16" t="s">
        <v>149</v>
      </c>
      <c r="B25" s="93" t="s">
        <v>318</v>
      </c>
      <c r="C25" s="18">
        <f>'Admon. y R. H.'!J26</f>
        <v>359.38</v>
      </c>
      <c r="D25" s="16"/>
      <c r="E25" s="22"/>
      <c r="F25" s="16" t="s">
        <v>31</v>
      </c>
      <c r="G25" s="94" t="s">
        <v>221</v>
      </c>
      <c r="H25" s="15">
        <f>'Inv. y Des.'!J26</f>
        <v>1437.52</v>
      </c>
      <c r="I25" s="16"/>
      <c r="J25" s="76"/>
      <c r="K25" s="22"/>
      <c r="L25" s="16"/>
      <c r="M25" s="106"/>
      <c r="N25" s="22"/>
      <c r="O25" s="16"/>
      <c r="P25" s="22"/>
    </row>
    <row r="26" spans="1:16" ht="16" x14ac:dyDescent="0.2">
      <c r="A26" s="31" t="s">
        <v>151</v>
      </c>
      <c r="B26" s="31"/>
      <c r="C26" s="18">
        <f>'Admon. y R. H.'!J27</f>
        <v>13656.439999999993</v>
      </c>
      <c r="D26" s="30" t="s">
        <v>151</v>
      </c>
      <c r="E26" s="29"/>
      <c r="F26" s="31" t="s">
        <v>151</v>
      </c>
      <c r="G26" s="31"/>
      <c r="H26" s="32">
        <f>SUM(H3:H25)</f>
        <v>33691.874999999985</v>
      </c>
      <c r="I26" s="30" t="s">
        <v>151</v>
      </c>
      <c r="J26" s="30"/>
      <c r="K26" s="32">
        <f>SUM(K3:K14)</f>
        <v>25156.600000000002</v>
      </c>
      <c r="L26" s="30" t="s">
        <v>151</v>
      </c>
      <c r="M26" s="30"/>
      <c r="N26" s="32">
        <f>SUM(N3:N17)</f>
        <v>7962.5131250000013</v>
      </c>
      <c r="O26" s="30" t="s">
        <v>151</v>
      </c>
      <c r="P26" s="32">
        <f>SUM(P3:P6)</f>
        <v>1437.52</v>
      </c>
    </row>
    <row r="29" spans="1:16" x14ac:dyDescent="0.2">
      <c r="A29" s="100" t="s">
        <v>325</v>
      </c>
      <c r="B29" s="99">
        <f>C26+E26+H26+K26+N26+P26</f>
        <v>81904.948124999981</v>
      </c>
    </row>
  </sheetData>
  <mergeCells count="1">
    <mergeCell ref="A1:P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9978-75E7-43ED-9A22-CE56E0CAB1EF}">
  <dimension ref="A2:G46"/>
  <sheetViews>
    <sheetView topLeftCell="A3" zoomScale="90" zoomScaleNormal="90" workbookViewId="0">
      <selection activeCell="H23" sqref="H23"/>
    </sheetView>
  </sheetViews>
  <sheetFormatPr baseColWidth="10" defaultRowHeight="15" x14ac:dyDescent="0.2"/>
  <cols>
    <col min="1" max="1" width="30.5" bestFit="1" customWidth="1"/>
    <col min="2" max="2" width="21.83203125" customWidth="1"/>
    <col min="3" max="3" width="32.83203125" bestFit="1" customWidth="1"/>
    <col min="4" max="4" width="21" customWidth="1"/>
    <col min="5" max="5" width="21.5" bestFit="1" customWidth="1"/>
    <col min="8" max="8" width="24" bestFit="1" customWidth="1"/>
  </cols>
  <sheetData>
    <row r="2" spans="1:4" x14ac:dyDescent="0.2">
      <c r="A2" s="126" t="s">
        <v>165</v>
      </c>
      <c r="B2" s="127"/>
      <c r="C2" s="127"/>
      <c r="D2" s="128"/>
    </row>
    <row r="3" spans="1:4" x14ac:dyDescent="0.2">
      <c r="A3" s="133" t="s">
        <v>152</v>
      </c>
      <c r="B3" s="134"/>
      <c r="C3" s="129" t="s">
        <v>161</v>
      </c>
      <c r="D3" s="130"/>
    </row>
    <row r="4" spans="1:4" x14ac:dyDescent="0.2">
      <c r="A4" s="122" t="s">
        <v>192</v>
      </c>
      <c r="B4" s="123"/>
      <c r="C4" s="131" t="s">
        <v>196</v>
      </c>
      <c r="D4" s="132"/>
    </row>
    <row r="5" spans="1:4" x14ac:dyDescent="0.2">
      <c r="A5" s="36" t="str">
        <f>Activos!A4</f>
        <v>Caja o banco</v>
      </c>
      <c r="B5" s="63">
        <f>Activos!B4</f>
        <v>50000</v>
      </c>
      <c r="C5" s="36" t="str">
        <f>'Pasivos y Patrimonio'!A4</f>
        <v>Proveedores</v>
      </c>
      <c r="D5" s="63">
        <f>'Pasivos y Patrimonio'!B4</f>
        <v>0</v>
      </c>
    </row>
    <row r="6" spans="1:4" x14ac:dyDescent="0.2">
      <c r="A6" s="36" t="str">
        <f>Activos!A5</f>
        <v>Clientes</v>
      </c>
      <c r="B6" s="63">
        <f>Activos!B5</f>
        <v>0</v>
      </c>
      <c r="C6" s="36" t="str">
        <f>'Pasivos y Patrimonio'!A5</f>
        <v>Credito Bancario</v>
      </c>
      <c r="D6" s="63">
        <f>'Pasivos y Patrimonio'!B5</f>
        <v>0</v>
      </c>
    </row>
    <row r="7" spans="1:4" x14ac:dyDescent="0.2">
      <c r="A7" s="36" t="str">
        <f>Activos!A6</f>
        <v xml:space="preserve">Mercancia </v>
      </c>
      <c r="B7" s="63">
        <f>Activos!B6</f>
        <v>0</v>
      </c>
      <c r="C7" s="36" t="str">
        <f>'Pasivos y Patrimonio'!A6</f>
        <v>Documentos por pagar</v>
      </c>
      <c r="D7" s="63">
        <f>'Pasivos y Patrimonio'!B6</f>
        <v>0</v>
      </c>
    </row>
    <row r="8" spans="1:4" x14ac:dyDescent="0.2">
      <c r="A8" s="36" t="str">
        <f>Activos!A7</f>
        <v>Documentos por cobrar</v>
      </c>
      <c r="B8" s="63">
        <f>Activos!B7</f>
        <v>0</v>
      </c>
      <c r="C8" s="36" t="str">
        <f>'Pasivos y Patrimonio'!A7</f>
        <v>Acreedores diversos</v>
      </c>
      <c r="D8" s="63">
        <f>'Pasivos y Patrimonio'!B7</f>
        <v>0</v>
      </c>
    </row>
    <row r="9" spans="1:4" x14ac:dyDescent="0.2">
      <c r="A9" s="36" t="str">
        <f>Activos!A8</f>
        <v>Deudores diversos</v>
      </c>
      <c r="B9" s="63">
        <f>Activos!B8</f>
        <v>0</v>
      </c>
      <c r="C9" s="36" t="str">
        <f>'Pasivos y Patrimonio'!A8</f>
        <v>Impuestos por pagar</v>
      </c>
      <c r="D9" s="63">
        <f>'Pasivos y Patrimonio'!B8</f>
        <v>0</v>
      </c>
    </row>
    <row r="10" spans="1:4" x14ac:dyDescent="0.2">
      <c r="A10" s="36"/>
      <c r="B10" s="36"/>
      <c r="C10" s="36" t="str">
        <f>'Pasivos y Patrimonio'!A9</f>
        <v>Credito hipotecario</v>
      </c>
      <c r="D10" s="63">
        <f>'Pasivos y Patrimonio'!B9</f>
        <v>0</v>
      </c>
    </row>
    <row r="11" spans="1:4" x14ac:dyDescent="0.2">
      <c r="A11" s="36"/>
      <c r="B11" s="36"/>
      <c r="C11" s="36"/>
      <c r="D11" s="36"/>
    </row>
    <row r="12" spans="1:4" x14ac:dyDescent="0.2">
      <c r="A12" s="122" t="s">
        <v>191</v>
      </c>
      <c r="B12" s="123"/>
      <c r="C12" s="131" t="s">
        <v>215</v>
      </c>
      <c r="D12" s="132"/>
    </row>
    <row r="13" spans="1:4" x14ac:dyDescent="0.2">
      <c r="A13" s="36" t="str">
        <f>Activos!A13</f>
        <v>Terrenos</v>
      </c>
      <c r="B13" s="63">
        <f>Activos!B13</f>
        <v>0</v>
      </c>
      <c r="C13" s="36" t="str">
        <f>'Pasivos y Patrimonio'!A15</f>
        <v>Documentos por pagar a largo plazo</v>
      </c>
      <c r="D13" s="63">
        <f>'Pasivos y Patrimonio'!B15</f>
        <v>0</v>
      </c>
    </row>
    <row r="14" spans="1:4" x14ac:dyDescent="0.2">
      <c r="A14" s="36" t="str">
        <f>Activos!A14</f>
        <v>Edificios</v>
      </c>
      <c r="B14" s="63">
        <f>Activos!B14</f>
        <v>0</v>
      </c>
      <c r="C14" s="36" t="str">
        <f>'Pasivos y Patrimonio'!A16</f>
        <v>Acreedores hipotecarios</v>
      </c>
      <c r="D14" s="63">
        <f>'Pasivos y Patrimonio'!B16</f>
        <v>0</v>
      </c>
    </row>
    <row r="15" spans="1:4" x14ac:dyDescent="0.2">
      <c r="A15" s="36" t="str">
        <f>Activos!A15</f>
        <v>Mobiliario de oficina</v>
      </c>
      <c r="B15" s="63">
        <f>Activos!B15</f>
        <v>0</v>
      </c>
      <c r="C15" s="36"/>
      <c r="D15" s="36"/>
    </row>
    <row r="16" spans="1:4" x14ac:dyDescent="0.2">
      <c r="A16" s="36" t="str">
        <f>Activos!A16</f>
        <v>Equipo de computo</v>
      </c>
      <c r="B16" s="63">
        <f>Activos!B16</f>
        <v>0</v>
      </c>
      <c r="C16" s="36"/>
      <c r="D16" s="36"/>
    </row>
    <row r="17" spans="1:7" x14ac:dyDescent="0.2">
      <c r="A17" s="36" t="str">
        <f>Activos!A17</f>
        <v>Equipo de transporte</v>
      </c>
      <c r="B17" s="63">
        <f>Activos!B17</f>
        <v>0</v>
      </c>
      <c r="C17" s="36"/>
      <c r="D17" s="36"/>
    </row>
    <row r="18" spans="1:7" x14ac:dyDescent="0.2">
      <c r="A18" s="36" t="str">
        <f>Activos!A18</f>
        <v>Depositos en garantia</v>
      </c>
      <c r="B18" s="63">
        <f>Activos!B18</f>
        <v>0</v>
      </c>
      <c r="C18" s="36"/>
      <c r="D18" s="36"/>
    </row>
    <row r="19" spans="1:7" x14ac:dyDescent="0.2">
      <c r="A19" s="36" t="str">
        <f>Activos!A19</f>
        <v xml:space="preserve">Papeleria y utileria </v>
      </c>
      <c r="B19" s="63">
        <f>Activos!B19</f>
        <v>0</v>
      </c>
      <c r="C19" s="36"/>
      <c r="D19" s="36"/>
    </row>
    <row r="20" spans="1:7" x14ac:dyDescent="0.2">
      <c r="A20" s="36" t="str">
        <f>Activos!A20</f>
        <v>Publicidad</v>
      </c>
      <c r="B20" s="63">
        <f>Activos!B20</f>
        <v>0</v>
      </c>
      <c r="C20" s="36"/>
      <c r="D20" s="36"/>
    </row>
    <row r="21" spans="1:7" x14ac:dyDescent="0.2">
      <c r="A21" s="36"/>
      <c r="B21" s="36"/>
      <c r="C21" s="36"/>
      <c r="D21" s="36"/>
    </row>
    <row r="22" spans="1:7" x14ac:dyDescent="0.2">
      <c r="A22" s="36"/>
      <c r="B22" s="36"/>
      <c r="C22" s="36"/>
      <c r="D22" s="36"/>
    </row>
    <row r="23" spans="1:7" x14ac:dyDescent="0.2">
      <c r="A23" s="122" t="s">
        <v>193</v>
      </c>
      <c r="B23" s="123"/>
      <c r="C23" s="131" t="s">
        <v>204</v>
      </c>
      <c r="D23" s="132"/>
    </row>
    <row r="24" spans="1:7" x14ac:dyDescent="0.2">
      <c r="A24" s="36" t="str">
        <f>Activos!A25</f>
        <v>Primas de seguro</v>
      </c>
      <c r="B24" s="63">
        <f>Activos!B25</f>
        <v>0</v>
      </c>
      <c r="C24" s="36" t="str">
        <f>'Pasivos y Patrimonio'!A22</f>
        <v>Rentas cobradas por anticipado</v>
      </c>
      <c r="D24" s="63">
        <f>'Pasivos y Patrimonio'!B22</f>
        <v>0</v>
      </c>
    </row>
    <row r="25" spans="1:7" x14ac:dyDescent="0.2">
      <c r="A25" s="36" t="str">
        <f>Activos!A26</f>
        <v>Intereses pagados por anticipado</v>
      </c>
      <c r="B25" s="63">
        <f>Activos!B26</f>
        <v>0</v>
      </c>
      <c r="C25" s="36" t="str">
        <f>'Pasivos y Patrimonio'!A23</f>
        <v>Intereses cobrados por anticipado</v>
      </c>
      <c r="D25" s="63">
        <f>'Pasivos y Patrimonio'!B23</f>
        <v>0</v>
      </c>
    </row>
    <row r="26" spans="1:7" x14ac:dyDescent="0.2">
      <c r="A26" s="36" t="str">
        <f>Activos!A27</f>
        <v>Rentas pagadas por anticipado</v>
      </c>
      <c r="B26" s="63">
        <f>Activos!B27</f>
        <v>0</v>
      </c>
      <c r="C26" s="36"/>
      <c r="D26" s="36"/>
    </row>
    <row r="27" spans="1:7" x14ac:dyDescent="0.2">
      <c r="A27" s="36" t="str">
        <f>Activos!A28</f>
        <v>Gastos de instalacion</v>
      </c>
      <c r="B27" s="63">
        <f>Activos!B28</f>
        <v>0</v>
      </c>
      <c r="C27" s="36"/>
      <c r="D27" s="36"/>
    </row>
    <row r="28" spans="1:7" x14ac:dyDescent="0.2">
      <c r="A28" s="36"/>
      <c r="B28" s="36"/>
      <c r="C28" s="36"/>
      <c r="D28" s="36"/>
    </row>
    <row r="29" spans="1:7" x14ac:dyDescent="0.2">
      <c r="A29" s="36"/>
      <c r="B29" s="36"/>
      <c r="C29" s="36"/>
      <c r="D29" s="36"/>
    </row>
    <row r="30" spans="1:7" x14ac:dyDescent="0.2">
      <c r="A30" s="36"/>
      <c r="B30" s="36"/>
      <c r="C30" s="124" t="s">
        <v>162</v>
      </c>
      <c r="D30" s="125"/>
      <c r="G30" s="35"/>
    </row>
    <row r="31" spans="1:7" x14ac:dyDescent="0.2">
      <c r="A31" s="36"/>
      <c r="B31" s="36"/>
      <c r="C31" s="36" t="str">
        <f>'Pasivos y Patrimonio'!E3</f>
        <v>Capital Social</v>
      </c>
      <c r="D31" s="63">
        <f>'Pasivos y Patrimonio'!F3</f>
        <v>50000</v>
      </c>
      <c r="G31" s="35"/>
    </row>
    <row r="32" spans="1:7" x14ac:dyDescent="0.2">
      <c r="A32" s="36"/>
      <c r="B32" s="36"/>
      <c r="C32" s="36" t="str">
        <f>'Pasivos y Patrimonio'!E4</f>
        <v>Resultado del ejercicio</v>
      </c>
      <c r="D32" s="63">
        <f>'Pasivos y Patrimonio'!F4</f>
        <v>0</v>
      </c>
      <c r="G32" s="35"/>
    </row>
    <row r="33" spans="1:7" x14ac:dyDescent="0.2">
      <c r="A33" s="36"/>
      <c r="B33" s="36"/>
      <c r="C33" s="36" t="str">
        <f>'Pasivos y Patrimonio'!E5</f>
        <v>Impuestos sobre la renta</v>
      </c>
      <c r="D33" s="63">
        <f>'Pasivos y Patrimonio'!F5</f>
        <v>0</v>
      </c>
      <c r="G33" s="35"/>
    </row>
    <row r="34" spans="1:7" x14ac:dyDescent="0.2">
      <c r="A34" s="36"/>
      <c r="B34" s="36"/>
      <c r="C34" s="36" t="str">
        <f>'Pasivos y Patrimonio'!E6</f>
        <v>Ventas</v>
      </c>
      <c r="D34" s="63">
        <f>'Pasivos y Patrimonio'!F6</f>
        <v>0</v>
      </c>
      <c r="G34" s="35"/>
    </row>
    <row r="35" spans="1:7" x14ac:dyDescent="0.2">
      <c r="A35" s="36"/>
      <c r="B35" s="36"/>
      <c r="C35" s="36" t="str">
        <f>'Pasivos y Patrimonio'!E7</f>
        <v>Costos de venta</v>
      </c>
      <c r="D35" s="63">
        <f>'Pasivos y Patrimonio'!F7</f>
        <v>588630.74812499993</v>
      </c>
      <c r="G35" s="35"/>
    </row>
    <row r="36" spans="1:7" x14ac:dyDescent="0.2">
      <c r="A36" s="36"/>
      <c r="B36" s="36"/>
      <c r="C36" s="36" t="str">
        <f>'Pasivos y Patrimonio'!E8</f>
        <v>Gastos de venta</v>
      </c>
      <c r="D36" s="63">
        <f>'Pasivos y Patrimonio'!F8</f>
        <v>0</v>
      </c>
      <c r="G36" s="35"/>
    </row>
    <row r="37" spans="1:7" x14ac:dyDescent="0.2">
      <c r="A37" s="36"/>
      <c r="B37" s="36"/>
      <c r="C37" s="36" t="str">
        <f>'Pasivos y Patrimonio'!E9</f>
        <v>Gastos de administracion</v>
      </c>
      <c r="D37" s="63">
        <f>'Pasivos y Patrimonio'!F9</f>
        <v>0</v>
      </c>
      <c r="G37" s="35"/>
    </row>
    <row r="38" spans="1:7" x14ac:dyDescent="0.2">
      <c r="A38" s="36"/>
      <c r="B38" s="36"/>
      <c r="C38" s="36" t="str">
        <f>'Pasivos y Patrimonio'!E10</f>
        <v>Gastos y produccion financiera</v>
      </c>
      <c r="D38" s="63">
        <f>'Pasivos y Patrimonio'!F10</f>
        <v>0</v>
      </c>
      <c r="G38" s="35"/>
    </row>
    <row r="39" spans="1:7" x14ac:dyDescent="0.2">
      <c r="A39" s="36"/>
      <c r="B39" s="36"/>
      <c r="C39" s="36" t="str">
        <f>'Pasivos y Patrimonio'!E11</f>
        <v>Gastos generales</v>
      </c>
      <c r="D39" s="63">
        <f>'Pasivos y Patrimonio'!F11</f>
        <v>0</v>
      </c>
      <c r="G39" s="35"/>
    </row>
    <row r="40" spans="1:7" x14ac:dyDescent="0.2">
      <c r="A40" s="36"/>
      <c r="B40" s="36"/>
      <c r="C40" s="36"/>
      <c r="D40" s="29"/>
      <c r="G40" s="35"/>
    </row>
    <row r="41" spans="1:7" x14ac:dyDescent="0.2">
      <c r="A41" s="59" t="s">
        <v>151</v>
      </c>
      <c r="B41" s="63">
        <f>Activos!B31</f>
        <v>50000</v>
      </c>
      <c r="C41" s="55" t="s">
        <v>151</v>
      </c>
      <c r="D41" s="32">
        <f>'Pasivos y Patrimonio'!B26</f>
        <v>638630.74812499993</v>
      </c>
      <c r="G41" s="35"/>
    </row>
    <row r="42" spans="1:7" x14ac:dyDescent="0.2">
      <c r="C42" s="35"/>
      <c r="D42" s="35"/>
      <c r="G42" s="35"/>
    </row>
    <row r="43" spans="1:7" x14ac:dyDescent="0.2">
      <c r="C43" s="35"/>
      <c r="D43" s="35"/>
      <c r="G43" s="35"/>
    </row>
    <row r="44" spans="1:7" x14ac:dyDescent="0.2">
      <c r="A44" s="64" t="s">
        <v>165</v>
      </c>
      <c r="B44" s="63">
        <f>B41-D41</f>
        <v>-588630.74812499993</v>
      </c>
      <c r="C44" s="35"/>
      <c r="D44" s="35"/>
      <c r="G44" s="35"/>
    </row>
    <row r="45" spans="1:7" x14ac:dyDescent="0.2">
      <c r="C45" s="35"/>
      <c r="D45" s="35"/>
      <c r="G45" s="35"/>
    </row>
    <row r="46" spans="1:7" x14ac:dyDescent="0.2">
      <c r="C46" s="35"/>
      <c r="D46" s="35"/>
      <c r="G46" s="35"/>
    </row>
  </sheetData>
  <mergeCells count="10">
    <mergeCell ref="A23:B23"/>
    <mergeCell ref="C30:D30"/>
    <mergeCell ref="A2:D2"/>
    <mergeCell ref="C3:D3"/>
    <mergeCell ref="C4:D4"/>
    <mergeCell ref="C12:D12"/>
    <mergeCell ref="C23:D23"/>
    <mergeCell ref="A3:B3"/>
    <mergeCell ref="A4:B4"/>
    <mergeCell ref="A12:B12"/>
  </mergeCells>
  <conditionalFormatting sqref="B44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83DC-6BFC-4D23-B336-20EC7E856837}">
  <dimension ref="A1:H31"/>
  <sheetViews>
    <sheetView topLeftCell="A13" workbookViewId="0">
      <selection activeCell="J19" sqref="J19"/>
    </sheetView>
  </sheetViews>
  <sheetFormatPr baseColWidth="10" defaultRowHeight="15" x14ac:dyDescent="0.2"/>
  <cols>
    <col min="1" max="1" width="30.5" bestFit="1" customWidth="1"/>
    <col min="2" max="2" width="14.5" customWidth="1"/>
    <col min="5" max="5" width="27.6640625" bestFit="1" customWidth="1"/>
    <col min="6" max="6" width="11.5" bestFit="1" customWidth="1"/>
    <col min="7" max="7" width="8.83203125" bestFit="1" customWidth="1"/>
    <col min="8" max="8" width="14" bestFit="1" customWidth="1"/>
    <col min="9" max="9" width="11.83203125" bestFit="1" customWidth="1"/>
  </cols>
  <sheetData>
    <row r="1" spans="1:8" x14ac:dyDescent="0.2">
      <c r="A1" s="142" t="s">
        <v>152</v>
      </c>
      <c r="B1" s="142"/>
    </row>
    <row r="2" spans="1:8" x14ac:dyDescent="0.2">
      <c r="A2" s="135" t="s">
        <v>192</v>
      </c>
      <c r="B2" s="136"/>
    </row>
    <row r="3" spans="1:8" x14ac:dyDescent="0.2">
      <c r="A3" s="46" t="s">
        <v>6</v>
      </c>
      <c r="B3" s="38" t="s">
        <v>150</v>
      </c>
    </row>
    <row r="4" spans="1:8" x14ac:dyDescent="0.2">
      <c r="A4" s="37" t="s">
        <v>163</v>
      </c>
      <c r="B4" s="51">
        <v>50000</v>
      </c>
    </row>
    <row r="5" spans="1:8" x14ac:dyDescent="0.2">
      <c r="A5" s="37" t="s">
        <v>166</v>
      </c>
      <c r="B5" s="51">
        <v>0</v>
      </c>
    </row>
    <row r="6" spans="1:8" x14ac:dyDescent="0.2">
      <c r="A6" s="37" t="s">
        <v>178</v>
      </c>
      <c r="B6" s="51">
        <v>0</v>
      </c>
    </row>
    <row r="7" spans="1:8" x14ac:dyDescent="0.2">
      <c r="A7" s="37" t="s">
        <v>179</v>
      </c>
      <c r="B7" s="51">
        <v>0</v>
      </c>
    </row>
    <row r="8" spans="1:8" x14ac:dyDescent="0.2">
      <c r="A8" s="37" t="s">
        <v>170</v>
      </c>
      <c r="B8" s="51">
        <v>0</v>
      </c>
      <c r="E8" s="58" t="s">
        <v>154</v>
      </c>
      <c r="F8" s="55" t="s">
        <v>150</v>
      </c>
      <c r="G8" s="55" t="s">
        <v>210</v>
      </c>
      <c r="H8" s="55" t="s">
        <v>151</v>
      </c>
    </row>
    <row r="9" spans="1:8" x14ac:dyDescent="0.2">
      <c r="A9" s="37"/>
      <c r="B9" s="29"/>
      <c r="E9" s="36" t="s">
        <v>211</v>
      </c>
      <c r="F9" s="51">
        <v>16000</v>
      </c>
      <c r="G9" s="29">
        <v>0</v>
      </c>
      <c r="H9" s="51">
        <f>F9*G9</f>
        <v>0</v>
      </c>
    </row>
    <row r="10" spans="1:8" x14ac:dyDescent="0.2">
      <c r="A10" s="47" t="s">
        <v>151</v>
      </c>
      <c r="B10" s="32">
        <f>SUM(B4:B9)</f>
        <v>50000</v>
      </c>
      <c r="E10" s="36"/>
      <c r="F10" s="51"/>
      <c r="G10" s="29"/>
      <c r="H10" s="51"/>
    </row>
    <row r="11" spans="1:8" x14ac:dyDescent="0.2">
      <c r="A11" s="135" t="s">
        <v>191</v>
      </c>
      <c r="B11" s="136"/>
      <c r="E11" s="59" t="s">
        <v>208</v>
      </c>
      <c r="F11" s="137">
        <f>SUM(H9)</f>
        <v>0</v>
      </c>
      <c r="G11" s="140"/>
      <c r="H11" s="141"/>
    </row>
    <row r="12" spans="1:8" s="43" customFormat="1" x14ac:dyDescent="0.2">
      <c r="A12" s="44" t="s">
        <v>6</v>
      </c>
      <c r="B12" s="45" t="s">
        <v>150</v>
      </c>
    </row>
    <row r="13" spans="1:8" x14ac:dyDescent="0.2">
      <c r="A13" s="37" t="s">
        <v>180</v>
      </c>
      <c r="B13" s="51">
        <v>0</v>
      </c>
    </row>
    <row r="14" spans="1:8" x14ac:dyDescent="0.2">
      <c r="A14" s="37" t="s">
        <v>181</v>
      </c>
      <c r="B14" s="51">
        <v>0</v>
      </c>
    </row>
    <row r="15" spans="1:8" x14ac:dyDescent="0.2">
      <c r="A15" s="37" t="s">
        <v>171</v>
      </c>
      <c r="B15" s="51">
        <v>0</v>
      </c>
    </row>
    <row r="16" spans="1:8" x14ac:dyDescent="0.2">
      <c r="A16" s="37" t="s">
        <v>154</v>
      </c>
      <c r="B16" s="51">
        <f>F11</f>
        <v>0</v>
      </c>
      <c r="E16" s="58" t="s">
        <v>172</v>
      </c>
      <c r="F16" s="55" t="s">
        <v>150</v>
      </c>
      <c r="G16" s="55" t="s">
        <v>207</v>
      </c>
      <c r="H16" s="55" t="s">
        <v>209</v>
      </c>
    </row>
    <row r="17" spans="1:8" x14ac:dyDescent="0.2">
      <c r="A17" s="37" t="s">
        <v>172</v>
      </c>
      <c r="B17" s="51">
        <f>F20</f>
        <v>0</v>
      </c>
      <c r="E17" s="36"/>
      <c r="F17" s="51">
        <v>0</v>
      </c>
      <c r="G17" s="29">
        <v>0</v>
      </c>
      <c r="H17" s="51">
        <f>F17*G17</f>
        <v>0</v>
      </c>
    </row>
    <row r="18" spans="1:8" x14ac:dyDescent="0.2">
      <c r="A18" s="37" t="s">
        <v>182</v>
      </c>
      <c r="B18" s="51">
        <v>0</v>
      </c>
      <c r="E18" s="36"/>
      <c r="F18" s="51">
        <v>0</v>
      </c>
      <c r="G18" s="29">
        <v>0</v>
      </c>
      <c r="H18" s="51">
        <f>F18*G18</f>
        <v>0</v>
      </c>
    </row>
    <row r="19" spans="1:8" x14ac:dyDescent="0.2">
      <c r="A19" s="37" t="s">
        <v>184</v>
      </c>
      <c r="B19" s="51">
        <v>0</v>
      </c>
      <c r="E19" s="36"/>
      <c r="F19" s="51">
        <v>0</v>
      </c>
      <c r="G19" s="29">
        <v>0</v>
      </c>
      <c r="H19" s="51"/>
    </row>
    <row r="20" spans="1:8" x14ac:dyDescent="0.2">
      <c r="A20" s="42" t="s">
        <v>185</v>
      </c>
      <c r="B20" s="51">
        <v>0</v>
      </c>
      <c r="E20" s="59" t="s">
        <v>208</v>
      </c>
      <c r="F20" s="137">
        <v>0</v>
      </c>
      <c r="G20" s="138"/>
      <c r="H20" s="139"/>
    </row>
    <row r="21" spans="1:8" x14ac:dyDescent="0.2">
      <c r="A21" s="42"/>
      <c r="B21" s="29"/>
    </row>
    <row r="22" spans="1:8" x14ac:dyDescent="0.2">
      <c r="A22" s="47" t="s">
        <v>151</v>
      </c>
      <c r="B22" s="32">
        <f>SUM(B13:B21)</f>
        <v>0</v>
      </c>
    </row>
    <row r="23" spans="1:8" x14ac:dyDescent="0.2">
      <c r="A23" s="135" t="s">
        <v>193</v>
      </c>
      <c r="B23" s="136"/>
    </row>
    <row r="24" spans="1:8" x14ac:dyDescent="0.2">
      <c r="A24" s="46" t="s">
        <v>6</v>
      </c>
      <c r="B24" s="38" t="s">
        <v>150</v>
      </c>
    </row>
    <row r="25" spans="1:8" x14ac:dyDescent="0.2">
      <c r="A25" s="37" t="s">
        <v>186</v>
      </c>
      <c r="B25" s="51">
        <v>0</v>
      </c>
    </row>
    <row r="26" spans="1:8" x14ac:dyDescent="0.2">
      <c r="A26" s="42" t="s">
        <v>194</v>
      </c>
      <c r="B26" s="51">
        <v>0</v>
      </c>
    </row>
    <row r="27" spans="1:8" x14ac:dyDescent="0.2">
      <c r="A27" s="42" t="s">
        <v>187</v>
      </c>
      <c r="B27" s="51">
        <v>0</v>
      </c>
    </row>
    <row r="28" spans="1:8" x14ac:dyDescent="0.2">
      <c r="A28" s="37" t="s">
        <v>183</v>
      </c>
      <c r="B28" s="51">
        <v>0</v>
      </c>
    </row>
    <row r="29" spans="1:8" x14ac:dyDescent="0.2">
      <c r="A29" s="37"/>
      <c r="B29" s="29"/>
    </row>
    <row r="30" spans="1:8" x14ac:dyDescent="0.2">
      <c r="A30" s="48" t="s">
        <v>151</v>
      </c>
      <c r="B30" s="32">
        <f>SUM(B25:B29)</f>
        <v>0</v>
      </c>
    </row>
    <row r="31" spans="1:8" x14ac:dyDescent="0.2">
      <c r="A31" s="49" t="s">
        <v>195</v>
      </c>
      <c r="B31" s="61">
        <f>SUM(B10,B22,B30)</f>
        <v>50000</v>
      </c>
    </row>
  </sheetData>
  <mergeCells count="6">
    <mergeCell ref="A23:B23"/>
    <mergeCell ref="F20:H20"/>
    <mergeCell ref="F11:H11"/>
    <mergeCell ref="A1:B1"/>
    <mergeCell ref="A2:B2"/>
    <mergeCell ref="A11:B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F351-DF54-4B7C-A78D-90F1AB495D78}">
  <dimension ref="A1:J26"/>
  <sheetViews>
    <sheetView workbookViewId="0">
      <selection activeCell="F13" sqref="F13"/>
    </sheetView>
  </sheetViews>
  <sheetFormatPr baseColWidth="10" defaultRowHeight="15" x14ac:dyDescent="0.2"/>
  <cols>
    <col min="1" max="1" width="32.83203125" bestFit="1" customWidth="1"/>
    <col min="2" max="2" width="13.83203125" customWidth="1"/>
    <col min="5" max="5" width="28.33203125" bestFit="1" customWidth="1"/>
    <col min="6" max="6" width="13.5" customWidth="1"/>
    <col min="8" max="8" width="11.1640625" customWidth="1"/>
    <col min="9" max="9" width="17.83203125" bestFit="1" customWidth="1"/>
  </cols>
  <sheetData>
    <row r="1" spans="1:10" x14ac:dyDescent="0.2">
      <c r="A1" s="143" t="s">
        <v>153</v>
      </c>
      <c r="B1" s="143"/>
      <c r="E1" s="144" t="s">
        <v>162</v>
      </c>
      <c r="F1" s="145"/>
    </row>
    <row r="2" spans="1:10" x14ac:dyDescent="0.2">
      <c r="A2" s="146" t="s">
        <v>196</v>
      </c>
      <c r="B2" s="147"/>
      <c r="E2" s="40" t="s">
        <v>6</v>
      </c>
      <c r="F2" s="39" t="s">
        <v>150</v>
      </c>
      <c r="I2" s="40" t="s">
        <v>202</v>
      </c>
      <c r="J2" s="55" t="s">
        <v>150</v>
      </c>
    </row>
    <row r="3" spans="1:10" x14ac:dyDescent="0.2">
      <c r="A3" s="10" t="s">
        <v>6</v>
      </c>
      <c r="B3" s="38" t="s">
        <v>150</v>
      </c>
      <c r="E3" s="52" t="s">
        <v>164</v>
      </c>
      <c r="F3" s="51">
        <v>50000</v>
      </c>
      <c r="I3" s="36" t="s">
        <v>156</v>
      </c>
      <c r="J3" s="60">
        <v>0</v>
      </c>
    </row>
    <row r="4" spans="1:10" x14ac:dyDescent="0.2">
      <c r="A4" s="52" t="s">
        <v>167</v>
      </c>
      <c r="B4" s="51">
        <v>0</v>
      </c>
      <c r="E4" s="52" t="s">
        <v>169</v>
      </c>
      <c r="F4" s="51">
        <v>0</v>
      </c>
      <c r="I4" s="36" t="s">
        <v>157</v>
      </c>
      <c r="J4" s="60">
        <v>0</v>
      </c>
    </row>
    <row r="5" spans="1:10" x14ac:dyDescent="0.2">
      <c r="A5" s="52" t="s">
        <v>168</v>
      </c>
      <c r="B5" s="51">
        <v>0</v>
      </c>
      <c r="E5" s="52" t="s">
        <v>198</v>
      </c>
      <c r="F5" s="51">
        <v>0</v>
      </c>
      <c r="I5" s="36" t="s">
        <v>212</v>
      </c>
      <c r="J5" s="60">
        <v>0</v>
      </c>
    </row>
    <row r="6" spans="1:10" x14ac:dyDescent="0.2">
      <c r="A6" s="52" t="s">
        <v>173</v>
      </c>
      <c r="B6" s="51">
        <v>0</v>
      </c>
      <c r="E6" s="52" t="s">
        <v>176</v>
      </c>
      <c r="F6" s="51">
        <v>0</v>
      </c>
      <c r="I6" s="36" t="s">
        <v>213</v>
      </c>
      <c r="J6" s="60">
        <v>0</v>
      </c>
    </row>
    <row r="7" spans="1:10" x14ac:dyDescent="0.2">
      <c r="A7" s="52" t="s">
        <v>188</v>
      </c>
      <c r="B7" s="51">
        <v>0</v>
      </c>
      <c r="E7" s="52" t="s">
        <v>177</v>
      </c>
      <c r="F7" s="51">
        <f>Inversion!G20+EDT!B29</f>
        <v>588630.74812499993</v>
      </c>
      <c r="I7" s="36" t="s">
        <v>158</v>
      </c>
      <c r="J7" s="60">
        <v>0</v>
      </c>
    </row>
    <row r="8" spans="1:10" x14ac:dyDescent="0.2">
      <c r="A8" s="52" t="s">
        <v>174</v>
      </c>
      <c r="B8" s="51">
        <v>0</v>
      </c>
      <c r="E8" s="52" t="s">
        <v>199</v>
      </c>
      <c r="F8" s="51">
        <v>0</v>
      </c>
      <c r="I8" s="36" t="s">
        <v>214</v>
      </c>
      <c r="J8" s="60">
        <v>0</v>
      </c>
    </row>
    <row r="9" spans="1:10" x14ac:dyDescent="0.2">
      <c r="A9" s="52" t="s">
        <v>175</v>
      </c>
      <c r="B9" s="51">
        <v>0</v>
      </c>
      <c r="E9" s="53" t="s">
        <v>200</v>
      </c>
      <c r="F9" s="60">
        <v>0</v>
      </c>
      <c r="I9" s="36"/>
      <c r="J9" s="60">
        <v>0</v>
      </c>
    </row>
    <row r="10" spans="1:10" x14ac:dyDescent="0.2">
      <c r="A10" s="36"/>
      <c r="B10" s="51">
        <v>0</v>
      </c>
      <c r="E10" s="53" t="s">
        <v>201</v>
      </c>
      <c r="F10" s="60">
        <v>0</v>
      </c>
      <c r="I10" s="36"/>
      <c r="J10" s="60">
        <v>0</v>
      </c>
    </row>
    <row r="11" spans="1:10" x14ac:dyDescent="0.2">
      <c r="A11" s="36"/>
      <c r="B11" s="51">
        <v>0</v>
      </c>
      <c r="E11" s="53" t="s">
        <v>202</v>
      </c>
      <c r="F11" s="60">
        <v>0</v>
      </c>
      <c r="I11" s="36"/>
      <c r="J11" s="60">
        <v>0</v>
      </c>
    </row>
    <row r="12" spans="1:10" x14ac:dyDescent="0.2">
      <c r="A12" s="57" t="s">
        <v>151</v>
      </c>
      <c r="B12" s="51">
        <f>SUM(B4:B11)</f>
        <v>0</v>
      </c>
      <c r="E12" s="36"/>
      <c r="F12" s="60">
        <v>0</v>
      </c>
      <c r="I12" s="62" t="s">
        <v>151</v>
      </c>
      <c r="J12" s="60">
        <f>SUM(J3:J11)</f>
        <v>0</v>
      </c>
    </row>
    <row r="13" spans="1:10" x14ac:dyDescent="0.2">
      <c r="A13" s="146" t="s">
        <v>203</v>
      </c>
      <c r="B13" s="147"/>
      <c r="E13" s="59" t="s">
        <v>151</v>
      </c>
      <c r="F13" s="60">
        <f>SUM(F3:F12)</f>
        <v>638630.74812499993</v>
      </c>
    </row>
    <row r="14" spans="1:10" x14ac:dyDescent="0.2">
      <c r="A14" s="10" t="s">
        <v>6</v>
      </c>
      <c r="B14" s="55" t="s">
        <v>150</v>
      </c>
    </row>
    <row r="15" spans="1:10" x14ac:dyDescent="0.2">
      <c r="A15" s="52" t="s">
        <v>205</v>
      </c>
      <c r="B15" s="51">
        <v>0</v>
      </c>
    </row>
    <row r="16" spans="1:10" x14ac:dyDescent="0.2">
      <c r="A16" s="52" t="s">
        <v>206</v>
      </c>
      <c r="B16" s="51">
        <v>0</v>
      </c>
    </row>
    <row r="17" spans="1:4" x14ac:dyDescent="0.2">
      <c r="A17" s="52"/>
      <c r="B17" s="51">
        <v>0</v>
      </c>
    </row>
    <row r="18" spans="1:4" x14ac:dyDescent="0.2">
      <c r="A18" s="52"/>
      <c r="B18" s="51">
        <v>0</v>
      </c>
    </row>
    <row r="19" spans="1:4" x14ac:dyDescent="0.2">
      <c r="A19" s="56" t="s">
        <v>151</v>
      </c>
      <c r="B19" s="51">
        <f>SUM(B15,B16)</f>
        <v>0</v>
      </c>
      <c r="D19" s="41"/>
    </row>
    <row r="20" spans="1:4" x14ac:dyDescent="0.2">
      <c r="A20" s="146" t="s">
        <v>204</v>
      </c>
      <c r="B20" s="147"/>
    </row>
    <row r="21" spans="1:4" x14ac:dyDescent="0.2">
      <c r="A21" s="10" t="s">
        <v>6</v>
      </c>
      <c r="B21" s="54" t="s">
        <v>150</v>
      </c>
    </row>
    <row r="22" spans="1:4" x14ac:dyDescent="0.2">
      <c r="A22" s="53" t="s">
        <v>190</v>
      </c>
      <c r="B22" s="51">
        <v>0</v>
      </c>
    </row>
    <row r="23" spans="1:4" x14ac:dyDescent="0.2">
      <c r="A23" s="52" t="s">
        <v>189</v>
      </c>
      <c r="B23" s="51">
        <v>0</v>
      </c>
    </row>
    <row r="24" spans="1:4" x14ac:dyDescent="0.2">
      <c r="A24" s="52"/>
      <c r="B24" s="51">
        <v>0</v>
      </c>
    </row>
    <row r="25" spans="1:4" x14ac:dyDescent="0.2">
      <c r="A25" s="56" t="s">
        <v>151</v>
      </c>
      <c r="B25" s="51">
        <f>SUM(B22,B23)</f>
        <v>0</v>
      </c>
    </row>
    <row r="26" spans="1:4" x14ac:dyDescent="0.2">
      <c r="A26" s="50" t="s">
        <v>197</v>
      </c>
      <c r="B26" s="51">
        <f>SUM(B12,B19,B25,F13)</f>
        <v>638630.74812499993</v>
      </c>
    </row>
  </sheetData>
  <mergeCells count="5">
    <mergeCell ref="A1:B1"/>
    <mergeCell ref="E1:F1"/>
    <mergeCell ref="A2:B2"/>
    <mergeCell ref="A13:B13"/>
    <mergeCell ref="A20:B20"/>
  </mergeCell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16A5-1592-4265-8439-AFC8CCE75FBF}">
  <dimension ref="A1:F17"/>
  <sheetViews>
    <sheetView workbookViewId="0">
      <selection activeCell="D25" sqref="D25"/>
    </sheetView>
  </sheetViews>
  <sheetFormatPr baseColWidth="10" defaultRowHeight="15" x14ac:dyDescent="0.2"/>
  <cols>
    <col min="1" max="1" width="24" bestFit="1" customWidth="1"/>
    <col min="4" max="5" width="13.6640625" bestFit="1" customWidth="1"/>
  </cols>
  <sheetData>
    <row r="1" spans="1:6" x14ac:dyDescent="0.2">
      <c r="A1" s="148" t="s">
        <v>155</v>
      </c>
      <c r="B1" s="148"/>
    </row>
    <row r="2" spans="1:6" x14ac:dyDescent="0.2">
      <c r="A2" s="11" t="s">
        <v>6</v>
      </c>
      <c r="B2" s="38" t="s">
        <v>150</v>
      </c>
      <c r="D2" s="149" t="s">
        <v>160</v>
      </c>
      <c r="E2" s="149"/>
    </row>
    <row r="3" spans="1:6" x14ac:dyDescent="0.2">
      <c r="A3" s="29" t="s">
        <v>156</v>
      </c>
      <c r="B3" s="51">
        <v>0</v>
      </c>
      <c r="D3" s="52" t="s">
        <v>222</v>
      </c>
      <c r="E3" s="36">
        <v>6</v>
      </c>
    </row>
    <row r="4" spans="1:6" x14ac:dyDescent="0.2">
      <c r="A4" s="29" t="s">
        <v>157</v>
      </c>
      <c r="B4" s="51">
        <v>0</v>
      </c>
      <c r="D4" s="52" t="s">
        <v>216</v>
      </c>
      <c r="E4" s="36">
        <v>600</v>
      </c>
    </row>
    <row r="5" spans="1:6" x14ac:dyDescent="0.2">
      <c r="A5" s="29" t="s">
        <v>158</v>
      </c>
      <c r="B5" s="51">
        <v>0</v>
      </c>
      <c r="D5" s="52" t="s">
        <v>151</v>
      </c>
      <c r="E5" s="36">
        <f>E3*E4</f>
        <v>3600</v>
      </c>
    </row>
    <row r="6" spans="1:6" x14ac:dyDescent="0.2">
      <c r="A6" s="29" t="s">
        <v>159</v>
      </c>
      <c r="B6" s="51">
        <v>0</v>
      </c>
    </row>
    <row r="7" spans="1:6" x14ac:dyDescent="0.2">
      <c r="A7" s="29" t="s">
        <v>160</v>
      </c>
      <c r="B7" s="51">
        <f>E5</f>
        <v>3600</v>
      </c>
      <c r="D7" s="149" t="s">
        <v>158</v>
      </c>
      <c r="E7" s="149"/>
    </row>
    <row r="8" spans="1:6" x14ac:dyDescent="0.2">
      <c r="A8" s="29"/>
      <c r="B8" s="29"/>
      <c r="D8" s="53" t="s">
        <v>223</v>
      </c>
      <c r="E8" s="36">
        <v>1</v>
      </c>
    </row>
    <row r="9" spans="1:6" x14ac:dyDescent="0.2">
      <c r="A9" s="29"/>
      <c r="B9" s="29"/>
      <c r="D9" s="36" t="s">
        <v>150</v>
      </c>
      <c r="E9" s="65">
        <v>1000</v>
      </c>
    </row>
    <row r="10" spans="1:6" x14ac:dyDescent="0.2">
      <c r="A10" s="29"/>
      <c r="B10" s="29"/>
      <c r="D10" s="36" t="s">
        <v>151</v>
      </c>
      <c r="E10" s="65">
        <f>E9</f>
        <v>1000</v>
      </c>
      <c r="F10" s="66"/>
    </row>
    <row r="11" spans="1:6" x14ac:dyDescent="0.2">
      <c r="A11" s="29"/>
      <c r="B11" s="29"/>
    </row>
    <row r="12" spans="1:6" x14ac:dyDescent="0.2">
      <c r="A12" s="29"/>
      <c r="B12" s="29"/>
    </row>
    <row r="13" spans="1:6" x14ac:dyDescent="0.2">
      <c r="A13" s="29"/>
      <c r="B13" s="29"/>
    </row>
    <row r="14" spans="1:6" x14ac:dyDescent="0.2">
      <c r="A14" s="29"/>
      <c r="B14" s="29"/>
    </row>
    <row r="15" spans="1:6" x14ac:dyDescent="0.2">
      <c r="A15" s="29"/>
      <c r="B15" s="29"/>
    </row>
    <row r="16" spans="1:6" x14ac:dyDescent="0.2">
      <c r="A16" s="29"/>
      <c r="B16" s="29"/>
    </row>
    <row r="17" spans="1:2" x14ac:dyDescent="0.2">
      <c r="A17" s="29"/>
      <c r="B17" s="29"/>
    </row>
  </sheetData>
  <mergeCells count="3">
    <mergeCell ref="A1:B1"/>
    <mergeCell ref="D2:E2"/>
    <mergeCell ref="D7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BDF9-CAED-4892-90A3-B7952B92B89A}">
  <dimension ref="A1:M19"/>
  <sheetViews>
    <sheetView topLeftCell="E1" zoomScale="85" zoomScaleNormal="85" workbookViewId="0">
      <selection activeCell="M6" sqref="M6"/>
    </sheetView>
  </sheetViews>
  <sheetFormatPr baseColWidth="10" defaultRowHeight="15" x14ac:dyDescent="0.2"/>
  <cols>
    <col min="1" max="1" width="15.1640625" customWidth="1"/>
    <col min="2" max="2" width="19.83203125" customWidth="1"/>
    <col min="3" max="4" width="12.5" bestFit="1" customWidth="1"/>
    <col min="5" max="5" width="36.6640625" customWidth="1"/>
    <col min="6" max="6" width="14.1640625" bestFit="1" customWidth="1"/>
    <col min="9" max="9" width="22.5" bestFit="1" customWidth="1"/>
    <col min="12" max="12" width="8.6640625" bestFit="1" customWidth="1"/>
    <col min="13" max="13" width="29" bestFit="1" customWidth="1"/>
  </cols>
  <sheetData>
    <row r="1" spans="1:13" x14ac:dyDescent="0.2">
      <c r="A1" s="157" t="s">
        <v>224</v>
      </c>
      <c r="B1" s="157"/>
      <c r="D1" s="121" t="s">
        <v>258</v>
      </c>
      <c r="E1" s="121"/>
      <c r="F1" s="121"/>
      <c r="H1" s="155" t="s">
        <v>244</v>
      </c>
      <c r="I1" s="155"/>
      <c r="L1" s="150" t="s">
        <v>225</v>
      </c>
      <c r="M1" s="150"/>
    </row>
    <row r="2" spans="1:13" x14ac:dyDescent="0.2">
      <c r="A2" s="38" t="s">
        <v>225</v>
      </c>
      <c r="B2" s="38" t="s">
        <v>6</v>
      </c>
      <c r="D2" s="38" t="s">
        <v>239</v>
      </c>
      <c r="E2" s="38" t="s">
        <v>6</v>
      </c>
      <c r="F2" s="38" t="s">
        <v>240</v>
      </c>
      <c r="H2" s="38" t="s">
        <v>225</v>
      </c>
      <c r="I2" s="38" t="s">
        <v>6</v>
      </c>
      <c r="L2" s="38" t="s">
        <v>268</v>
      </c>
      <c r="M2" s="38" t="s">
        <v>6</v>
      </c>
    </row>
    <row r="3" spans="1:13" x14ac:dyDescent="0.2">
      <c r="A3" s="29">
        <v>1</v>
      </c>
      <c r="B3" s="52" t="s">
        <v>228</v>
      </c>
      <c r="D3" s="29">
        <f>A3</f>
        <v>1</v>
      </c>
      <c r="E3" s="52" t="str">
        <f>B3</f>
        <v>Trabajadores</v>
      </c>
      <c r="F3" s="29">
        <v>3</v>
      </c>
      <c r="H3" s="29">
        <v>1</v>
      </c>
      <c r="I3" s="29" t="s">
        <v>246</v>
      </c>
      <c r="L3" s="29">
        <v>1</v>
      </c>
      <c r="M3" s="52" t="s">
        <v>259</v>
      </c>
    </row>
    <row r="4" spans="1:13" x14ac:dyDescent="0.2">
      <c r="A4" s="29">
        <v>2</v>
      </c>
      <c r="B4" s="52" t="s">
        <v>331</v>
      </c>
      <c r="D4" s="29">
        <f t="shared" ref="D4:D8" si="0">A4</f>
        <v>2</v>
      </c>
      <c r="E4" s="52" t="str">
        <f t="shared" ref="E4:E8" si="1">B4</f>
        <v>Pacientes</v>
      </c>
      <c r="F4" s="29">
        <v>3</v>
      </c>
      <c r="H4" s="29">
        <v>2</v>
      </c>
      <c r="I4" s="29" t="s">
        <v>245</v>
      </c>
      <c r="L4" s="29">
        <v>2</v>
      </c>
      <c r="M4" s="52" t="s">
        <v>260</v>
      </c>
    </row>
    <row r="5" spans="1:13" x14ac:dyDescent="0.2">
      <c r="A5" s="29">
        <v>3</v>
      </c>
      <c r="B5" s="52" t="s">
        <v>236</v>
      </c>
      <c r="D5" s="29">
        <f t="shared" si="0"/>
        <v>3</v>
      </c>
      <c r="E5" s="52" t="str">
        <f t="shared" si="1"/>
        <v>Inventario</v>
      </c>
      <c r="F5" s="29">
        <v>3</v>
      </c>
      <c r="H5" s="29">
        <v>3</v>
      </c>
      <c r="I5" s="29" t="s">
        <v>65</v>
      </c>
      <c r="L5" s="29">
        <v>3</v>
      </c>
      <c r="M5" s="52" t="s">
        <v>261</v>
      </c>
    </row>
    <row r="6" spans="1:13" x14ac:dyDescent="0.2">
      <c r="A6" s="73">
        <v>4</v>
      </c>
      <c r="B6" s="86" t="s">
        <v>237</v>
      </c>
      <c r="D6" s="29">
        <f t="shared" si="0"/>
        <v>4</v>
      </c>
      <c r="E6" s="52" t="str">
        <f t="shared" si="1"/>
        <v>Citas</v>
      </c>
      <c r="F6" s="29">
        <v>3</v>
      </c>
      <c r="H6" s="29">
        <v>4</v>
      </c>
      <c r="I6" s="29" t="s">
        <v>247</v>
      </c>
      <c r="L6" s="29">
        <v>4</v>
      </c>
      <c r="M6" s="52" t="s">
        <v>263</v>
      </c>
    </row>
    <row r="7" spans="1:13" x14ac:dyDescent="0.2">
      <c r="A7" s="73">
        <v>5</v>
      </c>
      <c r="B7" s="52" t="s">
        <v>241</v>
      </c>
      <c r="D7" s="29">
        <f t="shared" si="0"/>
        <v>5</v>
      </c>
      <c r="E7" s="52" t="str">
        <f t="shared" si="1"/>
        <v>Documentacion</v>
      </c>
      <c r="F7" s="29">
        <v>3</v>
      </c>
      <c r="H7" s="29">
        <v>5</v>
      </c>
      <c r="I7" s="29"/>
      <c r="L7" s="29">
        <v>5</v>
      </c>
      <c r="M7" s="52" t="s">
        <v>264</v>
      </c>
    </row>
    <row r="8" spans="1:13" x14ac:dyDescent="0.2">
      <c r="A8" s="73">
        <v>6</v>
      </c>
      <c r="B8" s="52"/>
      <c r="D8" s="29">
        <f t="shared" si="0"/>
        <v>6</v>
      </c>
      <c r="E8" s="52">
        <f t="shared" si="1"/>
        <v>0</v>
      </c>
      <c r="F8" s="29"/>
      <c r="H8" s="29">
        <v>6</v>
      </c>
      <c r="I8" s="29"/>
      <c r="L8" s="29">
        <v>6</v>
      </c>
      <c r="M8" s="52" t="s">
        <v>265</v>
      </c>
    </row>
    <row r="9" spans="1:13" x14ac:dyDescent="0.2">
      <c r="L9" s="29">
        <v>7</v>
      </c>
      <c r="M9" s="52" t="s">
        <v>267</v>
      </c>
    </row>
    <row r="10" spans="1:13" x14ac:dyDescent="0.2">
      <c r="L10" s="29">
        <v>8</v>
      </c>
      <c r="M10" s="52" t="s">
        <v>266</v>
      </c>
    </row>
    <row r="12" spans="1:13" x14ac:dyDescent="0.2">
      <c r="A12" s="153" t="s">
        <v>238</v>
      </c>
      <c r="B12" s="154"/>
      <c r="D12" s="151" t="s">
        <v>242</v>
      </c>
      <c r="E12" s="152"/>
      <c r="H12" s="156" t="s">
        <v>251</v>
      </c>
      <c r="I12" s="156"/>
      <c r="J12" s="156"/>
    </row>
    <row r="13" spans="1:13" x14ac:dyDescent="0.2">
      <c r="A13" s="85" t="s">
        <v>225</v>
      </c>
      <c r="B13" s="85" t="s">
        <v>6</v>
      </c>
      <c r="D13" s="38" t="s">
        <v>225</v>
      </c>
      <c r="E13" s="38" t="s">
        <v>6</v>
      </c>
      <c r="H13" s="38" t="s">
        <v>225</v>
      </c>
      <c r="I13" s="38" t="s">
        <v>6</v>
      </c>
      <c r="J13" s="38" t="s">
        <v>240</v>
      </c>
    </row>
    <row r="14" spans="1:13" x14ac:dyDescent="0.2">
      <c r="A14" s="29">
        <f t="shared" ref="A14:B19" si="2">A3</f>
        <v>1</v>
      </c>
      <c r="B14" s="52" t="str">
        <f t="shared" si="2"/>
        <v>Trabajadores</v>
      </c>
      <c r="D14" s="29">
        <f t="shared" ref="D14:D19" si="3">A3</f>
        <v>1</v>
      </c>
      <c r="E14" s="52" t="s">
        <v>243</v>
      </c>
      <c r="H14" s="29">
        <f>A3</f>
        <v>1</v>
      </c>
      <c r="I14" s="52" t="s">
        <v>252</v>
      </c>
      <c r="J14" s="29">
        <v>2</v>
      </c>
    </row>
    <row r="15" spans="1:13" x14ac:dyDescent="0.2">
      <c r="A15" s="29">
        <f t="shared" si="2"/>
        <v>2</v>
      </c>
      <c r="B15" s="52" t="str">
        <f t="shared" si="2"/>
        <v>Pacientes</v>
      </c>
      <c r="D15" s="29">
        <f t="shared" si="3"/>
        <v>2</v>
      </c>
      <c r="E15" s="52" t="s">
        <v>249</v>
      </c>
      <c r="H15" s="29">
        <f t="shared" ref="H15:H19" si="4">A4</f>
        <v>2</v>
      </c>
      <c r="I15" s="52" t="s">
        <v>253</v>
      </c>
      <c r="J15" s="29">
        <v>1</v>
      </c>
    </row>
    <row r="16" spans="1:13" x14ac:dyDescent="0.2">
      <c r="A16" s="29">
        <f t="shared" si="2"/>
        <v>3</v>
      </c>
      <c r="B16" s="52" t="str">
        <f t="shared" si="2"/>
        <v>Inventario</v>
      </c>
      <c r="D16" s="29">
        <f t="shared" si="3"/>
        <v>3</v>
      </c>
      <c r="E16" s="86" t="s">
        <v>248</v>
      </c>
      <c r="H16" s="29">
        <f t="shared" si="4"/>
        <v>3</v>
      </c>
      <c r="I16" s="52" t="s">
        <v>254</v>
      </c>
      <c r="J16" s="29">
        <v>1</v>
      </c>
    </row>
    <row r="17" spans="1:10" x14ac:dyDescent="0.2">
      <c r="A17" s="29">
        <f t="shared" si="2"/>
        <v>4</v>
      </c>
      <c r="B17" s="52" t="str">
        <f t="shared" si="2"/>
        <v>Citas</v>
      </c>
      <c r="D17" s="29">
        <f t="shared" si="3"/>
        <v>4</v>
      </c>
      <c r="E17" s="52" t="s">
        <v>250</v>
      </c>
      <c r="H17" s="29">
        <f t="shared" si="4"/>
        <v>4</v>
      </c>
      <c r="I17" s="52" t="s">
        <v>255</v>
      </c>
      <c r="J17" s="29">
        <v>1</v>
      </c>
    </row>
    <row r="18" spans="1:10" x14ac:dyDescent="0.2">
      <c r="A18" s="29">
        <f t="shared" si="2"/>
        <v>5</v>
      </c>
      <c r="B18" s="52" t="str">
        <f t="shared" si="2"/>
        <v>Documentacion</v>
      </c>
      <c r="D18" s="29">
        <f t="shared" si="3"/>
        <v>5</v>
      </c>
      <c r="E18" s="52" t="s">
        <v>256</v>
      </c>
      <c r="H18" s="29">
        <f t="shared" si="4"/>
        <v>5</v>
      </c>
      <c r="I18" s="29" t="s">
        <v>262</v>
      </c>
      <c r="J18" s="29"/>
    </row>
    <row r="19" spans="1:10" x14ac:dyDescent="0.2">
      <c r="A19" s="29">
        <f t="shared" si="2"/>
        <v>6</v>
      </c>
      <c r="B19" s="52">
        <f t="shared" si="2"/>
        <v>0</v>
      </c>
      <c r="D19" s="29">
        <f t="shared" si="3"/>
        <v>6</v>
      </c>
      <c r="E19" s="52" t="s">
        <v>257</v>
      </c>
      <c r="H19" s="29">
        <f t="shared" si="4"/>
        <v>6</v>
      </c>
      <c r="I19" s="29"/>
      <c r="J19" s="29"/>
    </row>
  </sheetData>
  <mergeCells count="7">
    <mergeCell ref="L1:M1"/>
    <mergeCell ref="D1:F1"/>
    <mergeCell ref="D12:E12"/>
    <mergeCell ref="A12:B12"/>
    <mergeCell ref="H1:I1"/>
    <mergeCell ref="H12:J12"/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EDD7-D915-499B-8827-FF53C1AB54E5}">
  <dimension ref="A1:BI51"/>
  <sheetViews>
    <sheetView topLeftCell="A32" workbookViewId="0">
      <selection activeCell="E47" sqref="E47"/>
    </sheetView>
  </sheetViews>
  <sheetFormatPr baseColWidth="10" defaultRowHeight="15" x14ac:dyDescent="0.2"/>
  <cols>
    <col min="1" max="1" width="17.83203125" bestFit="1" customWidth="1"/>
    <col min="2" max="2" width="16.33203125" customWidth="1"/>
    <col min="3" max="3" width="16" customWidth="1"/>
    <col min="4" max="4" width="17" customWidth="1"/>
    <col min="5" max="6" width="19.5" bestFit="1" customWidth="1"/>
    <col min="7" max="7" width="15.83203125" customWidth="1"/>
    <col min="8" max="8" width="14.83203125" customWidth="1"/>
    <col min="9" max="9" width="15" customWidth="1"/>
    <col min="10" max="10" width="16.5" customWidth="1"/>
    <col min="11" max="11" width="16.83203125" customWidth="1"/>
    <col min="12" max="12" width="15.6640625" customWidth="1"/>
    <col min="13" max="13" width="14.1640625" bestFit="1" customWidth="1"/>
    <col min="24" max="24" width="12.5" bestFit="1" customWidth="1"/>
    <col min="36" max="36" width="12.5" bestFit="1" customWidth="1"/>
    <col min="41" max="47" width="12.5" bestFit="1" customWidth="1"/>
    <col min="48" max="48" width="14.1640625" bestFit="1" customWidth="1"/>
    <col min="49" max="59" width="12.5" bestFit="1" customWidth="1"/>
    <col min="60" max="61" width="14.1640625" bestFit="1" customWidth="1"/>
  </cols>
  <sheetData>
    <row r="1" spans="1:8" x14ac:dyDescent="0.2">
      <c r="A1" s="149" t="s">
        <v>268</v>
      </c>
      <c r="B1" s="149"/>
    </row>
    <row r="2" spans="1:8" x14ac:dyDescent="0.2">
      <c r="A2" s="71" t="s">
        <v>269</v>
      </c>
      <c r="B2" s="71">
        <v>8</v>
      </c>
    </row>
    <row r="5" spans="1:8" x14ac:dyDescent="0.2">
      <c r="A5" s="149" t="s">
        <v>275</v>
      </c>
      <c r="B5" s="149"/>
      <c r="C5" s="149"/>
      <c r="D5" s="149"/>
      <c r="E5" s="36"/>
      <c r="F5" s="36"/>
      <c r="G5" s="80"/>
      <c r="H5" s="79"/>
    </row>
    <row r="6" spans="1:8" x14ac:dyDescent="0.2">
      <c r="A6" s="29" t="s">
        <v>89</v>
      </c>
      <c r="B6" s="29" t="s">
        <v>75</v>
      </c>
      <c r="C6" s="71" t="s">
        <v>150</v>
      </c>
      <c r="D6" s="36" t="s">
        <v>274</v>
      </c>
      <c r="E6" s="36" t="s">
        <v>69</v>
      </c>
      <c r="F6" s="36" t="s">
        <v>150</v>
      </c>
      <c r="G6" s="36" t="s">
        <v>268</v>
      </c>
    </row>
    <row r="7" spans="1:8" x14ac:dyDescent="0.2">
      <c r="A7" s="29">
        <v>2</v>
      </c>
      <c r="B7" s="88">
        <f>'Inv. y Des.'!D43</f>
        <v>4.6875</v>
      </c>
      <c r="C7" s="63">
        <f>'Inv. y Des.'!B44</f>
        <v>67383.749999999971</v>
      </c>
      <c r="D7" s="63">
        <f>C7/B7</f>
        <v>14375.199999999993</v>
      </c>
      <c r="E7" s="60">
        <f>Salario!$A$7*A7</f>
        <v>14375.2</v>
      </c>
      <c r="F7" s="63">
        <f>E7*B7</f>
        <v>67383.75</v>
      </c>
      <c r="G7" s="29">
        <v>1</v>
      </c>
    </row>
    <row r="8" spans="1:8" x14ac:dyDescent="0.2">
      <c r="A8" s="29">
        <v>3</v>
      </c>
      <c r="B8" s="88">
        <f>'Inv. y Des.'!D44</f>
        <v>2.34375</v>
      </c>
      <c r="C8" s="63">
        <f>'Inv. y Des.'!B45</f>
        <v>101075.62499999996</v>
      </c>
      <c r="D8" s="63">
        <f>C8/B8</f>
        <v>43125.599999999984</v>
      </c>
      <c r="E8" s="60">
        <f>Salario!$A$7*A8</f>
        <v>21562.800000000003</v>
      </c>
      <c r="F8" s="63">
        <f>E8*B8</f>
        <v>50537.812500000007</v>
      </c>
      <c r="G8" s="29">
        <v>1</v>
      </c>
    </row>
    <row r="9" spans="1:8" x14ac:dyDescent="0.2">
      <c r="A9" s="29">
        <v>4</v>
      </c>
      <c r="B9" s="88">
        <f>'Inv. y Des.'!D45</f>
        <v>1.5625</v>
      </c>
      <c r="C9" s="63">
        <f>'Inv. y Des.'!B46</f>
        <v>134767.49999999994</v>
      </c>
      <c r="D9" s="63">
        <f>C9/B9</f>
        <v>86251.199999999968</v>
      </c>
      <c r="E9" s="60">
        <f>Salario!$A$7*A9</f>
        <v>28750.400000000001</v>
      </c>
      <c r="F9" s="63">
        <f>E9*B9</f>
        <v>44922.5</v>
      </c>
      <c r="G9" s="29">
        <v>1</v>
      </c>
    </row>
    <row r="11" spans="1:8" x14ac:dyDescent="0.2">
      <c r="A11" s="29" t="s">
        <v>235</v>
      </c>
      <c r="B11" s="29" t="s">
        <v>75</v>
      </c>
      <c r="C11" s="29" t="s">
        <v>150</v>
      </c>
      <c r="D11" s="29" t="s">
        <v>274</v>
      </c>
      <c r="E11" s="73" t="s">
        <v>69</v>
      </c>
      <c r="F11" s="36" t="s">
        <v>150</v>
      </c>
      <c r="G11" s="73" t="s">
        <v>268</v>
      </c>
    </row>
    <row r="12" spans="1:8" x14ac:dyDescent="0.2">
      <c r="A12" s="29">
        <f>A7</f>
        <v>2</v>
      </c>
      <c r="B12" s="88">
        <f>'Inv. y Des.'!D48</f>
        <v>2.6875</v>
      </c>
      <c r="C12" s="32">
        <f>'Inv. y Des.'!B49</f>
        <v>38633.35</v>
      </c>
      <c r="D12" s="32">
        <f>C12/B12</f>
        <v>14375.199999999999</v>
      </c>
      <c r="E12" s="63">
        <f>E7</f>
        <v>14375.2</v>
      </c>
      <c r="F12" s="63">
        <f>E12*B12</f>
        <v>38633.35</v>
      </c>
      <c r="G12" s="29">
        <v>7</v>
      </c>
      <c r="H12" s="78">
        <f>(G12*F12)+F7</f>
        <v>337817.2</v>
      </c>
    </row>
    <row r="13" spans="1:8" x14ac:dyDescent="0.2">
      <c r="A13" s="29">
        <f t="shared" ref="A13:A14" si="0">A8</f>
        <v>3</v>
      </c>
      <c r="B13" s="88">
        <f>'Inv. y Des.'!D49</f>
        <v>1.34375</v>
      </c>
      <c r="C13" s="32">
        <f>'Inv. y Des.'!B50</f>
        <v>57950.024999999994</v>
      </c>
      <c r="D13" s="32">
        <f t="shared" ref="D13:D14" si="1">C13/B13</f>
        <v>43125.599999999999</v>
      </c>
      <c r="E13" s="63">
        <f t="shared" ref="E13:E14" si="2">E8</f>
        <v>21562.800000000003</v>
      </c>
      <c r="F13" s="63">
        <f>E13*B13</f>
        <v>28975.012500000004</v>
      </c>
      <c r="G13" s="29">
        <v>7</v>
      </c>
      <c r="H13" s="78">
        <f t="shared" ref="H13:H14" si="3">(G13*F13)+F8</f>
        <v>253362.90000000002</v>
      </c>
    </row>
    <row r="14" spans="1:8" x14ac:dyDescent="0.2">
      <c r="A14" s="29">
        <f t="shared" si="0"/>
        <v>4</v>
      </c>
      <c r="B14" s="87">
        <f>'Inv. y Des.'!D50</f>
        <v>0.89583333333333337</v>
      </c>
      <c r="C14" s="32">
        <f>'Inv. y Des.'!B51</f>
        <v>77266.7</v>
      </c>
      <c r="D14" s="32">
        <f t="shared" si="1"/>
        <v>86251.199999999997</v>
      </c>
      <c r="E14" s="63">
        <f t="shared" si="2"/>
        <v>28750.400000000001</v>
      </c>
      <c r="F14" s="63">
        <f>E14*B14</f>
        <v>25755.566666666669</v>
      </c>
      <c r="G14" s="29">
        <v>7</v>
      </c>
      <c r="H14" s="78">
        <f t="shared" si="3"/>
        <v>225211.46666666667</v>
      </c>
    </row>
    <row r="15" spans="1:8" x14ac:dyDescent="0.2">
      <c r="A15" s="74"/>
      <c r="B15" s="90"/>
      <c r="C15" s="91"/>
      <c r="D15" s="91"/>
    </row>
    <row r="17" spans="1:13" x14ac:dyDescent="0.2">
      <c r="A17" s="29"/>
      <c r="B17" s="160" t="s">
        <v>75</v>
      </c>
      <c r="C17" s="160"/>
      <c r="D17" s="160"/>
      <c r="E17" s="160"/>
      <c r="F17" s="29"/>
      <c r="G17" s="36"/>
    </row>
    <row r="18" spans="1:13" x14ac:dyDescent="0.2">
      <c r="A18" s="29" t="s">
        <v>280</v>
      </c>
      <c r="B18" s="29" t="s">
        <v>89</v>
      </c>
      <c r="C18" s="29" t="s">
        <v>276</v>
      </c>
      <c r="D18" s="29" t="s">
        <v>277</v>
      </c>
      <c r="E18" s="29" t="s">
        <v>278</v>
      </c>
      <c r="F18" s="29" t="s">
        <v>279</v>
      </c>
      <c r="G18" s="73" t="s">
        <v>150</v>
      </c>
    </row>
    <row r="19" spans="1:13" x14ac:dyDescent="0.2">
      <c r="A19" s="29">
        <v>2</v>
      </c>
      <c r="B19" s="88">
        <f>B7</f>
        <v>4.6875</v>
      </c>
      <c r="C19" s="88">
        <f>B12</f>
        <v>2.6875</v>
      </c>
      <c r="D19" s="29">
        <v>8</v>
      </c>
      <c r="E19" s="29">
        <f>B19+(C19*(D19-1))</f>
        <v>23.5</v>
      </c>
      <c r="F19" s="87">
        <f>E19/12</f>
        <v>1.9583333333333333</v>
      </c>
      <c r="G19" s="63">
        <f>E19*D12</f>
        <v>337817.19999999995</v>
      </c>
    </row>
    <row r="20" spans="1:13" x14ac:dyDescent="0.2">
      <c r="A20" s="29">
        <v>3</v>
      </c>
      <c r="B20" s="88">
        <f>B8</f>
        <v>2.34375</v>
      </c>
      <c r="C20" s="88">
        <f>B13</f>
        <v>1.34375</v>
      </c>
      <c r="D20" s="29">
        <v>8</v>
      </c>
      <c r="E20" s="29">
        <f>B20+(C20*(D20-1))</f>
        <v>11.75</v>
      </c>
      <c r="F20" s="88">
        <f t="shared" ref="F20:F21" si="4">E20/12</f>
        <v>0.97916666666666663</v>
      </c>
      <c r="G20" s="63">
        <f t="shared" ref="G20:G21" si="5">E20*D13</f>
        <v>506725.8</v>
      </c>
      <c r="I20" s="101"/>
    </row>
    <row r="21" spans="1:13" x14ac:dyDescent="0.2">
      <c r="A21" s="29">
        <v>4</v>
      </c>
      <c r="B21" s="88">
        <f>B9</f>
        <v>1.5625</v>
      </c>
      <c r="C21" s="88">
        <f t="shared" ref="C21" si="6">B14</f>
        <v>0.89583333333333337</v>
      </c>
      <c r="D21" s="29">
        <v>8</v>
      </c>
      <c r="E21" s="88">
        <f t="shared" ref="E21" si="7">B21+(C21*(D21-1))</f>
        <v>7.8333333333333339</v>
      </c>
      <c r="F21" s="88">
        <f t="shared" si="4"/>
        <v>0.65277777777777779</v>
      </c>
      <c r="G21" s="63">
        <f t="shared" si="5"/>
        <v>675634.4</v>
      </c>
    </row>
    <row r="23" spans="1:13" x14ac:dyDescent="0.2">
      <c r="A23" s="19" t="s">
        <v>332</v>
      </c>
      <c r="B23" s="63">
        <f>G20/12</f>
        <v>42227.15</v>
      </c>
    </row>
    <row r="24" spans="1:13" x14ac:dyDescent="0.2">
      <c r="A24" s="19" t="s">
        <v>333</v>
      </c>
      <c r="B24" s="63">
        <f>EDT!B29</f>
        <v>81904.948124999981</v>
      </c>
    </row>
    <row r="25" spans="1:13" x14ac:dyDescent="0.2">
      <c r="A25" s="19" t="s">
        <v>350</v>
      </c>
      <c r="B25" s="63"/>
    </row>
    <row r="27" spans="1:13" x14ac:dyDescent="0.2">
      <c r="A27" s="63">
        <f>'Pasivos y Patrimonio'!F13</f>
        <v>638630.74812499993</v>
      </c>
      <c r="B27" s="63">
        <f>0.05*A27</f>
        <v>31931.537406249998</v>
      </c>
      <c r="C27" s="63">
        <f>A27*0.02</f>
        <v>12772.614962499998</v>
      </c>
    </row>
    <row r="28" spans="1:13" x14ac:dyDescent="0.2">
      <c r="B28">
        <v>4</v>
      </c>
      <c r="C28">
        <v>4</v>
      </c>
    </row>
    <row r="31" spans="1:13" x14ac:dyDescent="0.2">
      <c r="A31" s="36">
        <v>1</v>
      </c>
      <c r="B31" s="36">
        <v>2</v>
      </c>
      <c r="C31" s="36">
        <v>3</v>
      </c>
      <c r="D31" s="36">
        <v>4</v>
      </c>
      <c r="E31" s="36">
        <v>5</v>
      </c>
      <c r="F31" s="36">
        <v>6</v>
      </c>
      <c r="G31" s="36">
        <v>7</v>
      </c>
      <c r="H31" s="36">
        <v>8</v>
      </c>
      <c r="I31" s="36">
        <v>9</v>
      </c>
      <c r="J31" s="36">
        <v>10</v>
      </c>
      <c r="K31" s="36">
        <v>11</v>
      </c>
      <c r="L31" s="36">
        <v>12</v>
      </c>
      <c r="M31" s="36"/>
    </row>
    <row r="32" spans="1:13" x14ac:dyDescent="0.2">
      <c r="A32" s="63">
        <f>$B$27</f>
        <v>31931.537406249998</v>
      </c>
      <c r="B32" s="63">
        <f t="shared" ref="B32:L32" si="8">$B$27</f>
        <v>31931.537406249998</v>
      </c>
      <c r="C32" s="63">
        <f t="shared" si="8"/>
        <v>31931.537406249998</v>
      </c>
      <c r="D32" s="63">
        <f t="shared" si="8"/>
        <v>31931.537406249998</v>
      </c>
      <c r="E32" s="63">
        <f t="shared" si="8"/>
        <v>31931.537406249998</v>
      </c>
      <c r="F32" s="63">
        <f t="shared" si="8"/>
        <v>31931.537406249998</v>
      </c>
      <c r="G32" s="63">
        <f t="shared" si="8"/>
        <v>31931.537406249998</v>
      </c>
      <c r="H32" s="63">
        <f t="shared" si="8"/>
        <v>31931.537406249998</v>
      </c>
      <c r="I32" s="63">
        <f t="shared" si="8"/>
        <v>31931.537406249998</v>
      </c>
      <c r="J32" s="63">
        <f t="shared" si="8"/>
        <v>31931.537406249998</v>
      </c>
      <c r="K32" s="63">
        <f t="shared" si="8"/>
        <v>31931.537406249998</v>
      </c>
      <c r="L32" s="63">
        <f t="shared" si="8"/>
        <v>31931.537406249998</v>
      </c>
      <c r="M32" s="63">
        <f>SUM(A32:L32)</f>
        <v>383178.448875</v>
      </c>
    </row>
    <row r="33" spans="1:61" x14ac:dyDescent="0.2">
      <c r="A33" s="63">
        <f>A32*$B$28</f>
        <v>127726.14962499999</v>
      </c>
      <c r="B33" s="63">
        <f t="shared" ref="B33:L33" si="9">B32*$B$28</f>
        <v>127726.14962499999</v>
      </c>
      <c r="C33" s="63">
        <f t="shared" si="9"/>
        <v>127726.14962499999</v>
      </c>
      <c r="D33" s="63">
        <f t="shared" si="9"/>
        <v>127726.14962499999</v>
      </c>
      <c r="E33" s="63">
        <f t="shared" si="9"/>
        <v>127726.14962499999</v>
      </c>
      <c r="F33" s="63">
        <f t="shared" si="9"/>
        <v>127726.14962499999</v>
      </c>
      <c r="G33" s="63">
        <f t="shared" si="9"/>
        <v>127726.14962499999</v>
      </c>
      <c r="H33" s="63">
        <f t="shared" si="9"/>
        <v>127726.14962499999</v>
      </c>
      <c r="I33" s="63">
        <f t="shared" si="9"/>
        <v>127726.14962499999</v>
      </c>
      <c r="J33" s="63">
        <f t="shared" si="9"/>
        <v>127726.14962499999</v>
      </c>
      <c r="K33" s="63">
        <f t="shared" si="9"/>
        <v>127726.14962499999</v>
      </c>
      <c r="L33" s="63">
        <f t="shared" si="9"/>
        <v>127726.14962499999</v>
      </c>
      <c r="M33" s="63">
        <f>M32*B28</f>
        <v>1532713.7955</v>
      </c>
    </row>
    <row r="35" spans="1:61" x14ac:dyDescent="0.2">
      <c r="A35" s="36">
        <v>1</v>
      </c>
      <c r="B35" s="36">
        <v>2</v>
      </c>
      <c r="C35" s="36">
        <v>3</v>
      </c>
      <c r="D35" s="36">
        <v>4</v>
      </c>
      <c r="E35" s="36">
        <v>5</v>
      </c>
      <c r="F35" s="36">
        <v>6</v>
      </c>
      <c r="G35" s="36">
        <v>7</v>
      </c>
      <c r="H35" s="36">
        <v>8</v>
      </c>
      <c r="I35" s="36">
        <v>9</v>
      </c>
      <c r="J35" s="36">
        <v>10</v>
      </c>
      <c r="K35" s="36">
        <v>11</v>
      </c>
      <c r="L35" s="36">
        <v>12</v>
      </c>
      <c r="M35" s="36"/>
    </row>
    <row r="36" spans="1:61" x14ac:dyDescent="0.2">
      <c r="A36" s="63">
        <f>$C$27</f>
        <v>12772.614962499998</v>
      </c>
      <c r="B36" s="63">
        <f t="shared" ref="B36:L36" si="10">$C$27</f>
        <v>12772.614962499998</v>
      </c>
      <c r="C36" s="63">
        <f t="shared" si="10"/>
        <v>12772.614962499998</v>
      </c>
      <c r="D36" s="63">
        <f t="shared" si="10"/>
        <v>12772.614962499998</v>
      </c>
      <c r="E36" s="63">
        <f t="shared" si="10"/>
        <v>12772.614962499998</v>
      </c>
      <c r="F36" s="63">
        <f t="shared" si="10"/>
        <v>12772.614962499998</v>
      </c>
      <c r="G36" s="63">
        <f t="shared" si="10"/>
        <v>12772.614962499998</v>
      </c>
      <c r="H36" s="63">
        <f t="shared" si="10"/>
        <v>12772.614962499998</v>
      </c>
      <c r="I36" s="63">
        <f t="shared" si="10"/>
        <v>12772.614962499998</v>
      </c>
      <c r="J36" s="63">
        <f t="shared" si="10"/>
        <v>12772.614962499998</v>
      </c>
      <c r="K36" s="63">
        <f t="shared" si="10"/>
        <v>12772.614962499998</v>
      </c>
      <c r="L36" s="63">
        <f t="shared" si="10"/>
        <v>12772.614962499998</v>
      </c>
      <c r="M36" s="63">
        <f>SUM(A36:L36)</f>
        <v>153271.37954999998</v>
      </c>
    </row>
    <row r="37" spans="1:61" x14ac:dyDescent="0.2">
      <c r="A37" s="63">
        <f>A36*$C$28</f>
        <v>51090.459849999992</v>
      </c>
      <c r="B37" s="63">
        <f t="shared" ref="B37:L37" si="11">B36*$C$28</f>
        <v>51090.459849999992</v>
      </c>
      <c r="C37" s="63">
        <f t="shared" si="11"/>
        <v>51090.459849999992</v>
      </c>
      <c r="D37" s="63">
        <f t="shared" si="11"/>
        <v>51090.459849999992</v>
      </c>
      <c r="E37" s="63">
        <f t="shared" si="11"/>
        <v>51090.459849999992</v>
      </c>
      <c r="F37" s="63">
        <f t="shared" si="11"/>
        <v>51090.459849999992</v>
      </c>
      <c r="G37" s="63">
        <f t="shared" si="11"/>
        <v>51090.459849999992</v>
      </c>
      <c r="H37" s="63">
        <f t="shared" si="11"/>
        <v>51090.459849999992</v>
      </c>
      <c r="I37" s="63">
        <f t="shared" si="11"/>
        <v>51090.459849999992</v>
      </c>
      <c r="J37" s="63">
        <f t="shared" si="11"/>
        <v>51090.459849999992</v>
      </c>
      <c r="K37" s="63">
        <f t="shared" si="11"/>
        <v>51090.459849999992</v>
      </c>
      <c r="L37" s="63">
        <f t="shared" si="11"/>
        <v>51090.459849999992</v>
      </c>
      <c r="M37" s="63">
        <f>M36*C28</f>
        <v>613085.51819999993</v>
      </c>
    </row>
    <row r="39" spans="1:61" x14ac:dyDescent="0.2">
      <c r="A39" s="158" t="s">
        <v>75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</row>
    <row r="40" spans="1:61" x14ac:dyDescent="0.2">
      <c r="A40" s="104">
        <f>A31</f>
        <v>1</v>
      </c>
      <c r="B40" s="104">
        <f>B31</f>
        <v>2</v>
      </c>
      <c r="C40" s="104">
        <f>C31</f>
        <v>3</v>
      </c>
      <c r="D40" s="104">
        <f t="shared" ref="D40:L40" si="12">D31</f>
        <v>4</v>
      </c>
      <c r="E40" s="104">
        <f t="shared" si="12"/>
        <v>5</v>
      </c>
      <c r="F40" s="104">
        <f t="shared" si="12"/>
        <v>6</v>
      </c>
      <c r="G40" s="104">
        <f t="shared" si="12"/>
        <v>7</v>
      </c>
      <c r="H40" s="104">
        <f t="shared" si="12"/>
        <v>8</v>
      </c>
      <c r="I40" s="104">
        <f t="shared" si="12"/>
        <v>9</v>
      </c>
      <c r="J40" s="104">
        <f t="shared" si="12"/>
        <v>10</v>
      </c>
      <c r="K40" s="104">
        <f t="shared" si="12"/>
        <v>11</v>
      </c>
      <c r="L40" s="104">
        <f t="shared" si="12"/>
        <v>12</v>
      </c>
      <c r="M40" s="104">
        <v>13</v>
      </c>
      <c r="N40" s="104">
        <v>14</v>
      </c>
      <c r="O40" s="104">
        <v>15</v>
      </c>
      <c r="P40" s="104">
        <v>16</v>
      </c>
      <c r="Q40" s="104">
        <v>17</v>
      </c>
      <c r="R40" s="104">
        <v>18</v>
      </c>
      <c r="S40" s="104">
        <v>19</v>
      </c>
      <c r="T40" s="104">
        <v>20</v>
      </c>
      <c r="U40" s="104">
        <v>21</v>
      </c>
      <c r="V40" s="104">
        <v>22</v>
      </c>
      <c r="W40" s="104">
        <v>23</v>
      </c>
      <c r="X40" s="104">
        <v>24</v>
      </c>
      <c r="Y40" s="104">
        <v>25</v>
      </c>
      <c r="Z40" s="104">
        <v>26</v>
      </c>
      <c r="AA40" s="104">
        <v>27</v>
      </c>
      <c r="AB40" s="104">
        <v>28</v>
      </c>
      <c r="AC40" s="104">
        <v>29</v>
      </c>
      <c r="AD40" s="104">
        <v>30</v>
      </c>
      <c r="AE40" s="104">
        <v>31</v>
      </c>
      <c r="AF40" s="104">
        <v>32</v>
      </c>
      <c r="AG40" s="104">
        <v>33</v>
      </c>
      <c r="AH40" s="104">
        <v>34</v>
      </c>
      <c r="AI40" s="104">
        <v>35</v>
      </c>
      <c r="AJ40" s="104">
        <v>36</v>
      </c>
      <c r="AK40" s="104">
        <v>37</v>
      </c>
      <c r="AL40" s="104">
        <v>38</v>
      </c>
      <c r="AM40" s="104">
        <v>39</v>
      </c>
      <c r="AN40" s="104">
        <v>40</v>
      </c>
      <c r="AO40" s="104">
        <v>41</v>
      </c>
      <c r="AP40" s="104">
        <v>42</v>
      </c>
      <c r="AQ40" s="104">
        <v>43</v>
      </c>
      <c r="AR40" s="104">
        <v>44</v>
      </c>
      <c r="AS40" s="104">
        <v>45</v>
      </c>
      <c r="AT40" s="104">
        <v>46</v>
      </c>
      <c r="AU40" s="104">
        <v>47</v>
      </c>
      <c r="AV40" s="104">
        <v>48</v>
      </c>
      <c r="AW40" s="104">
        <v>49</v>
      </c>
      <c r="AX40" s="104">
        <v>50</v>
      </c>
      <c r="AY40" s="104">
        <v>51</v>
      </c>
      <c r="AZ40" s="104">
        <v>52</v>
      </c>
      <c r="BA40" s="104">
        <v>53</v>
      </c>
      <c r="BB40" s="104">
        <v>54</v>
      </c>
      <c r="BC40" s="104">
        <v>55</v>
      </c>
      <c r="BD40" s="104">
        <v>56</v>
      </c>
      <c r="BE40" s="104">
        <v>57</v>
      </c>
      <c r="BF40" s="104">
        <v>58</v>
      </c>
      <c r="BG40" s="104">
        <v>59</v>
      </c>
      <c r="BH40" s="104">
        <v>60</v>
      </c>
    </row>
    <row r="41" spans="1:61" x14ac:dyDescent="0.2">
      <c r="A41" s="131" t="s">
        <v>334</v>
      </c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32"/>
      <c r="M41" s="131" t="s">
        <v>335</v>
      </c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32"/>
      <c r="Y41" s="131" t="s">
        <v>336</v>
      </c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32"/>
      <c r="AK41" s="131" t="s">
        <v>337</v>
      </c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32"/>
      <c r="AW41" s="163" t="s">
        <v>338</v>
      </c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</row>
    <row r="42" spans="1:61" x14ac:dyDescent="0.2">
      <c r="A42" s="63">
        <f>$B$23*-1</f>
        <v>-42227.15</v>
      </c>
      <c r="B42" s="63">
        <f t="shared" ref="B42:L42" si="13">$B$23*-1</f>
        <v>-42227.15</v>
      </c>
      <c r="C42" s="63">
        <f t="shared" si="13"/>
        <v>-42227.15</v>
      </c>
      <c r="D42" s="63">
        <f t="shared" si="13"/>
        <v>-42227.15</v>
      </c>
      <c r="E42" s="63">
        <f t="shared" si="13"/>
        <v>-42227.15</v>
      </c>
      <c r="F42" s="63">
        <f t="shared" si="13"/>
        <v>-42227.15</v>
      </c>
      <c r="G42" s="63">
        <f t="shared" si="13"/>
        <v>-42227.15</v>
      </c>
      <c r="H42" s="63">
        <f t="shared" si="13"/>
        <v>-42227.15</v>
      </c>
      <c r="I42" s="63">
        <f t="shared" si="13"/>
        <v>-42227.15</v>
      </c>
      <c r="J42" s="63">
        <f t="shared" si="13"/>
        <v>-42227.15</v>
      </c>
      <c r="K42" s="63">
        <f t="shared" si="13"/>
        <v>-42227.15</v>
      </c>
      <c r="L42" s="63">
        <f t="shared" si="13"/>
        <v>-42227.15</v>
      </c>
      <c r="M42" s="63">
        <f>$B$23*-1 + $B$27</f>
        <v>-10295.612593750004</v>
      </c>
      <c r="N42" s="63">
        <f t="shared" ref="N42:R42" si="14">$B$23*-1 + $B$27</f>
        <v>-10295.612593750004</v>
      </c>
      <c r="O42" s="63">
        <f t="shared" si="14"/>
        <v>-10295.612593750004</v>
      </c>
      <c r="P42" s="63">
        <f t="shared" si="14"/>
        <v>-10295.612593750004</v>
      </c>
      <c r="Q42" s="63">
        <f t="shared" si="14"/>
        <v>-10295.612593750004</v>
      </c>
      <c r="R42" s="63">
        <f t="shared" si="14"/>
        <v>-10295.612593750004</v>
      </c>
      <c r="S42" s="63">
        <f>($B$27*2)-$B$24</f>
        <v>-18041.873312499985</v>
      </c>
      <c r="T42" s="63">
        <f t="shared" ref="T42:W42" si="15">($B$27*2)-$B$24</f>
        <v>-18041.873312499985</v>
      </c>
      <c r="U42" s="63">
        <f t="shared" si="15"/>
        <v>-18041.873312499985</v>
      </c>
      <c r="V42" s="63">
        <f t="shared" si="15"/>
        <v>-18041.873312499985</v>
      </c>
      <c r="W42" s="63">
        <f t="shared" si="15"/>
        <v>-18041.873312499985</v>
      </c>
      <c r="X42" s="63">
        <f>($B$27*2)-$B$24</f>
        <v>-18041.873312499985</v>
      </c>
      <c r="Y42" s="105">
        <f>($B$27*3)-$B$24</f>
        <v>13889.66409375002</v>
      </c>
      <c r="Z42" s="105">
        <f t="shared" ref="Z42:AD42" si="16">($B$27*3)-$B$24</f>
        <v>13889.66409375002</v>
      </c>
      <c r="AA42" s="105">
        <f t="shared" si="16"/>
        <v>13889.66409375002</v>
      </c>
      <c r="AB42" s="105">
        <f t="shared" si="16"/>
        <v>13889.66409375002</v>
      </c>
      <c r="AC42" s="105">
        <f t="shared" si="16"/>
        <v>13889.66409375002</v>
      </c>
      <c r="AD42" s="105">
        <f t="shared" si="16"/>
        <v>13889.66409375002</v>
      </c>
      <c r="AE42" s="105">
        <f>($B$27*4)-$B$24</f>
        <v>45821.20150000001</v>
      </c>
      <c r="AF42" s="105">
        <f t="shared" ref="AF42:AJ42" si="17">($B$27*4)-$B$24</f>
        <v>45821.20150000001</v>
      </c>
      <c r="AG42" s="105">
        <f t="shared" si="17"/>
        <v>45821.20150000001</v>
      </c>
      <c r="AH42" s="105">
        <f t="shared" si="17"/>
        <v>45821.20150000001</v>
      </c>
      <c r="AI42" s="105">
        <f t="shared" si="17"/>
        <v>45821.20150000001</v>
      </c>
      <c r="AJ42" s="105">
        <f t="shared" si="17"/>
        <v>45821.20150000001</v>
      </c>
      <c r="AK42" s="63">
        <f>($B$27*5)-$B$24</f>
        <v>77752.738906250001</v>
      </c>
      <c r="AL42" s="63">
        <f t="shared" ref="AL42:AN42" si="18">($B$27*5)-$B$24</f>
        <v>77752.738906250001</v>
      </c>
      <c r="AM42" s="63">
        <f t="shared" si="18"/>
        <v>77752.738906250001</v>
      </c>
      <c r="AN42" s="63">
        <f t="shared" si="18"/>
        <v>77752.738906250001</v>
      </c>
      <c r="AO42" s="63">
        <f>($B$27*6)-$B$24</f>
        <v>109684.27631250002</v>
      </c>
      <c r="AP42" s="63">
        <f t="shared" ref="AP42:AR42" si="19">($B$27*6)-$B$24</f>
        <v>109684.27631250002</v>
      </c>
      <c r="AQ42" s="63">
        <f t="shared" si="19"/>
        <v>109684.27631250002</v>
      </c>
      <c r="AR42" s="63">
        <f t="shared" si="19"/>
        <v>109684.27631250002</v>
      </c>
      <c r="AS42" s="63">
        <f>($B$27*7)-$B$24</f>
        <v>141615.81371875003</v>
      </c>
      <c r="AT42" s="63">
        <f t="shared" ref="AT42:AV42" si="20">($B$27*7)-$B$24</f>
        <v>141615.81371875003</v>
      </c>
      <c r="AU42" s="63">
        <f t="shared" si="20"/>
        <v>141615.81371875003</v>
      </c>
      <c r="AV42" s="63">
        <f t="shared" si="20"/>
        <v>141615.81371875003</v>
      </c>
      <c r="AW42" s="63">
        <f>($B$27*8)-$B$24</f>
        <v>173547.35112499999</v>
      </c>
      <c r="AX42" s="63">
        <f t="shared" ref="AX42:AZ42" si="21">($B$27*8)-$B$24</f>
        <v>173547.35112499999</v>
      </c>
      <c r="AY42" s="63">
        <f t="shared" si="21"/>
        <v>173547.35112499999</v>
      </c>
      <c r="AZ42" s="63">
        <f t="shared" si="21"/>
        <v>173547.35112499999</v>
      </c>
      <c r="BA42" s="63">
        <f>($B$27*9)-$B$24</f>
        <v>205478.88853125001</v>
      </c>
      <c r="BB42" s="63">
        <f t="shared" ref="BB42:BD42" si="22">($B$27*9)-$B$24</f>
        <v>205478.88853125001</v>
      </c>
      <c r="BC42" s="63">
        <f t="shared" si="22"/>
        <v>205478.88853125001</v>
      </c>
      <c r="BD42" s="63">
        <f t="shared" si="22"/>
        <v>205478.88853125001</v>
      </c>
      <c r="BE42" s="63">
        <f t="shared" ref="BE42:BH42" si="23">($B$27*10)-$B$24</f>
        <v>237410.42593749997</v>
      </c>
      <c r="BF42" s="63">
        <f t="shared" si="23"/>
        <v>237410.42593749997</v>
      </c>
      <c r="BG42" s="63">
        <f t="shared" si="23"/>
        <v>237410.42593749997</v>
      </c>
      <c r="BH42" s="63">
        <f t="shared" si="23"/>
        <v>237410.42593749997</v>
      </c>
      <c r="BI42" s="78"/>
    </row>
    <row r="44" spans="1:61" x14ac:dyDescent="0.2">
      <c r="K44" t="s">
        <v>340</v>
      </c>
      <c r="L44" s="78">
        <f>SUM(A42:L42)</f>
        <v>-506725.8000000001</v>
      </c>
      <c r="W44" t="s">
        <v>339</v>
      </c>
      <c r="X44" s="78">
        <f>SUM(M42:X42)</f>
        <v>-170024.91543749993</v>
      </c>
      <c r="AI44" t="s">
        <v>343</v>
      </c>
      <c r="AJ44" s="78">
        <f>SUM(Y42:AJ42)</f>
        <v>358265.19356250024</v>
      </c>
      <c r="AU44" t="s">
        <v>342</v>
      </c>
      <c r="AV44" s="78">
        <f>SUM(AK42:AV42)</f>
        <v>1316211.3157500001</v>
      </c>
      <c r="BG44" t="s">
        <v>341</v>
      </c>
      <c r="BH44" s="78">
        <f>SUM(AW42:BH42)</f>
        <v>2465746.6623749994</v>
      </c>
    </row>
    <row r="46" spans="1:61" x14ac:dyDescent="0.2">
      <c r="A46" s="162" t="s">
        <v>344</v>
      </c>
      <c r="B46" s="162"/>
      <c r="E46" t="s">
        <v>351</v>
      </c>
    </row>
    <row r="47" spans="1:61" x14ac:dyDescent="0.2">
      <c r="A47" s="103" t="s">
        <v>345</v>
      </c>
      <c r="B47" s="63">
        <f>L44</f>
        <v>-506725.8000000001</v>
      </c>
      <c r="E47" s="78">
        <f>B47+B48</f>
        <v>-676750.71543750004</v>
      </c>
    </row>
    <row r="48" spans="1:61" x14ac:dyDescent="0.2">
      <c r="A48" s="103" t="s">
        <v>346</v>
      </c>
      <c r="B48" s="63">
        <f>X44</f>
        <v>-170024.91543749993</v>
      </c>
    </row>
    <row r="49" spans="1:2" x14ac:dyDescent="0.2">
      <c r="A49" s="103" t="s">
        <v>347</v>
      </c>
      <c r="B49" s="63">
        <f>AJ44</f>
        <v>358265.19356250024</v>
      </c>
    </row>
    <row r="50" spans="1:2" x14ac:dyDescent="0.2">
      <c r="A50" s="103" t="s">
        <v>348</v>
      </c>
      <c r="B50" s="63">
        <f>AV44</f>
        <v>1316211.3157500001</v>
      </c>
    </row>
    <row r="51" spans="1:2" x14ac:dyDescent="0.2">
      <c r="A51" s="103" t="s">
        <v>349</v>
      </c>
      <c r="B51" s="63">
        <f>BH44</f>
        <v>2465746.6623749994</v>
      </c>
    </row>
  </sheetData>
  <mergeCells count="10">
    <mergeCell ref="A46:B46"/>
    <mergeCell ref="M41:X41"/>
    <mergeCell ref="Y41:AJ41"/>
    <mergeCell ref="AK41:AV41"/>
    <mergeCell ref="AW41:BH41"/>
    <mergeCell ref="A39:BH39"/>
    <mergeCell ref="A1:B1"/>
    <mergeCell ref="A5:D5"/>
    <mergeCell ref="B17:E17"/>
    <mergeCell ref="A41:L41"/>
  </mergeCells>
  <conditionalFormatting sqref="M41 Z42:AV42 AK41 Y41:Y42 A42:X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C8AB-A722-4123-A7E1-14EE9281F36E}">
  <dimension ref="A2:J11"/>
  <sheetViews>
    <sheetView zoomScale="80" zoomScaleNormal="80" workbookViewId="0">
      <selection activeCell="C8" sqref="C8"/>
    </sheetView>
  </sheetViews>
  <sheetFormatPr baseColWidth="10" defaultRowHeight="15" x14ac:dyDescent="0.2"/>
  <cols>
    <col min="1" max="1" width="11.33203125" bestFit="1" customWidth="1"/>
    <col min="2" max="2" width="43.83203125" bestFit="1" customWidth="1"/>
    <col min="3" max="3" width="43.5" bestFit="1" customWidth="1"/>
    <col min="4" max="4" width="14.6640625" customWidth="1"/>
    <col min="5" max="5" width="42" bestFit="1" customWidth="1"/>
    <col min="6" max="6" width="22.33203125" customWidth="1"/>
    <col min="7" max="7" width="13.1640625" bestFit="1" customWidth="1"/>
    <col min="8" max="8" width="13.5" bestFit="1" customWidth="1"/>
    <col min="9" max="9" width="15.1640625" bestFit="1" customWidth="1"/>
    <col min="10" max="10" width="18.6640625" bestFit="1" customWidth="1"/>
  </cols>
  <sheetData>
    <row r="2" spans="1:10" ht="29.25" customHeight="1" x14ac:dyDescent="0.2">
      <c r="E2" s="68" t="s">
        <v>73</v>
      </c>
      <c r="G2" s="110" t="s">
        <v>76</v>
      </c>
      <c r="H2" s="110"/>
      <c r="I2" s="110"/>
    </row>
    <row r="3" spans="1:10" ht="16" x14ac:dyDescent="0.2">
      <c r="A3" s="67" t="s">
        <v>0</v>
      </c>
      <c r="B3" s="3" t="s">
        <v>6</v>
      </c>
      <c r="C3" s="4" t="s">
        <v>21</v>
      </c>
      <c r="D3" s="5" t="s">
        <v>1</v>
      </c>
      <c r="E3" s="6" t="s">
        <v>71</v>
      </c>
      <c r="F3" s="6" t="s">
        <v>72</v>
      </c>
      <c r="G3" s="7" t="s">
        <v>2</v>
      </c>
      <c r="H3" s="7" t="s">
        <v>3</v>
      </c>
      <c r="I3" s="7" t="s">
        <v>4</v>
      </c>
      <c r="J3" s="8" t="s">
        <v>5</v>
      </c>
    </row>
    <row r="4" spans="1:10" ht="16" x14ac:dyDescent="0.2">
      <c r="A4" s="70">
        <v>1</v>
      </c>
      <c r="B4" s="70" t="s">
        <v>100</v>
      </c>
      <c r="C4" s="70" t="s">
        <v>323</v>
      </c>
      <c r="D4" s="70" t="s">
        <v>56</v>
      </c>
      <c r="E4" s="70">
        <v>1</v>
      </c>
      <c r="F4" s="70">
        <v>8</v>
      </c>
      <c r="G4" s="70">
        <f>Salario!$A$11*F4</f>
        <v>6</v>
      </c>
      <c r="H4" s="70">
        <f>F4</f>
        <v>8</v>
      </c>
      <c r="I4" s="70">
        <f>Salario!$C$11*F4</f>
        <v>12</v>
      </c>
      <c r="J4" s="15">
        <f>H4*Salario!$C$7</f>
        <v>359.38</v>
      </c>
    </row>
    <row r="5" spans="1:10" ht="16" x14ac:dyDescent="0.2">
      <c r="A5" s="70">
        <v>2</v>
      </c>
      <c r="B5" s="70" t="s">
        <v>97</v>
      </c>
      <c r="C5" s="70" t="s">
        <v>323</v>
      </c>
      <c r="D5" s="70" t="s">
        <v>56</v>
      </c>
      <c r="E5" s="70">
        <v>1</v>
      </c>
      <c r="F5" s="70">
        <v>8</v>
      </c>
      <c r="G5" s="70">
        <f>Salario!$A$11*F5</f>
        <v>6</v>
      </c>
      <c r="H5" s="70">
        <f>F5</f>
        <v>8</v>
      </c>
      <c r="I5" s="70">
        <f>Salario!$C$11*F5</f>
        <v>12</v>
      </c>
      <c r="J5" s="15">
        <f>H5*Salario!$C$7</f>
        <v>359.38</v>
      </c>
    </row>
    <row r="6" spans="1:10" ht="16" x14ac:dyDescent="0.2">
      <c r="A6" s="70">
        <v>3</v>
      </c>
      <c r="B6" s="70" t="s">
        <v>105</v>
      </c>
      <c r="C6" s="70" t="s">
        <v>323</v>
      </c>
      <c r="D6" s="70" t="s">
        <v>320</v>
      </c>
      <c r="E6" s="70">
        <v>1</v>
      </c>
      <c r="F6" s="70">
        <v>8</v>
      </c>
      <c r="G6" s="70">
        <f>Salario!$A$11*F6</f>
        <v>6</v>
      </c>
      <c r="H6" s="70">
        <f>F6</f>
        <v>8</v>
      </c>
      <c r="I6" s="70">
        <f>Salario!$C$11*F6</f>
        <v>12</v>
      </c>
      <c r="J6" s="15">
        <f>H6*Salario!$C$7</f>
        <v>359.38</v>
      </c>
    </row>
    <row r="7" spans="1:10" ht="16" x14ac:dyDescent="0.2">
      <c r="A7" s="70">
        <v>4</v>
      </c>
      <c r="B7" s="70" t="s">
        <v>108</v>
      </c>
      <c r="C7" s="70" t="s">
        <v>323</v>
      </c>
      <c r="D7" s="70" t="s">
        <v>56</v>
      </c>
      <c r="E7" s="70">
        <v>2</v>
      </c>
      <c r="F7" s="70">
        <v>8</v>
      </c>
      <c r="G7" s="70">
        <f>Salario!$A$11*F7</f>
        <v>6</v>
      </c>
      <c r="H7" s="70">
        <f>F7</f>
        <v>8</v>
      </c>
      <c r="I7" s="70">
        <f>Salario!$C$11*F7</f>
        <v>12</v>
      </c>
      <c r="J7" s="15">
        <f>H7*Salario!$C$7</f>
        <v>359.38</v>
      </c>
    </row>
    <row r="8" spans="1:10" ht="16" x14ac:dyDescent="0.2">
      <c r="A8" s="1"/>
      <c r="B8" s="1"/>
      <c r="C8" s="1"/>
      <c r="D8" s="1"/>
      <c r="E8" s="1"/>
      <c r="F8" s="70" t="s">
        <v>313</v>
      </c>
      <c r="G8" s="92">
        <f>SUM(G4:G7)</f>
        <v>24</v>
      </c>
      <c r="H8" s="92">
        <f>SUM(H4:H7)</f>
        <v>32</v>
      </c>
      <c r="I8" s="92">
        <f>SUM(I4:I7)</f>
        <v>48</v>
      </c>
      <c r="J8" s="15">
        <f>SUM(J4:J7)</f>
        <v>1437.52</v>
      </c>
    </row>
    <row r="9" spans="1:10" ht="16" x14ac:dyDescent="0.2">
      <c r="A9" s="1"/>
      <c r="B9" s="1"/>
      <c r="C9" s="1"/>
      <c r="D9" s="1"/>
      <c r="E9" s="1"/>
      <c r="F9" s="70" t="s">
        <v>314</v>
      </c>
      <c r="G9" s="18">
        <f>(G8*H9)/H8</f>
        <v>1078.1399999999999</v>
      </c>
      <c r="H9" s="18">
        <f>J8</f>
        <v>1437.52</v>
      </c>
      <c r="I9" s="18">
        <f>(I8*H9)/H8</f>
        <v>2156.2799999999997</v>
      </c>
      <c r="J9" s="70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7"/>
      <c r="H11" s="1"/>
      <c r="I11" s="1"/>
      <c r="J11" s="1"/>
    </row>
  </sheetData>
  <mergeCells count="1">
    <mergeCell ref="G2:I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6C3D-FF3D-4454-945A-2E2D73DC6DD4}">
  <dimension ref="A2:J19"/>
  <sheetViews>
    <sheetView topLeftCell="B1" zoomScale="80" zoomScaleNormal="80" workbookViewId="0">
      <selection activeCell="E4" sqref="E4"/>
    </sheetView>
  </sheetViews>
  <sheetFormatPr baseColWidth="10" defaultRowHeight="15" x14ac:dyDescent="0.2"/>
  <cols>
    <col min="1" max="1" width="11.33203125" bestFit="1" customWidth="1"/>
    <col min="2" max="2" width="43.83203125" bestFit="1" customWidth="1"/>
    <col min="3" max="3" width="43.5" bestFit="1" customWidth="1"/>
    <col min="4" max="4" width="14.6640625" customWidth="1"/>
    <col min="5" max="5" width="42" bestFit="1" customWidth="1"/>
    <col min="6" max="6" width="22.33203125" customWidth="1"/>
    <col min="7" max="7" width="13.1640625" bestFit="1" customWidth="1"/>
    <col min="8" max="8" width="13.5" bestFit="1" customWidth="1"/>
    <col min="9" max="9" width="15.1640625" bestFit="1" customWidth="1"/>
    <col min="10" max="10" width="18.6640625" bestFit="1" customWidth="1"/>
  </cols>
  <sheetData>
    <row r="2" spans="1:10" ht="29.25" customHeight="1" x14ac:dyDescent="0.2">
      <c r="E2" s="75" t="s">
        <v>73</v>
      </c>
      <c r="G2" s="110" t="s">
        <v>76</v>
      </c>
      <c r="H2" s="110"/>
      <c r="I2" s="110"/>
    </row>
    <row r="3" spans="1:10" ht="16" x14ac:dyDescent="0.2">
      <c r="A3" s="67" t="s">
        <v>0</v>
      </c>
      <c r="B3" s="3" t="s">
        <v>6</v>
      </c>
      <c r="C3" s="4" t="s">
        <v>21</v>
      </c>
      <c r="D3" s="5" t="s">
        <v>1</v>
      </c>
      <c r="E3" s="6" t="s">
        <v>71</v>
      </c>
      <c r="F3" s="6" t="s">
        <v>72</v>
      </c>
      <c r="G3" s="7" t="s">
        <v>2</v>
      </c>
      <c r="H3" s="7" t="s">
        <v>3</v>
      </c>
      <c r="I3" s="7" t="s">
        <v>4</v>
      </c>
      <c r="J3" s="8" t="s">
        <v>5</v>
      </c>
    </row>
    <row r="4" spans="1:10" ht="16" x14ac:dyDescent="0.2">
      <c r="A4" s="76">
        <v>1</v>
      </c>
      <c r="B4" s="96" t="s">
        <v>99</v>
      </c>
      <c r="C4" s="76" t="s">
        <v>56</v>
      </c>
      <c r="D4" s="76" t="s">
        <v>56</v>
      </c>
      <c r="E4" s="76">
        <v>1</v>
      </c>
      <c r="F4" s="76">
        <v>40</v>
      </c>
      <c r="G4" s="76">
        <f>Salario!$A$11*F4</f>
        <v>30</v>
      </c>
      <c r="H4" s="76">
        <f t="shared" ref="H4:H15" si="0">F4</f>
        <v>40</v>
      </c>
      <c r="I4" s="76">
        <f>Salario!$C$11*F4</f>
        <v>60</v>
      </c>
      <c r="J4" s="15">
        <f>H4*Salario!$C$7</f>
        <v>1796.9</v>
      </c>
    </row>
    <row r="5" spans="1:10" ht="16" x14ac:dyDescent="0.2">
      <c r="A5" s="76">
        <v>2</v>
      </c>
      <c r="B5" s="96" t="s">
        <v>102</v>
      </c>
      <c r="C5" s="76" t="s">
        <v>56</v>
      </c>
      <c r="D5" s="76" t="s">
        <v>56</v>
      </c>
      <c r="E5" s="76">
        <v>1</v>
      </c>
      <c r="F5" s="97">
        <v>80</v>
      </c>
      <c r="G5" s="76">
        <f>Salario!$A$11*F5</f>
        <v>60</v>
      </c>
      <c r="H5" s="76">
        <f t="shared" si="0"/>
        <v>80</v>
      </c>
      <c r="I5" s="76">
        <f>Salario!$C$11*F5</f>
        <v>120</v>
      </c>
      <c r="J5" s="15">
        <f>H5*Salario!$C$7</f>
        <v>3593.8</v>
      </c>
    </row>
    <row r="6" spans="1:10" ht="16" x14ac:dyDescent="0.2">
      <c r="A6" s="76">
        <v>3</v>
      </c>
      <c r="B6" s="96" t="s">
        <v>104</v>
      </c>
      <c r="C6" s="76" t="s">
        <v>56</v>
      </c>
      <c r="D6" s="76" t="s">
        <v>320</v>
      </c>
      <c r="E6" s="76">
        <v>1</v>
      </c>
      <c r="F6" s="97">
        <v>24</v>
      </c>
      <c r="G6" s="76">
        <f>Salario!$A$11*F6</f>
        <v>18</v>
      </c>
      <c r="H6" s="76">
        <f t="shared" si="0"/>
        <v>24</v>
      </c>
      <c r="I6" s="76">
        <f>Salario!$C$11*F6</f>
        <v>36</v>
      </c>
      <c r="J6" s="15">
        <f>H6*Salario!$C$7</f>
        <v>1078.1399999999999</v>
      </c>
    </row>
    <row r="7" spans="1:10" ht="16" x14ac:dyDescent="0.2">
      <c r="A7" s="76">
        <v>4</v>
      </c>
      <c r="B7" s="96" t="s">
        <v>326</v>
      </c>
      <c r="C7" s="76" t="s">
        <v>56</v>
      </c>
      <c r="D7" s="76" t="s">
        <v>56</v>
      </c>
      <c r="E7" s="76">
        <v>2</v>
      </c>
      <c r="F7" s="97">
        <v>24</v>
      </c>
      <c r="G7" s="76">
        <f>Salario!$A$11*F7</f>
        <v>18</v>
      </c>
      <c r="H7" s="76">
        <f t="shared" si="0"/>
        <v>24</v>
      </c>
      <c r="I7" s="76">
        <f>Salario!$C$11*F7</f>
        <v>36</v>
      </c>
      <c r="J7" s="15">
        <f>H7*Salario!$C$7</f>
        <v>1078.1399999999999</v>
      </c>
    </row>
    <row r="8" spans="1:10" ht="16" x14ac:dyDescent="0.2">
      <c r="A8" s="76">
        <v>5</v>
      </c>
      <c r="B8" s="96" t="s">
        <v>110</v>
      </c>
      <c r="C8" s="76" t="s">
        <v>56</v>
      </c>
      <c r="D8" s="76">
        <v>4</v>
      </c>
      <c r="E8" s="76">
        <v>2</v>
      </c>
      <c r="F8" s="97">
        <v>40</v>
      </c>
      <c r="G8" s="76">
        <f>Salario!$A$11*F8</f>
        <v>30</v>
      </c>
      <c r="H8" s="76">
        <f t="shared" si="0"/>
        <v>40</v>
      </c>
      <c r="I8" s="76">
        <f>Salario!$C$11*F8</f>
        <v>60</v>
      </c>
      <c r="J8" s="15">
        <f>H8*Salario!$C$7</f>
        <v>1796.9</v>
      </c>
    </row>
    <row r="9" spans="1:10" ht="16" x14ac:dyDescent="0.2">
      <c r="A9" s="76">
        <v>6</v>
      </c>
      <c r="B9" s="96" t="s">
        <v>112</v>
      </c>
      <c r="C9" s="76" t="s">
        <v>56</v>
      </c>
      <c r="D9" s="76">
        <v>4</v>
      </c>
      <c r="E9" s="76">
        <v>1</v>
      </c>
      <c r="F9" s="97">
        <v>40</v>
      </c>
      <c r="G9" s="76">
        <f>Salario!$A$11*F9</f>
        <v>30</v>
      </c>
      <c r="H9" s="76">
        <f t="shared" si="0"/>
        <v>40</v>
      </c>
      <c r="I9" s="76">
        <f>Salario!$C$11*F9</f>
        <v>60</v>
      </c>
      <c r="J9" s="15">
        <f>H9*Salario!$C$7</f>
        <v>1796.9</v>
      </c>
    </row>
    <row r="10" spans="1:10" ht="16" x14ac:dyDescent="0.2">
      <c r="A10" s="76">
        <v>7</v>
      </c>
      <c r="B10" s="96" t="s">
        <v>115</v>
      </c>
      <c r="C10" s="76" t="s">
        <v>56</v>
      </c>
      <c r="D10" s="76" t="s">
        <v>321</v>
      </c>
      <c r="E10" s="76">
        <v>3</v>
      </c>
      <c r="F10" s="97">
        <v>32</v>
      </c>
      <c r="G10" s="76">
        <f>Salario!$A$11*F10</f>
        <v>24</v>
      </c>
      <c r="H10" s="76">
        <f t="shared" si="0"/>
        <v>32</v>
      </c>
      <c r="I10" s="76">
        <f>Salario!$C$11*F10</f>
        <v>48</v>
      </c>
      <c r="J10" s="15">
        <f>H10*Salario!$C$7</f>
        <v>1437.52</v>
      </c>
    </row>
    <row r="11" spans="1:10" ht="16" x14ac:dyDescent="0.2">
      <c r="A11" s="76">
        <v>8</v>
      </c>
      <c r="B11" s="96" t="s">
        <v>118</v>
      </c>
      <c r="C11" s="76" t="s">
        <v>56</v>
      </c>
      <c r="D11" s="76">
        <v>7</v>
      </c>
      <c r="E11" s="76">
        <v>3</v>
      </c>
      <c r="F11" s="97">
        <v>40</v>
      </c>
      <c r="G11" s="76">
        <f>Salario!$A$11*F11</f>
        <v>30</v>
      </c>
      <c r="H11" s="76">
        <f t="shared" si="0"/>
        <v>40</v>
      </c>
      <c r="I11" s="76">
        <f>Salario!$C$11*F11</f>
        <v>60</v>
      </c>
      <c r="J11" s="15">
        <f>H11*Salario!$C$7</f>
        <v>1796.9</v>
      </c>
    </row>
    <row r="12" spans="1:10" ht="16" x14ac:dyDescent="0.2">
      <c r="A12" s="76">
        <v>9</v>
      </c>
      <c r="B12" s="96" t="s">
        <v>120</v>
      </c>
      <c r="C12" s="76" t="s">
        <v>56</v>
      </c>
      <c r="D12" s="76">
        <v>8</v>
      </c>
      <c r="E12" s="76">
        <v>3</v>
      </c>
      <c r="F12" s="97">
        <v>80</v>
      </c>
      <c r="G12" s="76">
        <f>Salario!$A$11*F12</f>
        <v>60</v>
      </c>
      <c r="H12" s="76">
        <f t="shared" si="0"/>
        <v>80</v>
      </c>
      <c r="I12" s="76">
        <f>Salario!$C$11*F12</f>
        <v>120</v>
      </c>
      <c r="J12" s="15">
        <f>H12*Salario!$C$7</f>
        <v>3593.8</v>
      </c>
    </row>
    <row r="13" spans="1:10" ht="16" x14ac:dyDescent="0.2">
      <c r="A13" s="76">
        <v>10</v>
      </c>
      <c r="B13" s="96" t="s">
        <v>123</v>
      </c>
      <c r="C13" s="76" t="s">
        <v>56</v>
      </c>
      <c r="D13" s="76" t="s">
        <v>322</v>
      </c>
      <c r="E13" s="76">
        <v>1</v>
      </c>
      <c r="F13" s="97">
        <v>40</v>
      </c>
      <c r="G13" s="76">
        <f>Salario!$A$11*F13</f>
        <v>30</v>
      </c>
      <c r="H13" s="76">
        <f t="shared" si="0"/>
        <v>40</v>
      </c>
      <c r="I13" s="76">
        <f>Salario!$C$11*F13</f>
        <v>60</v>
      </c>
      <c r="J13" s="15">
        <f>H13*Salario!$C$7</f>
        <v>1796.9</v>
      </c>
    </row>
    <row r="14" spans="1:10" ht="16" x14ac:dyDescent="0.2">
      <c r="A14" s="76">
        <v>11</v>
      </c>
      <c r="B14" s="96" t="s">
        <v>327</v>
      </c>
      <c r="C14" s="76" t="s">
        <v>56</v>
      </c>
      <c r="D14" s="76" t="s">
        <v>323</v>
      </c>
      <c r="E14" s="76">
        <v>3</v>
      </c>
      <c r="F14" s="97">
        <v>80</v>
      </c>
      <c r="G14" s="76">
        <f>Salario!$A$11*F14</f>
        <v>60</v>
      </c>
      <c r="H14" s="76">
        <f t="shared" si="0"/>
        <v>80</v>
      </c>
      <c r="I14" s="76">
        <f>Salario!$C$11*F14</f>
        <v>120</v>
      </c>
      <c r="J14" s="15">
        <f>H14*Salario!$C$7</f>
        <v>3593.8</v>
      </c>
    </row>
    <row r="15" spans="1:10" ht="16" x14ac:dyDescent="0.2">
      <c r="A15" s="76">
        <v>12</v>
      </c>
      <c r="B15" s="96" t="s">
        <v>129</v>
      </c>
      <c r="C15" s="76" t="s">
        <v>56</v>
      </c>
      <c r="D15" s="76" t="s">
        <v>323</v>
      </c>
      <c r="E15" s="76">
        <v>2</v>
      </c>
      <c r="F15" s="97">
        <v>40</v>
      </c>
      <c r="G15" s="76">
        <f>Salario!$A$11*F15</f>
        <v>30</v>
      </c>
      <c r="H15" s="76">
        <f t="shared" si="0"/>
        <v>40</v>
      </c>
      <c r="I15" s="76">
        <f>Salario!$C$11*F15</f>
        <v>60</v>
      </c>
      <c r="J15" s="15">
        <f>H15*Salario!$C$7</f>
        <v>1796.9</v>
      </c>
    </row>
    <row r="16" spans="1:10" ht="16" x14ac:dyDescent="0.2">
      <c r="A16" s="1"/>
      <c r="B16" s="1"/>
      <c r="C16" s="1"/>
      <c r="D16" s="1"/>
      <c r="E16" s="1"/>
      <c r="F16" s="76" t="s">
        <v>313</v>
      </c>
      <c r="G16" s="92">
        <f>SUM(G4:G15)</f>
        <v>420</v>
      </c>
      <c r="H16" s="92">
        <f>SUM(H4:H15)</f>
        <v>560</v>
      </c>
      <c r="I16" s="92">
        <f>SUM(I4:I15)</f>
        <v>840</v>
      </c>
      <c r="J16" s="15">
        <f>SUM(J4:J15)</f>
        <v>25156.600000000002</v>
      </c>
    </row>
    <row r="17" spans="1:10" ht="16" x14ac:dyDescent="0.2">
      <c r="A17" s="1"/>
      <c r="B17" s="1"/>
      <c r="C17" s="1"/>
      <c r="D17" s="1"/>
      <c r="E17" s="1"/>
      <c r="F17" s="76" t="s">
        <v>314</v>
      </c>
      <c r="G17" s="18">
        <f>(G16*H17)/H16</f>
        <v>18867.45</v>
      </c>
      <c r="H17" s="18">
        <f>J16</f>
        <v>25156.600000000002</v>
      </c>
      <c r="I17" s="18">
        <f>(I16*H17)/H16</f>
        <v>37734.9</v>
      </c>
      <c r="J17" s="76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7"/>
      <c r="H19" s="1"/>
      <c r="I19" s="1"/>
      <c r="J19" s="1"/>
    </row>
  </sheetData>
  <mergeCells count="1">
    <mergeCell ref="G2:I2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9AA3-5090-4277-BCFF-F989C0259C9E}">
  <dimension ref="A2:J22"/>
  <sheetViews>
    <sheetView zoomScale="80" zoomScaleNormal="80" workbookViewId="0">
      <selection activeCell="E5" sqref="E5"/>
    </sheetView>
  </sheetViews>
  <sheetFormatPr baseColWidth="10" defaultRowHeight="15" x14ac:dyDescent="0.2"/>
  <cols>
    <col min="1" max="1" width="11.33203125" bestFit="1" customWidth="1"/>
    <col min="2" max="2" width="43.83203125" bestFit="1" customWidth="1"/>
    <col min="3" max="3" width="43.5" customWidth="1"/>
    <col min="4" max="4" width="14.6640625" customWidth="1"/>
    <col min="5" max="5" width="42" bestFit="1" customWidth="1"/>
    <col min="6" max="6" width="22.33203125" customWidth="1"/>
    <col min="7" max="7" width="13.1640625" bestFit="1" customWidth="1"/>
    <col min="8" max="8" width="13.5" bestFit="1" customWidth="1"/>
    <col min="9" max="9" width="15.1640625" bestFit="1" customWidth="1"/>
    <col min="10" max="10" width="18.6640625" bestFit="1" customWidth="1"/>
  </cols>
  <sheetData>
    <row r="2" spans="1:10" ht="29.25" customHeight="1" x14ac:dyDescent="0.2">
      <c r="E2" s="68" t="s">
        <v>73</v>
      </c>
      <c r="G2" s="110" t="s">
        <v>76</v>
      </c>
      <c r="H2" s="110"/>
      <c r="I2" s="110"/>
    </row>
    <row r="3" spans="1:10" ht="16" x14ac:dyDescent="0.2">
      <c r="A3" s="67" t="s">
        <v>0</v>
      </c>
      <c r="B3" s="3" t="s">
        <v>6</v>
      </c>
      <c r="C3" s="4" t="s">
        <v>21</v>
      </c>
      <c r="D3" s="5" t="s">
        <v>1</v>
      </c>
      <c r="E3" s="6" t="s">
        <v>71</v>
      </c>
      <c r="F3" s="6" t="s">
        <v>72</v>
      </c>
      <c r="G3" s="7" t="s">
        <v>2</v>
      </c>
      <c r="H3" s="7" t="s">
        <v>3</v>
      </c>
      <c r="I3" s="7" t="s">
        <v>4</v>
      </c>
      <c r="J3" s="8" t="s">
        <v>5</v>
      </c>
    </row>
    <row r="4" spans="1:10" ht="16" x14ac:dyDescent="0.2">
      <c r="A4" s="70">
        <v>1</v>
      </c>
      <c r="B4" s="29" t="s">
        <v>113</v>
      </c>
      <c r="C4" s="70" t="s">
        <v>56</v>
      </c>
      <c r="D4" s="70" t="s">
        <v>56</v>
      </c>
      <c r="E4" s="70">
        <v>1</v>
      </c>
      <c r="F4" s="70">
        <v>16</v>
      </c>
      <c r="G4" s="70">
        <f>Salario!$A$11*F4</f>
        <v>12</v>
      </c>
      <c r="H4" s="70">
        <f t="shared" ref="H4:H18" si="0">F4</f>
        <v>16</v>
      </c>
      <c r="I4" s="70">
        <f>Salario!$C$11*F4</f>
        <v>24</v>
      </c>
      <c r="J4" s="15">
        <f>H4*Salario!$C$7</f>
        <v>718.76</v>
      </c>
    </row>
    <row r="5" spans="1:10" ht="16" x14ac:dyDescent="0.2">
      <c r="A5" s="70">
        <v>2</v>
      </c>
      <c r="B5" s="29" t="s">
        <v>116</v>
      </c>
      <c r="C5" s="70" t="s">
        <v>56</v>
      </c>
      <c r="D5" s="70" t="s">
        <v>56</v>
      </c>
      <c r="E5" s="70">
        <v>1</v>
      </c>
      <c r="F5" s="97">
        <v>1</v>
      </c>
      <c r="G5" s="70">
        <f>Salario!$A$11*F5</f>
        <v>0.75</v>
      </c>
      <c r="H5" s="70">
        <f t="shared" si="0"/>
        <v>1</v>
      </c>
      <c r="I5" s="70">
        <f>Salario!$C$11*F5</f>
        <v>1.5</v>
      </c>
      <c r="J5" s="15">
        <f>H5*Salario!$C$7</f>
        <v>44.922499999999999</v>
      </c>
    </row>
    <row r="6" spans="1:10" ht="16" x14ac:dyDescent="0.2">
      <c r="A6" s="70">
        <v>3</v>
      </c>
      <c r="B6" s="29" t="s">
        <v>319</v>
      </c>
      <c r="C6" s="70" t="s">
        <v>56</v>
      </c>
      <c r="D6" s="70" t="s">
        <v>320</v>
      </c>
      <c r="E6" s="70">
        <v>1</v>
      </c>
      <c r="F6" s="97">
        <v>0.25</v>
      </c>
      <c r="G6" s="70">
        <f>Salario!$A$11*F6</f>
        <v>0.1875</v>
      </c>
      <c r="H6" s="70">
        <f t="shared" si="0"/>
        <v>0.25</v>
      </c>
      <c r="I6" s="70">
        <f>Salario!$C$11*F6</f>
        <v>0.375</v>
      </c>
      <c r="J6" s="15">
        <f>H6*Salario!$C$7</f>
        <v>11.230625</v>
      </c>
    </row>
    <row r="7" spans="1:10" ht="16" x14ac:dyDescent="0.2">
      <c r="A7" s="70">
        <v>4</v>
      </c>
      <c r="B7" s="29" t="s">
        <v>121</v>
      </c>
      <c r="C7" s="70" t="s">
        <v>56</v>
      </c>
      <c r="D7" s="70" t="s">
        <v>56</v>
      </c>
      <c r="E7" s="70">
        <v>2</v>
      </c>
      <c r="F7" s="97">
        <v>40</v>
      </c>
      <c r="G7" s="70">
        <f>Salario!$A$11*F7</f>
        <v>30</v>
      </c>
      <c r="H7" s="70">
        <f t="shared" si="0"/>
        <v>40</v>
      </c>
      <c r="I7" s="70">
        <f>Salario!$C$11*F7</f>
        <v>60</v>
      </c>
      <c r="J7" s="15">
        <f>H7*Salario!$C$7</f>
        <v>1796.9</v>
      </c>
    </row>
    <row r="8" spans="1:10" ht="16" x14ac:dyDescent="0.2">
      <c r="A8" s="70">
        <v>5</v>
      </c>
      <c r="B8" s="29" t="s">
        <v>124</v>
      </c>
      <c r="C8" s="70" t="s">
        <v>56</v>
      </c>
      <c r="D8" s="70">
        <v>4</v>
      </c>
      <c r="E8" s="70">
        <v>2</v>
      </c>
      <c r="F8" s="97">
        <v>8</v>
      </c>
      <c r="G8" s="70">
        <f>Salario!$A$11*F8</f>
        <v>6</v>
      </c>
      <c r="H8" s="70">
        <f t="shared" si="0"/>
        <v>8</v>
      </c>
      <c r="I8" s="70">
        <f>Salario!$C$11*F8</f>
        <v>12</v>
      </c>
      <c r="J8" s="15">
        <f>H8*Salario!$C$7</f>
        <v>359.38</v>
      </c>
    </row>
    <row r="9" spans="1:10" ht="16" x14ac:dyDescent="0.2">
      <c r="A9" s="70">
        <v>6</v>
      </c>
      <c r="B9" s="29" t="s">
        <v>127</v>
      </c>
      <c r="C9" s="70" t="s">
        <v>56</v>
      </c>
      <c r="D9" s="70">
        <v>4</v>
      </c>
      <c r="E9" s="70">
        <v>1</v>
      </c>
      <c r="F9" s="97">
        <v>8</v>
      </c>
      <c r="G9" s="70">
        <f>Salario!$A$11*F9</f>
        <v>6</v>
      </c>
      <c r="H9" s="70">
        <f t="shared" si="0"/>
        <v>8</v>
      </c>
      <c r="I9" s="70">
        <f>Salario!$C$11*F9</f>
        <v>12</v>
      </c>
      <c r="J9" s="15">
        <f>H9*Salario!$C$7</f>
        <v>359.38</v>
      </c>
    </row>
    <row r="10" spans="1:10" ht="16" x14ac:dyDescent="0.2">
      <c r="A10" s="70">
        <v>7</v>
      </c>
      <c r="B10" s="29" t="s">
        <v>130</v>
      </c>
      <c r="C10" s="70" t="s">
        <v>56</v>
      </c>
      <c r="D10" s="70" t="s">
        <v>321</v>
      </c>
      <c r="E10" s="70">
        <v>3</v>
      </c>
      <c r="F10" s="97">
        <v>2</v>
      </c>
      <c r="G10" s="70">
        <f>Salario!$A$11*F10</f>
        <v>1.5</v>
      </c>
      <c r="H10" s="70">
        <f t="shared" si="0"/>
        <v>2</v>
      </c>
      <c r="I10" s="70">
        <f>Salario!$C$11*F10</f>
        <v>3</v>
      </c>
      <c r="J10" s="15">
        <f>H10*Salario!$C$7</f>
        <v>89.844999999999999</v>
      </c>
    </row>
    <row r="11" spans="1:10" ht="16" x14ac:dyDescent="0.2">
      <c r="A11" s="70">
        <v>8</v>
      </c>
      <c r="B11" s="29" t="s">
        <v>132</v>
      </c>
      <c r="C11" s="70" t="s">
        <v>56</v>
      </c>
      <c r="D11" s="70">
        <v>7</v>
      </c>
      <c r="E11" s="70">
        <v>3</v>
      </c>
      <c r="F11" s="97">
        <v>32</v>
      </c>
      <c r="G11" s="70">
        <f>Salario!$A$11*F11</f>
        <v>24</v>
      </c>
      <c r="H11" s="70">
        <f t="shared" si="0"/>
        <v>32</v>
      </c>
      <c r="I11" s="70">
        <f>Salario!$C$11*F11</f>
        <v>48</v>
      </c>
      <c r="J11" s="15">
        <f>H11*Salario!$C$7</f>
        <v>1437.52</v>
      </c>
    </row>
    <row r="12" spans="1:10" ht="16" x14ac:dyDescent="0.2">
      <c r="A12" s="70">
        <v>9</v>
      </c>
      <c r="B12" s="29" t="s">
        <v>134</v>
      </c>
      <c r="C12" s="70" t="s">
        <v>56</v>
      </c>
      <c r="D12" s="70">
        <v>8</v>
      </c>
      <c r="E12" s="70">
        <v>3</v>
      </c>
      <c r="F12" s="97">
        <v>40</v>
      </c>
      <c r="G12" s="70">
        <f>Salario!$A$11*F12</f>
        <v>30</v>
      </c>
      <c r="H12" s="70">
        <f t="shared" si="0"/>
        <v>40</v>
      </c>
      <c r="I12" s="70">
        <f>Salario!$C$11*F12</f>
        <v>60</v>
      </c>
      <c r="J12" s="15">
        <f>H12*Salario!$C$7</f>
        <v>1796.9</v>
      </c>
    </row>
    <row r="13" spans="1:10" ht="16" x14ac:dyDescent="0.2">
      <c r="A13" s="70">
        <v>10</v>
      </c>
      <c r="B13" s="29" t="s">
        <v>136</v>
      </c>
      <c r="C13" s="70" t="s">
        <v>56</v>
      </c>
      <c r="D13" s="70" t="s">
        <v>322</v>
      </c>
      <c r="E13" s="70">
        <v>1</v>
      </c>
      <c r="F13" s="97">
        <v>2</v>
      </c>
      <c r="G13" s="70">
        <f>Salario!$A$11*F13</f>
        <v>1.5</v>
      </c>
      <c r="H13" s="70">
        <f t="shared" si="0"/>
        <v>2</v>
      </c>
      <c r="I13" s="70">
        <f>Salario!$C$11*F13</f>
        <v>3</v>
      </c>
      <c r="J13" s="15">
        <f>H13*Salario!$C$7</f>
        <v>89.844999999999999</v>
      </c>
    </row>
    <row r="14" spans="1:10" ht="16" x14ac:dyDescent="0.2">
      <c r="A14" s="70">
        <v>11</v>
      </c>
      <c r="B14" s="29" t="s">
        <v>138</v>
      </c>
      <c r="C14" s="70" t="s">
        <v>56</v>
      </c>
      <c r="D14" s="70" t="s">
        <v>323</v>
      </c>
      <c r="E14" s="70">
        <v>3</v>
      </c>
      <c r="F14" s="97">
        <v>2</v>
      </c>
      <c r="G14" s="70">
        <f>Salario!$A$11*F14</f>
        <v>1.5</v>
      </c>
      <c r="H14" s="70">
        <f t="shared" si="0"/>
        <v>2</v>
      </c>
      <c r="I14" s="70">
        <f>Salario!$C$11*F14</f>
        <v>3</v>
      </c>
      <c r="J14" s="15">
        <f>H14*Salario!$C$7</f>
        <v>89.844999999999999</v>
      </c>
    </row>
    <row r="15" spans="1:10" ht="16" x14ac:dyDescent="0.2">
      <c r="A15" s="70">
        <v>12</v>
      </c>
      <c r="B15" s="29" t="s">
        <v>140</v>
      </c>
      <c r="C15" s="70" t="s">
        <v>56</v>
      </c>
      <c r="D15" s="70" t="s">
        <v>323</v>
      </c>
      <c r="E15" s="70">
        <v>2</v>
      </c>
      <c r="F15" s="97">
        <v>8</v>
      </c>
      <c r="G15" s="70">
        <f>Salario!$A$11*F15</f>
        <v>6</v>
      </c>
      <c r="H15" s="70">
        <f t="shared" si="0"/>
        <v>8</v>
      </c>
      <c r="I15" s="70">
        <f>Salario!$C$11*F15</f>
        <v>12</v>
      </c>
      <c r="J15" s="15">
        <f>H15*Salario!$C$7</f>
        <v>359.38</v>
      </c>
    </row>
    <row r="16" spans="1:10" ht="16" x14ac:dyDescent="0.2">
      <c r="A16" s="70">
        <v>13</v>
      </c>
      <c r="B16" s="29" t="s">
        <v>142</v>
      </c>
      <c r="C16" s="70" t="s">
        <v>56</v>
      </c>
      <c r="D16" s="70" t="s">
        <v>323</v>
      </c>
      <c r="E16" s="70">
        <v>1</v>
      </c>
      <c r="F16" s="97">
        <v>8</v>
      </c>
      <c r="G16" s="70">
        <f>Salario!$A$11*F16</f>
        <v>6</v>
      </c>
      <c r="H16" s="70">
        <f t="shared" si="0"/>
        <v>8</v>
      </c>
      <c r="I16" s="70">
        <f>Salario!$C$11*F16</f>
        <v>12</v>
      </c>
      <c r="J16" s="15">
        <f>H16*Salario!$C$7</f>
        <v>359.38</v>
      </c>
    </row>
    <row r="17" spans="1:10" ht="16" x14ac:dyDescent="0.2">
      <c r="A17" s="70">
        <v>14</v>
      </c>
      <c r="B17" s="29" t="s">
        <v>144</v>
      </c>
      <c r="C17" s="70" t="s">
        <v>56</v>
      </c>
      <c r="D17" s="70" t="s">
        <v>324</v>
      </c>
      <c r="E17" s="70">
        <v>1</v>
      </c>
      <c r="F17" s="97">
        <v>2</v>
      </c>
      <c r="G17" s="70">
        <f>Salario!$A$11*F17</f>
        <v>1.5</v>
      </c>
      <c r="H17" s="70">
        <f t="shared" si="0"/>
        <v>2</v>
      </c>
      <c r="I17" s="70">
        <f>Salario!$C$11*F17</f>
        <v>3</v>
      </c>
      <c r="J17" s="15">
        <f>H17*Salario!$C$7</f>
        <v>89.844999999999999</v>
      </c>
    </row>
    <row r="18" spans="1:10" ht="16" x14ac:dyDescent="0.2">
      <c r="A18" s="70">
        <v>15</v>
      </c>
      <c r="B18" s="29" t="s">
        <v>146</v>
      </c>
      <c r="C18" s="70" t="s">
        <v>56</v>
      </c>
      <c r="D18" s="70" t="s">
        <v>324</v>
      </c>
      <c r="E18" s="70">
        <v>1</v>
      </c>
      <c r="F18" s="97">
        <f>E18*Salario!$A$3</f>
        <v>8</v>
      </c>
      <c r="G18" s="70">
        <f>Salario!$A$11*F18</f>
        <v>6</v>
      </c>
      <c r="H18" s="70">
        <f t="shared" si="0"/>
        <v>8</v>
      </c>
      <c r="I18" s="70">
        <f>Salario!$C$11*F18</f>
        <v>12</v>
      </c>
      <c r="J18" s="15">
        <f>H18*Salario!$C$7</f>
        <v>359.38</v>
      </c>
    </row>
    <row r="19" spans="1:10" ht="16" x14ac:dyDescent="0.2">
      <c r="A19" s="1"/>
      <c r="B19" s="1"/>
      <c r="C19" s="1"/>
      <c r="D19" s="1"/>
      <c r="E19" s="1"/>
      <c r="F19" s="70" t="s">
        <v>313</v>
      </c>
      <c r="G19" s="92">
        <f>SUM(G4:G18)</f>
        <v>132.9375</v>
      </c>
      <c r="H19" s="92">
        <f>SUM(H4:H18)</f>
        <v>177.25</v>
      </c>
      <c r="I19" s="92">
        <f>SUM(I4:I18)</f>
        <v>265.875</v>
      </c>
      <c r="J19" s="15">
        <f>SUM(J4:J18)</f>
        <v>7962.5131250000013</v>
      </c>
    </row>
    <row r="20" spans="1:10" ht="16" x14ac:dyDescent="0.2">
      <c r="A20" s="1"/>
      <c r="B20" s="1"/>
      <c r="C20" s="1"/>
      <c r="D20" s="1"/>
      <c r="E20" s="1"/>
      <c r="F20" s="70" t="s">
        <v>314</v>
      </c>
      <c r="G20" s="18">
        <f>(G19*H20)/H19</f>
        <v>5971.8848437500001</v>
      </c>
      <c r="H20" s="18">
        <f>J19</f>
        <v>7962.5131250000013</v>
      </c>
      <c r="I20" s="18">
        <f>(I19*H20)/H19</f>
        <v>11943.7696875</v>
      </c>
      <c r="J20" s="70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7"/>
      <c r="H22" s="1"/>
      <c r="I22" s="1"/>
      <c r="J22" s="1"/>
    </row>
  </sheetData>
  <mergeCells count="1">
    <mergeCell ref="G2:I2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9397-A182-4CA5-BFC0-DF9A49805230}">
  <dimension ref="A2:J30"/>
  <sheetViews>
    <sheetView zoomScale="80" zoomScaleNormal="80" workbookViewId="0">
      <selection activeCell="E31" sqref="E31"/>
    </sheetView>
  </sheetViews>
  <sheetFormatPr baseColWidth="10" defaultRowHeight="15" x14ac:dyDescent="0.2"/>
  <cols>
    <col min="1" max="1" width="11.33203125" bestFit="1" customWidth="1"/>
    <col min="2" max="2" width="32.6640625" customWidth="1"/>
    <col min="3" max="3" width="40.5" customWidth="1"/>
    <col min="4" max="4" width="14.6640625" customWidth="1"/>
    <col min="5" max="5" width="42" bestFit="1" customWidth="1"/>
    <col min="6" max="6" width="22.33203125" customWidth="1"/>
    <col min="7" max="7" width="13.1640625" bestFit="1" customWidth="1"/>
    <col min="8" max="8" width="13.5" bestFit="1" customWidth="1"/>
    <col min="9" max="9" width="15.1640625" bestFit="1" customWidth="1"/>
    <col min="10" max="10" width="18.6640625" bestFit="1" customWidth="1"/>
  </cols>
  <sheetData>
    <row r="2" spans="1:10" ht="29.25" customHeight="1" x14ac:dyDescent="0.2">
      <c r="E2" s="68" t="s">
        <v>73</v>
      </c>
      <c r="G2" s="110" t="s">
        <v>76</v>
      </c>
      <c r="H2" s="110"/>
      <c r="I2" s="110"/>
    </row>
    <row r="3" spans="1:10" ht="16" x14ac:dyDescent="0.2">
      <c r="A3" s="67" t="s">
        <v>0</v>
      </c>
      <c r="B3" s="3" t="s">
        <v>6</v>
      </c>
      <c r="C3" s="4" t="s">
        <v>21</v>
      </c>
      <c r="D3" s="5" t="s">
        <v>1</v>
      </c>
      <c r="E3" s="6" t="s">
        <v>71</v>
      </c>
      <c r="F3" s="6" t="s">
        <v>72</v>
      </c>
      <c r="G3" s="7" t="s">
        <v>2</v>
      </c>
      <c r="H3" s="7" t="s">
        <v>3</v>
      </c>
      <c r="I3" s="7" t="s">
        <v>4</v>
      </c>
      <c r="J3" s="8" t="s">
        <v>5</v>
      </c>
    </row>
    <row r="4" spans="1:10" ht="16" x14ac:dyDescent="0.2">
      <c r="A4" s="70">
        <v>1</v>
      </c>
      <c r="B4" s="70" t="s">
        <v>98</v>
      </c>
      <c r="C4" s="70" t="s">
        <v>312</v>
      </c>
      <c r="D4" s="70" t="s">
        <v>56</v>
      </c>
      <c r="E4" s="70">
        <v>1</v>
      </c>
      <c r="F4" s="70">
        <f>E4*Salario!$A$3</f>
        <v>8</v>
      </c>
      <c r="G4" s="70">
        <f>Salario!$A$11*F4</f>
        <v>6</v>
      </c>
      <c r="H4" s="70">
        <f t="shared" ref="H4:H26" si="0">F4</f>
        <v>8</v>
      </c>
      <c r="I4" s="70">
        <f>Salario!$C$11*F4</f>
        <v>12</v>
      </c>
      <c r="J4" s="15">
        <f>H4*Salario!$C$7</f>
        <v>359.38</v>
      </c>
    </row>
    <row r="5" spans="1:10" ht="16" x14ac:dyDescent="0.2">
      <c r="A5" s="70">
        <v>2</v>
      </c>
      <c r="B5" s="70" t="s">
        <v>101</v>
      </c>
      <c r="C5" s="70" t="s">
        <v>311</v>
      </c>
      <c r="D5" s="70">
        <v>1</v>
      </c>
      <c r="E5" s="70">
        <v>1</v>
      </c>
      <c r="F5" s="70">
        <f>E5*Salario!$A$3</f>
        <v>8</v>
      </c>
      <c r="G5" s="70">
        <f>Salario!$A$11*F5</f>
        <v>6</v>
      </c>
      <c r="H5" s="70">
        <f t="shared" si="0"/>
        <v>8</v>
      </c>
      <c r="I5" s="70">
        <f>Salario!$C$11*F5</f>
        <v>12</v>
      </c>
      <c r="J5" s="15">
        <f>H5*Salario!$C$7</f>
        <v>359.38</v>
      </c>
    </row>
    <row r="6" spans="1:10" ht="16" x14ac:dyDescent="0.2">
      <c r="A6" s="70">
        <v>3</v>
      </c>
      <c r="B6" s="70" t="s">
        <v>310</v>
      </c>
      <c r="C6" s="70" t="s">
        <v>309</v>
      </c>
      <c r="D6" s="70">
        <v>2</v>
      </c>
      <c r="E6" s="70">
        <v>1</v>
      </c>
      <c r="F6" s="70">
        <f>E6*Salario!$A$3</f>
        <v>8</v>
      </c>
      <c r="G6" s="70">
        <f>Salario!$A$11*F6</f>
        <v>6</v>
      </c>
      <c r="H6" s="70">
        <f t="shared" si="0"/>
        <v>8</v>
      </c>
      <c r="I6" s="70">
        <f>Salario!$C$11*F6</f>
        <v>12</v>
      </c>
      <c r="J6" s="15">
        <f>H6*Salario!$C$7</f>
        <v>359.38</v>
      </c>
    </row>
    <row r="7" spans="1:10" ht="16" x14ac:dyDescent="0.2">
      <c r="A7" s="70">
        <v>4</v>
      </c>
      <c r="B7" s="70" t="s">
        <v>106</v>
      </c>
      <c r="C7" s="70" t="s">
        <v>308</v>
      </c>
      <c r="D7" s="70">
        <v>3</v>
      </c>
      <c r="E7" s="70">
        <v>2</v>
      </c>
      <c r="F7" s="70">
        <f>E7*Salario!$A$3</f>
        <v>16</v>
      </c>
      <c r="G7" s="70">
        <f>Salario!$A$11*F7</f>
        <v>12</v>
      </c>
      <c r="H7" s="70">
        <f t="shared" si="0"/>
        <v>16</v>
      </c>
      <c r="I7" s="70">
        <f>Salario!$C$11*F7</f>
        <v>24</v>
      </c>
      <c r="J7" s="15">
        <f>H7*Salario!$C$7</f>
        <v>718.76</v>
      </c>
    </row>
    <row r="8" spans="1:10" ht="16" x14ac:dyDescent="0.2">
      <c r="A8" s="70">
        <v>5</v>
      </c>
      <c r="B8" s="70" t="s">
        <v>109</v>
      </c>
      <c r="C8" s="70" t="s">
        <v>307</v>
      </c>
      <c r="D8" s="70">
        <v>4</v>
      </c>
      <c r="E8" s="70">
        <v>2</v>
      </c>
      <c r="F8" s="70">
        <f>E8*Salario!$A$3</f>
        <v>16</v>
      </c>
      <c r="G8" s="70">
        <f>Salario!$A$11*F8</f>
        <v>12</v>
      </c>
      <c r="H8" s="70">
        <f t="shared" si="0"/>
        <v>16</v>
      </c>
      <c r="I8" s="70">
        <f>Salario!$C$11*F8</f>
        <v>24</v>
      </c>
      <c r="J8" s="15">
        <f>H8*Salario!$C$7</f>
        <v>718.76</v>
      </c>
    </row>
    <row r="9" spans="1:10" ht="16" x14ac:dyDescent="0.2">
      <c r="A9" s="70">
        <v>6</v>
      </c>
      <c r="B9" s="70" t="s">
        <v>306</v>
      </c>
      <c r="C9" s="70" t="s">
        <v>305</v>
      </c>
      <c r="D9" s="70">
        <v>5</v>
      </c>
      <c r="E9" s="70">
        <v>1</v>
      </c>
      <c r="F9" s="70">
        <f>E9*Salario!$A$3</f>
        <v>8</v>
      </c>
      <c r="G9" s="70">
        <f>Salario!$A$11*F9</f>
        <v>6</v>
      </c>
      <c r="H9" s="70">
        <f t="shared" si="0"/>
        <v>8</v>
      </c>
      <c r="I9" s="70">
        <f>Salario!$C$11*F9</f>
        <v>12</v>
      </c>
      <c r="J9" s="15">
        <f>H9*Salario!$C$7</f>
        <v>359.38</v>
      </c>
    </row>
    <row r="10" spans="1:10" ht="16" x14ac:dyDescent="0.2">
      <c r="A10" s="70">
        <v>7</v>
      </c>
      <c r="B10" s="70" t="s">
        <v>304</v>
      </c>
      <c r="C10" s="70" t="s">
        <v>303</v>
      </c>
      <c r="D10" s="70">
        <v>5</v>
      </c>
      <c r="E10" s="70">
        <v>3</v>
      </c>
      <c r="F10" s="70">
        <f>E10*Salario!$A$3</f>
        <v>24</v>
      </c>
      <c r="G10" s="70">
        <f>Salario!$A$11*F10</f>
        <v>18</v>
      </c>
      <c r="H10" s="70">
        <f t="shared" si="0"/>
        <v>24</v>
      </c>
      <c r="I10" s="70">
        <f>Salario!$C$11*F10</f>
        <v>36</v>
      </c>
      <c r="J10" s="15">
        <f>H10*Salario!$C$7</f>
        <v>1078.1399999999999</v>
      </c>
    </row>
    <row r="11" spans="1:10" ht="16" x14ac:dyDescent="0.2">
      <c r="A11" s="70">
        <v>8</v>
      </c>
      <c r="B11" s="70" t="s">
        <v>302</v>
      </c>
      <c r="C11" s="70" t="s">
        <v>301</v>
      </c>
      <c r="D11" s="70">
        <v>5</v>
      </c>
      <c r="E11" s="70">
        <v>3</v>
      </c>
      <c r="F11" s="70">
        <f>E11*Salario!$A$3</f>
        <v>24</v>
      </c>
      <c r="G11" s="70">
        <f>Salario!$A$11*F11</f>
        <v>18</v>
      </c>
      <c r="H11" s="70">
        <f t="shared" si="0"/>
        <v>24</v>
      </c>
      <c r="I11" s="70">
        <f>Salario!$C$11*F11</f>
        <v>36</v>
      </c>
      <c r="J11" s="15">
        <f>H11*Salario!$C$7</f>
        <v>1078.1399999999999</v>
      </c>
    </row>
    <row r="12" spans="1:10" ht="16" x14ac:dyDescent="0.2">
      <c r="A12" s="70">
        <v>9</v>
      </c>
      <c r="B12" s="70" t="s">
        <v>300</v>
      </c>
      <c r="C12" s="70" t="s">
        <v>299</v>
      </c>
      <c r="D12" s="70">
        <v>5</v>
      </c>
      <c r="E12" s="70">
        <v>3</v>
      </c>
      <c r="F12" s="70">
        <f>E12*Salario!$A$3</f>
        <v>24</v>
      </c>
      <c r="G12" s="70">
        <f>Salario!$A$11*F12</f>
        <v>18</v>
      </c>
      <c r="H12" s="70">
        <f t="shared" si="0"/>
        <v>24</v>
      </c>
      <c r="I12" s="70">
        <f>Salario!$C$11*F12</f>
        <v>36</v>
      </c>
      <c r="J12" s="15">
        <f>H12*Salario!$C$7</f>
        <v>1078.1399999999999</v>
      </c>
    </row>
    <row r="13" spans="1:10" ht="16" x14ac:dyDescent="0.2">
      <c r="A13" s="70">
        <v>10</v>
      </c>
      <c r="B13" s="70" t="s">
        <v>298</v>
      </c>
      <c r="C13" s="70" t="s">
        <v>297</v>
      </c>
      <c r="D13" s="70" t="s">
        <v>56</v>
      </c>
      <c r="E13" s="70">
        <v>1</v>
      </c>
      <c r="F13" s="70">
        <f>E13*Salario!$A$3</f>
        <v>8</v>
      </c>
      <c r="G13" s="70">
        <f>Salario!$A$11*F13</f>
        <v>6</v>
      </c>
      <c r="H13" s="70">
        <f t="shared" si="0"/>
        <v>8</v>
      </c>
      <c r="I13" s="70">
        <f>Salario!$C$11*F13</f>
        <v>12</v>
      </c>
      <c r="J13" s="15">
        <f>H13*Salario!$C$7</f>
        <v>359.38</v>
      </c>
    </row>
    <row r="14" spans="1:10" ht="16" x14ac:dyDescent="0.2">
      <c r="A14" s="70">
        <v>11</v>
      </c>
      <c r="B14" s="70" t="s">
        <v>125</v>
      </c>
      <c r="C14" s="70" t="s">
        <v>296</v>
      </c>
      <c r="D14" s="70">
        <v>10</v>
      </c>
      <c r="E14" s="70">
        <v>3</v>
      </c>
      <c r="F14" s="70">
        <f>E14*Salario!$A$3</f>
        <v>24</v>
      </c>
      <c r="G14" s="70">
        <f>Salario!$A$11*F14</f>
        <v>18</v>
      </c>
      <c r="H14" s="70">
        <f t="shared" si="0"/>
        <v>24</v>
      </c>
      <c r="I14" s="70">
        <f>Salario!$C$11*F14</f>
        <v>36</v>
      </c>
      <c r="J14" s="15">
        <f>H14*Salario!$C$7</f>
        <v>1078.1399999999999</v>
      </c>
    </row>
    <row r="15" spans="1:10" ht="32" x14ac:dyDescent="0.2">
      <c r="A15" s="70">
        <v>12</v>
      </c>
      <c r="B15" s="70" t="s">
        <v>128</v>
      </c>
      <c r="C15" s="70" t="s">
        <v>295</v>
      </c>
      <c r="D15" s="70">
        <v>11</v>
      </c>
      <c r="E15" s="70">
        <v>2</v>
      </c>
      <c r="F15" s="70">
        <f>E15*Salario!$A$3</f>
        <v>16</v>
      </c>
      <c r="G15" s="70">
        <f>Salario!$A$11*F15</f>
        <v>12</v>
      </c>
      <c r="H15" s="70">
        <f t="shared" si="0"/>
        <v>16</v>
      </c>
      <c r="I15" s="70">
        <f>Salario!$C$11*F15</f>
        <v>24</v>
      </c>
      <c r="J15" s="15">
        <f>H15*Salario!$C$7</f>
        <v>718.76</v>
      </c>
    </row>
    <row r="16" spans="1:10" ht="32" x14ac:dyDescent="0.2">
      <c r="A16" s="70">
        <v>13</v>
      </c>
      <c r="B16" s="70" t="s">
        <v>131</v>
      </c>
      <c r="C16" s="70" t="s">
        <v>294</v>
      </c>
      <c r="D16" s="70">
        <v>12</v>
      </c>
      <c r="E16" s="70">
        <v>1</v>
      </c>
      <c r="F16" s="70">
        <f>E16*Salario!$A$3</f>
        <v>8</v>
      </c>
      <c r="G16" s="70">
        <f>Salario!$A$11*F16</f>
        <v>6</v>
      </c>
      <c r="H16" s="70">
        <f t="shared" si="0"/>
        <v>8</v>
      </c>
      <c r="I16" s="70">
        <f>Salario!$C$11*F16</f>
        <v>12</v>
      </c>
      <c r="J16" s="15">
        <f>H16*Salario!$C$7</f>
        <v>359.38</v>
      </c>
    </row>
    <row r="17" spans="1:10" ht="32" x14ac:dyDescent="0.2">
      <c r="A17" s="70">
        <v>14</v>
      </c>
      <c r="B17" s="70" t="s">
        <v>293</v>
      </c>
      <c r="C17" s="70" t="s">
        <v>292</v>
      </c>
      <c r="D17" s="70">
        <v>13</v>
      </c>
      <c r="E17" s="70">
        <v>1</v>
      </c>
      <c r="F17" s="70">
        <f>E17*Salario!$A$3</f>
        <v>8</v>
      </c>
      <c r="G17" s="70">
        <f>Salario!$A$11*F17</f>
        <v>6</v>
      </c>
      <c r="H17" s="70">
        <f t="shared" si="0"/>
        <v>8</v>
      </c>
      <c r="I17" s="70">
        <f>Salario!$C$11*F17</f>
        <v>12</v>
      </c>
      <c r="J17" s="15">
        <f>H17*Salario!$C$7</f>
        <v>359.38</v>
      </c>
    </row>
    <row r="18" spans="1:10" ht="32" x14ac:dyDescent="0.2">
      <c r="A18" s="70">
        <v>15</v>
      </c>
      <c r="B18" s="70" t="s">
        <v>135</v>
      </c>
      <c r="C18" s="70" t="s">
        <v>291</v>
      </c>
      <c r="D18" s="70">
        <v>12</v>
      </c>
      <c r="E18" s="70">
        <v>1</v>
      </c>
      <c r="F18" s="70">
        <f>E18*Salario!$A$3</f>
        <v>8</v>
      </c>
      <c r="G18" s="70">
        <f>Salario!$A$11*F18</f>
        <v>6</v>
      </c>
      <c r="H18" s="70">
        <f t="shared" si="0"/>
        <v>8</v>
      </c>
      <c r="I18" s="70">
        <f>Salario!$C$11*F18</f>
        <v>12</v>
      </c>
      <c r="J18" s="15">
        <f>H18*Salario!$C$7</f>
        <v>359.38</v>
      </c>
    </row>
    <row r="19" spans="1:10" ht="16" x14ac:dyDescent="0.2">
      <c r="A19" s="70">
        <v>16</v>
      </c>
      <c r="B19" s="70" t="s">
        <v>290</v>
      </c>
      <c r="C19" s="70" t="s">
        <v>289</v>
      </c>
      <c r="D19" s="70">
        <v>13</v>
      </c>
      <c r="E19" s="70">
        <v>3</v>
      </c>
      <c r="F19" s="70">
        <f>E19*Salario!$A$3</f>
        <v>24</v>
      </c>
      <c r="G19" s="70">
        <f>Salario!$A$11*F19</f>
        <v>18</v>
      </c>
      <c r="H19" s="70">
        <f t="shared" si="0"/>
        <v>24</v>
      </c>
      <c r="I19" s="70">
        <f>Salario!$C$11*F19</f>
        <v>36</v>
      </c>
      <c r="J19" s="15">
        <f>H19*Salario!$C$7</f>
        <v>1078.1399999999999</v>
      </c>
    </row>
    <row r="20" spans="1:10" ht="32" x14ac:dyDescent="0.2">
      <c r="A20" s="70">
        <v>17</v>
      </c>
      <c r="B20" s="70" t="s">
        <v>139</v>
      </c>
      <c r="C20" s="70" t="s">
        <v>288</v>
      </c>
      <c r="D20" s="70">
        <v>16</v>
      </c>
      <c r="E20" s="70">
        <v>1</v>
      </c>
      <c r="F20" s="70">
        <f>E20*Salario!$A$3</f>
        <v>8</v>
      </c>
      <c r="G20" s="70">
        <f>Salario!$A$11*F20</f>
        <v>6</v>
      </c>
      <c r="H20" s="70">
        <f t="shared" si="0"/>
        <v>8</v>
      </c>
      <c r="I20" s="70">
        <f>Salario!$C$11*F20</f>
        <v>12</v>
      </c>
      <c r="J20" s="15">
        <f>H20*Salario!$C$7</f>
        <v>359.38</v>
      </c>
    </row>
    <row r="21" spans="1:10" ht="16" x14ac:dyDescent="0.2">
      <c r="A21" s="70">
        <v>18</v>
      </c>
      <c r="B21" s="70" t="s">
        <v>141</v>
      </c>
      <c r="C21" s="70" t="s">
        <v>287</v>
      </c>
      <c r="D21" s="70">
        <v>17</v>
      </c>
      <c r="E21" s="70">
        <v>2</v>
      </c>
      <c r="F21" s="70">
        <f>E21*Salario!$A$3</f>
        <v>16</v>
      </c>
      <c r="G21" s="70">
        <f>Salario!$A$11*F21</f>
        <v>12</v>
      </c>
      <c r="H21" s="70">
        <f t="shared" si="0"/>
        <v>16</v>
      </c>
      <c r="I21" s="70">
        <f>Salario!$C$11*F21</f>
        <v>24</v>
      </c>
      <c r="J21" s="15">
        <f>H21*Salario!$C$7</f>
        <v>718.76</v>
      </c>
    </row>
    <row r="22" spans="1:10" ht="16" x14ac:dyDescent="0.2">
      <c r="A22" s="70">
        <v>19</v>
      </c>
      <c r="B22" s="70" t="s">
        <v>286</v>
      </c>
      <c r="C22" s="70" t="s">
        <v>285</v>
      </c>
      <c r="D22" s="70">
        <v>17</v>
      </c>
      <c r="E22" s="70">
        <v>2</v>
      </c>
      <c r="F22" s="70">
        <f>E22*Salario!$A$3</f>
        <v>16</v>
      </c>
      <c r="G22" s="70">
        <f>Salario!$A$11*F22</f>
        <v>12</v>
      </c>
      <c r="H22" s="70">
        <f t="shared" si="0"/>
        <v>16</v>
      </c>
      <c r="I22" s="70">
        <f>Salario!$C$11*F22</f>
        <v>24</v>
      </c>
      <c r="J22" s="15">
        <f>H22*Salario!$C$7</f>
        <v>718.76</v>
      </c>
    </row>
    <row r="23" spans="1:10" ht="32" x14ac:dyDescent="0.2">
      <c r="A23" s="70">
        <v>20</v>
      </c>
      <c r="B23" s="70" t="s">
        <v>145</v>
      </c>
      <c r="C23" s="70" t="s">
        <v>284</v>
      </c>
      <c r="D23" s="70">
        <v>19</v>
      </c>
      <c r="E23" s="70">
        <v>1</v>
      </c>
      <c r="F23" s="70">
        <f>E23*Salario!$A$3</f>
        <v>8</v>
      </c>
      <c r="G23" s="70">
        <f>Salario!$A$11*F23</f>
        <v>6</v>
      </c>
      <c r="H23" s="70">
        <f t="shared" si="0"/>
        <v>8</v>
      </c>
      <c r="I23" s="70">
        <f>Salario!$C$11*F23</f>
        <v>12</v>
      </c>
      <c r="J23" s="15">
        <f>H23*Salario!$C$7</f>
        <v>359.38</v>
      </c>
    </row>
    <row r="24" spans="1:10" ht="16" x14ac:dyDescent="0.2">
      <c r="A24" s="70">
        <v>21</v>
      </c>
      <c r="B24" s="70" t="s">
        <v>147</v>
      </c>
      <c r="C24" s="70" t="s">
        <v>283</v>
      </c>
      <c r="D24" s="70">
        <v>18</v>
      </c>
      <c r="E24" s="70">
        <v>1</v>
      </c>
      <c r="F24" s="70">
        <f>E24*Salario!$A$3</f>
        <v>8</v>
      </c>
      <c r="G24" s="70">
        <f>Salario!$A$11*F24</f>
        <v>6</v>
      </c>
      <c r="H24" s="70">
        <f t="shared" si="0"/>
        <v>8</v>
      </c>
      <c r="I24" s="70">
        <f>Salario!$C$11*F24</f>
        <v>12</v>
      </c>
      <c r="J24" s="15">
        <f>H24*Salario!$C$7</f>
        <v>359.38</v>
      </c>
    </row>
    <row r="25" spans="1:10" ht="32" x14ac:dyDescent="0.2">
      <c r="A25" s="70">
        <v>22</v>
      </c>
      <c r="B25" s="70" t="s">
        <v>148</v>
      </c>
      <c r="C25" s="70" t="s">
        <v>282</v>
      </c>
      <c r="D25" s="70">
        <v>21</v>
      </c>
      <c r="E25" s="70">
        <v>1</v>
      </c>
      <c r="F25" s="70">
        <f>E25*Salario!$A$3</f>
        <v>8</v>
      </c>
      <c r="G25" s="70">
        <f>Salario!$A$11*F25</f>
        <v>6</v>
      </c>
      <c r="H25" s="70">
        <f t="shared" si="0"/>
        <v>8</v>
      </c>
      <c r="I25" s="70">
        <f>Salario!$C$11*F25</f>
        <v>12</v>
      </c>
      <c r="J25" s="15">
        <f>H25*Salario!$C$7</f>
        <v>359.38</v>
      </c>
    </row>
    <row r="26" spans="1:10" ht="32" x14ac:dyDescent="0.2">
      <c r="A26" s="70">
        <v>23</v>
      </c>
      <c r="B26" s="70" t="s">
        <v>149</v>
      </c>
      <c r="C26" s="70" t="s">
        <v>281</v>
      </c>
      <c r="D26" s="70">
        <v>22</v>
      </c>
      <c r="E26" s="70">
        <v>1</v>
      </c>
      <c r="F26" s="70">
        <f>E26*Salario!$A$3</f>
        <v>8</v>
      </c>
      <c r="G26" s="70">
        <f>Salario!$A$11*F26</f>
        <v>6</v>
      </c>
      <c r="H26" s="70">
        <f t="shared" si="0"/>
        <v>8</v>
      </c>
      <c r="I26" s="70">
        <f>Salario!$C$11*F26</f>
        <v>12</v>
      </c>
      <c r="J26" s="15">
        <f>H26*Salario!$C$7</f>
        <v>359.38</v>
      </c>
    </row>
    <row r="27" spans="1:10" ht="16" x14ac:dyDescent="0.2">
      <c r="A27" s="1"/>
      <c r="B27" s="1"/>
      <c r="C27" s="1"/>
      <c r="D27" s="1"/>
      <c r="E27" s="1"/>
      <c r="F27" s="102" t="s">
        <v>313</v>
      </c>
      <c r="G27" s="92">
        <f>SUM(G4:G26)</f>
        <v>228</v>
      </c>
      <c r="H27" s="92">
        <f t="shared" ref="H27:I27" si="1">SUM(H4:H26)</f>
        <v>304</v>
      </c>
      <c r="I27" s="92">
        <f t="shared" si="1"/>
        <v>456</v>
      </c>
      <c r="J27" s="15">
        <f>SUM(J4:J26)</f>
        <v>13656.439999999993</v>
      </c>
    </row>
    <row r="28" spans="1:10" ht="16" x14ac:dyDescent="0.2">
      <c r="A28" s="1"/>
      <c r="B28" s="1"/>
      <c r="C28" s="1"/>
      <c r="D28" s="1"/>
      <c r="E28" s="1"/>
      <c r="F28" s="102" t="s">
        <v>314</v>
      </c>
      <c r="G28" s="18">
        <f>(G27*H28)/H27</f>
        <v>10242.329999999994</v>
      </c>
      <c r="H28" s="18">
        <f>J27</f>
        <v>13656.439999999993</v>
      </c>
      <c r="I28" s="18">
        <f>(I27*H28)/H27</f>
        <v>20484.659999999989</v>
      </c>
      <c r="J28" s="102"/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/>
      <c r="B30" s="1"/>
      <c r="C30" s="1"/>
      <c r="D30" s="1"/>
      <c r="E30" s="1"/>
      <c r="F30" s="1"/>
      <c r="G30" s="17"/>
      <c r="H30" s="1"/>
      <c r="I30" s="1"/>
      <c r="J30" s="1"/>
    </row>
  </sheetData>
  <mergeCells count="1">
    <mergeCell ref="G2:I2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84F6-9F4E-4FA9-9B44-2C20CC904B82}">
  <dimension ref="A2:J51"/>
  <sheetViews>
    <sheetView topLeftCell="A21" zoomScale="80" zoomScaleNormal="80" workbookViewId="0">
      <selection activeCell="C38" sqref="C38"/>
    </sheetView>
  </sheetViews>
  <sheetFormatPr baseColWidth="10" defaultRowHeight="15" x14ac:dyDescent="0.2"/>
  <cols>
    <col min="1" max="1" width="20.5" bestFit="1" customWidth="1"/>
    <col min="2" max="2" width="31.83203125" customWidth="1"/>
    <col min="3" max="3" width="46.6640625" customWidth="1"/>
    <col min="4" max="4" width="22.1640625" customWidth="1"/>
    <col min="5" max="5" width="42" bestFit="1" customWidth="1"/>
    <col min="6" max="6" width="22.33203125" customWidth="1"/>
    <col min="7" max="7" width="13.1640625" bestFit="1" customWidth="1"/>
    <col min="8" max="8" width="13.5" bestFit="1" customWidth="1"/>
    <col min="9" max="9" width="15.1640625" bestFit="1" customWidth="1"/>
    <col min="10" max="10" width="18.6640625" bestFit="1" customWidth="1"/>
    <col min="12" max="12" width="30.33203125" bestFit="1" customWidth="1"/>
    <col min="13" max="13" width="14.1640625" bestFit="1" customWidth="1"/>
    <col min="14" max="14" width="19.6640625" bestFit="1" customWidth="1"/>
    <col min="15" max="15" width="18.6640625" bestFit="1" customWidth="1"/>
  </cols>
  <sheetData>
    <row r="2" spans="1:10" ht="29.25" customHeight="1" x14ac:dyDescent="0.2">
      <c r="E2" s="14" t="s">
        <v>73</v>
      </c>
      <c r="G2" s="110" t="s">
        <v>76</v>
      </c>
      <c r="H2" s="110"/>
      <c r="I2" s="110"/>
    </row>
    <row r="3" spans="1:10" ht="16" x14ac:dyDescent="0.2">
      <c r="A3" s="2" t="s">
        <v>0</v>
      </c>
      <c r="B3" s="3" t="s">
        <v>6</v>
      </c>
      <c r="C3" s="4" t="s">
        <v>21</v>
      </c>
      <c r="D3" s="5" t="s">
        <v>1</v>
      </c>
      <c r="E3" s="6" t="s">
        <v>71</v>
      </c>
      <c r="F3" s="6" t="s">
        <v>72</v>
      </c>
      <c r="G3" s="7" t="s">
        <v>2</v>
      </c>
      <c r="H3" s="7" t="s">
        <v>3</v>
      </c>
      <c r="I3" s="7" t="s">
        <v>4</v>
      </c>
      <c r="J3" s="8" t="s">
        <v>5</v>
      </c>
    </row>
    <row r="4" spans="1:10" ht="48" x14ac:dyDescent="0.2">
      <c r="A4" s="9">
        <v>1</v>
      </c>
      <c r="B4" s="9" t="s">
        <v>9</v>
      </c>
      <c r="C4" s="9" t="s">
        <v>39</v>
      </c>
      <c r="D4" s="9" t="s">
        <v>56</v>
      </c>
      <c r="E4" s="9">
        <v>5</v>
      </c>
      <c r="F4" s="9">
        <f>E4*Salario!$A$3</f>
        <v>40</v>
      </c>
      <c r="G4" s="9">
        <f>Salario!$A$11*F4</f>
        <v>30</v>
      </c>
      <c r="H4" s="9">
        <f>F4</f>
        <v>40</v>
      </c>
      <c r="I4" s="9">
        <f>Salario!$C$11*F4</f>
        <v>60</v>
      </c>
      <c r="J4" s="15">
        <f>H4*Salario!$C$7</f>
        <v>1796.9</v>
      </c>
    </row>
    <row r="5" spans="1:10" ht="32" x14ac:dyDescent="0.2">
      <c r="A5" s="9">
        <v>2</v>
      </c>
      <c r="B5" s="9" t="s">
        <v>10</v>
      </c>
      <c r="C5" s="9" t="s">
        <v>40</v>
      </c>
      <c r="D5" s="9">
        <v>1</v>
      </c>
      <c r="E5" s="9">
        <v>8</v>
      </c>
      <c r="F5" s="9">
        <f>E5*Salario!$A$3</f>
        <v>64</v>
      </c>
      <c r="G5" s="9">
        <f>Salario!$A$11*F5</f>
        <v>48</v>
      </c>
      <c r="H5" s="9">
        <f>F5</f>
        <v>64</v>
      </c>
      <c r="I5" s="9">
        <f>Salario!$C$11*F5</f>
        <v>96</v>
      </c>
      <c r="J5" s="15">
        <f>H5*Salario!$C$7</f>
        <v>2875.04</v>
      </c>
    </row>
    <row r="6" spans="1:10" ht="32" x14ac:dyDescent="0.2">
      <c r="A6" s="9">
        <v>3</v>
      </c>
      <c r="B6" s="9" t="s">
        <v>11</v>
      </c>
      <c r="C6" s="9" t="s">
        <v>41</v>
      </c>
      <c r="D6" s="9">
        <v>1</v>
      </c>
      <c r="E6" s="9">
        <v>3</v>
      </c>
      <c r="F6" s="9">
        <f>E6*Salario!$A$3</f>
        <v>24</v>
      </c>
      <c r="G6" s="9">
        <f>Salario!$A$11*F6</f>
        <v>18</v>
      </c>
      <c r="H6" s="9">
        <f t="shared" ref="H6:H26" si="0">F6</f>
        <v>24</v>
      </c>
      <c r="I6" s="9">
        <f>Salario!$C$11*F6</f>
        <v>36</v>
      </c>
      <c r="J6" s="15">
        <f>H6*Salario!$C$7</f>
        <v>1078.1399999999999</v>
      </c>
    </row>
    <row r="7" spans="1:10" ht="32" x14ac:dyDescent="0.2">
      <c r="A7" s="9">
        <v>4</v>
      </c>
      <c r="B7" s="9" t="s">
        <v>12</v>
      </c>
      <c r="C7" s="9" t="s">
        <v>42</v>
      </c>
      <c r="D7" s="9">
        <v>3</v>
      </c>
      <c r="E7" s="9">
        <v>3</v>
      </c>
      <c r="F7" s="9">
        <f>E7*Salario!$A$3</f>
        <v>24</v>
      </c>
      <c r="G7" s="9">
        <f>Salario!$A$11*F7</f>
        <v>18</v>
      </c>
      <c r="H7" s="9">
        <f t="shared" si="0"/>
        <v>24</v>
      </c>
      <c r="I7" s="9">
        <f>Salario!$C$11*F7</f>
        <v>36</v>
      </c>
      <c r="J7" s="15">
        <f>H7*Salario!$C$7</f>
        <v>1078.1399999999999</v>
      </c>
    </row>
    <row r="8" spans="1:10" ht="32" x14ac:dyDescent="0.2">
      <c r="A8" s="9">
        <v>5</v>
      </c>
      <c r="B8" s="9" t="s">
        <v>13</v>
      </c>
      <c r="C8" s="9" t="s">
        <v>43</v>
      </c>
      <c r="D8" s="9" t="s">
        <v>57</v>
      </c>
      <c r="E8" s="9">
        <v>5</v>
      </c>
      <c r="F8" s="9">
        <f>E8*Salario!$A$3</f>
        <v>40</v>
      </c>
      <c r="G8" s="9">
        <f>Salario!$A$11*F8</f>
        <v>30</v>
      </c>
      <c r="H8" s="9">
        <f t="shared" si="0"/>
        <v>40</v>
      </c>
      <c r="I8" s="9">
        <f>Salario!$C$11*F8</f>
        <v>60</v>
      </c>
      <c r="J8" s="15">
        <f>H8*Salario!$C$7</f>
        <v>1796.9</v>
      </c>
    </row>
    <row r="9" spans="1:10" ht="32" x14ac:dyDescent="0.2">
      <c r="A9" s="9">
        <v>6</v>
      </c>
      <c r="B9" s="9" t="s">
        <v>14</v>
      </c>
      <c r="C9" s="9" t="s">
        <v>44</v>
      </c>
      <c r="D9" s="9" t="s">
        <v>58</v>
      </c>
      <c r="E9" s="9">
        <v>5</v>
      </c>
      <c r="F9" s="9">
        <f>E9*Salario!$A$3</f>
        <v>40</v>
      </c>
      <c r="G9" s="9">
        <f>Salario!$A$11*F9</f>
        <v>30</v>
      </c>
      <c r="H9" s="9">
        <f t="shared" si="0"/>
        <v>40</v>
      </c>
      <c r="I9" s="9">
        <f>Salario!$C$11*F9</f>
        <v>60</v>
      </c>
      <c r="J9" s="15">
        <f>H9*Salario!$C$7</f>
        <v>1796.9</v>
      </c>
    </row>
    <row r="10" spans="1:10" ht="32" x14ac:dyDescent="0.2">
      <c r="A10" s="9">
        <v>7</v>
      </c>
      <c r="B10" s="9" t="s">
        <v>15</v>
      </c>
      <c r="C10" s="9" t="s">
        <v>45</v>
      </c>
      <c r="D10" s="9" t="s">
        <v>59</v>
      </c>
      <c r="E10" s="9">
        <v>5</v>
      </c>
      <c r="F10" s="9">
        <f>E10*Salario!$A$3</f>
        <v>40</v>
      </c>
      <c r="G10" s="9">
        <f>Salario!$A$11*F10</f>
        <v>30</v>
      </c>
      <c r="H10" s="9">
        <f t="shared" si="0"/>
        <v>40</v>
      </c>
      <c r="I10" s="9">
        <f>Salario!$C$11*F10</f>
        <v>60</v>
      </c>
      <c r="J10" s="15">
        <f>H10*Salario!$C$7</f>
        <v>1796.9</v>
      </c>
    </row>
    <row r="11" spans="1:10" ht="32" x14ac:dyDescent="0.2">
      <c r="A11" s="9">
        <v>8</v>
      </c>
      <c r="B11" s="9" t="s">
        <v>16</v>
      </c>
      <c r="C11" s="9" t="s">
        <v>46</v>
      </c>
      <c r="D11" s="9">
        <v>2</v>
      </c>
      <c r="E11" s="9">
        <v>1</v>
      </c>
      <c r="F11" s="9">
        <f>E11*Salario!$A$3</f>
        <v>8</v>
      </c>
      <c r="G11" s="9">
        <f>Salario!$A$11*F11</f>
        <v>6</v>
      </c>
      <c r="H11" s="9">
        <f t="shared" si="0"/>
        <v>8</v>
      </c>
      <c r="I11" s="9">
        <f>Salario!$C$11*F11</f>
        <v>12</v>
      </c>
      <c r="J11" s="15">
        <f>H11*Salario!$C$7</f>
        <v>359.38</v>
      </c>
    </row>
    <row r="12" spans="1:10" ht="32" x14ac:dyDescent="0.2">
      <c r="A12" s="9">
        <v>9</v>
      </c>
      <c r="B12" s="9" t="s">
        <v>17</v>
      </c>
      <c r="C12" s="9" t="s">
        <v>47</v>
      </c>
      <c r="D12" s="9">
        <v>3</v>
      </c>
      <c r="E12" s="9">
        <v>1</v>
      </c>
      <c r="F12" s="9">
        <f>E12*Salario!$A$3</f>
        <v>8</v>
      </c>
      <c r="G12" s="9">
        <f>Salario!$A$11*F12</f>
        <v>6</v>
      </c>
      <c r="H12" s="9">
        <f t="shared" si="0"/>
        <v>8</v>
      </c>
      <c r="I12" s="9">
        <f>Salario!$C$11*F12</f>
        <v>12</v>
      </c>
      <c r="J12" s="15">
        <f>H12*Salario!$C$7</f>
        <v>359.38</v>
      </c>
    </row>
    <row r="13" spans="1:10" ht="32" x14ac:dyDescent="0.2">
      <c r="A13" s="9">
        <v>10</v>
      </c>
      <c r="B13" s="9" t="s">
        <v>18</v>
      </c>
      <c r="C13" s="9" t="s">
        <v>48</v>
      </c>
      <c r="D13" s="9">
        <v>4</v>
      </c>
      <c r="E13" s="9">
        <v>1</v>
      </c>
      <c r="F13" s="9">
        <f>E13*Salario!$A$3</f>
        <v>8</v>
      </c>
      <c r="G13" s="9">
        <f>Salario!$A$11*F13</f>
        <v>6</v>
      </c>
      <c r="H13" s="9">
        <f t="shared" si="0"/>
        <v>8</v>
      </c>
      <c r="I13" s="9">
        <f>Salario!$C$11*F13</f>
        <v>12</v>
      </c>
      <c r="J13" s="15">
        <f>H13*Salario!$C$7</f>
        <v>359.38</v>
      </c>
    </row>
    <row r="14" spans="1:10" ht="32" x14ac:dyDescent="0.2">
      <c r="A14" s="9">
        <v>11</v>
      </c>
      <c r="B14" s="9" t="s">
        <v>32</v>
      </c>
      <c r="C14" s="9" t="s">
        <v>49</v>
      </c>
      <c r="D14" s="9">
        <v>5</v>
      </c>
      <c r="E14" s="9">
        <v>1</v>
      </c>
      <c r="F14" s="9">
        <f>E14*Salario!$A$3</f>
        <v>8</v>
      </c>
      <c r="G14" s="9">
        <f>Salario!$A$11*F14</f>
        <v>6</v>
      </c>
      <c r="H14" s="9">
        <f t="shared" si="0"/>
        <v>8</v>
      </c>
      <c r="I14" s="9">
        <f>Salario!$C$11*F14</f>
        <v>12</v>
      </c>
      <c r="J14" s="15">
        <f>H14*Salario!$C$7</f>
        <v>359.38</v>
      </c>
    </row>
    <row r="15" spans="1:10" ht="16" x14ac:dyDescent="0.2">
      <c r="A15" s="9">
        <v>12</v>
      </c>
      <c r="B15" s="9" t="s">
        <v>19</v>
      </c>
      <c r="C15" s="9" t="s">
        <v>50</v>
      </c>
      <c r="D15" s="9">
        <v>7</v>
      </c>
      <c r="E15" s="9">
        <v>1</v>
      </c>
      <c r="F15" s="9">
        <f>E15*Salario!$A$3</f>
        <v>8</v>
      </c>
      <c r="G15" s="9">
        <f>Salario!$A$11*F15</f>
        <v>6</v>
      </c>
      <c r="H15" s="9">
        <f t="shared" si="0"/>
        <v>8</v>
      </c>
      <c r="I15" s="9">
        <f>Salario!$C$11*F15</f>
        <v>12</v>
      </c>
      <c r="J15" s="15">
        <f>H15*Salario!$C$7</f>
        <v>359.38</v>
      </c>
    </row>
    <row r="16" spans="1:10" ht="32" x14ac:dyDescent="0.2">
      <c r="A16" s="9">
        <v>13</v>
      </c>
      <c r="B16" s="9" t="s">
        <v>20</v>
      </c>
      <c r="C16" s="9" t="s">
        <v>51</v>
      </c>
      <c r="D16" s="9">
        <v>6</v>
      </c>
      <c r="E16" s="9">
        <v>1</v>
      </c>
      <c r="F16" s="9">
        <f>E16*Salario!$A$3</f>
        <v>8</v>
      </c>
      <c r="G16" s="9">
        <f>Salario!$A$11*F16</f>
        <v>6</v>
      </c>
      <c r="H16" s="9">
        <f t="shared" si="0"/>
        <v>8</v>
      </c>
      <c r="I16" s="9">
        <f>Salario!$C$11*F16</f>
        <v>12</v>
      </c>
      <c r="J16" s="15">
        <f>H16*Salario!$C$7</f>
        <v>359.38</v>
      </c>
    </row>
    <row r="17" spans="1:10" ht="48" x14ac:dyDescent="0.2">
      <c r="A17" s="9">
        <v>14</v>
      </c>
      <c r="B17" s="9" t="s">
        <v>22</v>
      </c>
      <c r="C17" s="9" t="s">
        <v>36</v>
      </c>
      <c r="D17" s="9" t="s">
        <v>60</v>
      </c>
      <c r="E17" s="9">
        <v>15</v>
      </c>
      <c r="F17" s="9">
        <f>E17*Salario!$A$3</f>
        <v>120</v>
      </c>
      <c r="G17" s="9">
        <f>Salario!$A$11*F17</f>
        <v>90</v>
      </c>
      <c r="H17" s="9">
        <f t="shared" si="0"/>
        <v>120</v>
      </c>
      <c r="I17" s="9">
        <f>Salario!$C$11*F17</f>
        <v>180</v>
      </c>
      <c r="J17" s="15">
        <f>H17*Salario!$C$7</f>
        <v>5390.7</v>
      </c>
    </row>
    <row r="18" spans="1:10" ht="32" x14ac:dyDescent="0.2">
      <c r="A18" s="9">
        <v>15</v>
      </c>
      <c r="B18" s="9" t="s">
        <v>25</v>
      </c>
      <c r="C18" s="9" t="s">
        <v>35</v>
      </c>
      <c r="D18" s="9">
        <v>14</v>
      </c>
      <c r="E18" s="9">
        <v>5</v>
      </c>
      <c r="F18" s="9">
        <f>E18*Salario!$A$3</f>
        <v>40</v>
      </c>
      <c r="G18" s="9">
        <f>Salario!$A$11*F18</f>
        <v>30</v>
      </c>
      <c r="H18" s="9">
        <f t="shared" si="0"/>
        <v>40</v>
      </c>
      <c r="I18" s="9">
        <f>Salario!$C$11*F18</f>
        <v>60</v>
      </c>
      <c r="J18" s="15">
        <f>H18*Salario!$C$7</f>
        <v>1796.9</v>
      </c>
    </row>
    <row r="19" spans="1:10" ht="16" x14ac:dyDescent="0.2">
      <c r="A19" s="9">
        <v>16</v>
      </c>
      <c r="B19" s="9" t="s">
        <v>23</v>
      </c>
      <c r="C19" s="9" t="s">
        <v>37</v>
      </c>
      <c r="D19" s="9">
        <v>15</v>
      </c>
      <c r="E19" s="9">
        <v>20</v>
      </c>
      <c r="F19" s="9">
        <f>E19*Salario!$A$3</f>
        <v>160</v>
      </c>
      <c r="G19" s="9">
        <f>Salario!$A$11*F19</f>
        <v>120</v>
      </c>
      <c r="H19" s="9">
        <f t="shared" si="0"/>
        <v>160</v>
      </c>
      <c r="I19" s="9">
        <f>Salario!$C$11*F19</f>
        <v>240</v>
      </c>
      <c r="J19" s="15">
        <f>H19*Salario!$C$7</f>
        <v>7187.6</v>
      </c>
    </row>
    <row r="20" spans="1:10" ht="32" x14ac:dyDescent="0.2">
      <c r="A20" s="9">
        <v>17</v>
      </c>
      <c r="B20" s="9" t="s">
        <v>27</v>
      </c>
      <c r="C20" s="9" t="s">
        <v>34</v>
      </c>
      <c r="D20" s="9">
        <v>16</v>
      </c>
      <c r="E20" s="9">
        <v>1.25</v>
      </c>
      <c r="F20" s="9">
        <f>E20*Salario!$A$3</f>
        <v>10</v>
      </c>
      <c r="G20" s="9">
        <f>Salario!$A$11*F20</f>
        <v>7.5</v>
      </c>
      <c r="H20" s="9">
        <f t="shared" si="0"/>
        <v>10</v>
      </c>
      <c r="I20" s="9">
        <f>Salario!$C$11*F20</f>
        <v>15</v>
      </c>
      <c r="J20" s="15">
        <f>H20*Salario!$C$7</f>
        <v>449.22500000000002</v>
      </c>
    </row>
    <row r="21" spans="1:10" ht="32" x14ac:dyDescent="0.2">
      <c r="A21" s="9">
        <v>18</v>
      </c>
      <c r="B21" s="9" t="s">
        <v>24</v>
      </c>
      <c r="C21" s="9" t="s">
        <v>33</v>
      </c>
      <c r="D21" s="9">
        <v>17</v>
      </c>
      <c r="E21" s="9">
        <v>4</v>
      </c>
      <c r="F21" s="9">
        <f>E21*Salario!$A$3</f>
        <v>32</v>
      </c>
      <c r="G21" s="9">
        <f>Salario!$A$11*F21</f>
        <v>24</v>
      </c>
      <c r="H21" s="9">
        <f t="shared" si="0"/>
        <v>32</v>
      </c>
      <c r="I21" s="9">
        <f>Salario!$C$11*F21</f>
        <v>48</v>
      </c>
      <c r="J21" s="15">
        <f>H21*Salario!$C$7</f>
        <v>1437.52</v>
      </c>
    </row>
    <row r="22" spans="1:10" ht="32" x14ac:dyDescent="0.2">
      <c r="A22" s="9">
        <v>19</v>
      </c>
      <c r="B22" s="9" t="s">
        <v>26</v>
      </c>
      <c r="C22" s="9" t="s">
        <v>38</v>
      </c>
      <c r="D22" s="9">
        <v>18</v>
      </c>
      <c r="E22" s="9">
        <v>1.5</v>
      </c>
      <c r="F22" s="9">
        <f>E22*Salario!$A$3</f>
        <v>12</v>
      </c>
      <c r="G22" s="9">
        <f>Salario!$A$11*F22</f>
        <v>9</v>
      </c>
      <c r="H22" s="9">
        <f t="shared" si="0"/>
        <v>12</v>
      </c>
      <c r="I22" s="9">
        <f>Salario!$C$11*F22</f>
        <v>18</v>
      </c>
      <c r="J22" s="15">
        <f>H22*Salario!$C$7</f>
        <v>539.06999999999994</v>
      </c>
    </row>
    <row r="23" spans="1:10" ht="32" x14ac:dyDescent="0.2">
      <c r="A23" s="9">
        <v>20</v>
      </c>
      <c r="B23" s="9" t="s">
        <v>28</v>
      </c>
      <c r="C23" s="9" t="s">
        <v>53</v>
      </c>
      <c r="D23" s="9">
        <v>19</v>
      </c>
      <c r="E23" s="9">
        <v>1.25</v>
      </c>
      <c r="F23" s="9">
        <f>E23*Salario!$A$3</f>
        <v>10</v>
      </c>
      <c r="G23" s="9">
        <f>Salario!$A$11*F23</f>
        <v>7.5</v>
      </c>
      <c r="H23" s="9">
        <f t="shared" si="0"/>
        <v>10</v>
      </c>
      <c r="I23" s="9">
        <f>Salario!$C$11*F23</f>
        <v>15</v>
      </c>
      <c r="J23" s="15">
        <f>H23*Salario!$C$7</f>
        <v>449.22500000000002</v>
      </c>
    </row>
    <row r="24" spans="1:10" ht="16" x14ac:dyDescent="0.2">
      <c r="A24" s="9">
        <v>21</v>
      </c>
      <c r="B24" s="9" t="s">
        <v>29</v>
      </c>
      <c r="C24" s="9" t="s">
        <v>52</v>
      </c>
      <c r="D24" s="9">
        <v>20</v>
      </c>
      <c r="E24" s="9">
        <v>0.5</v>
      </c>
      <c r="F24" s="9">
        <f>E24*Salario!$A$3</f>
        <v>4</v>
      </c>
      <c r="G24" s="9">
        <f>Salario!$A$11*F24</f>
        <v>3</v>
      </c>
      <c r="H24" s="9">
        <f t="shared" si="0"/>
        <v>4</v>
      </c>
      <c r="I24" s="9">
        <f>Salario!$C$11*F24</f>
        <v>6</v>
      </c>
      <c r="J24" s="15">
        <f>H24*Salario!$C$7</f>
        <v>179.69</v>
      </c>
    </row>
    <row r="25" spans="1:10" ht="32" x14ac:dyDescent="0.2">
      <c r="A25" s="9">
        <v>22</v>
      </c>
      <c r="B25" s="9" t="s">
        <v>30</v>
      </c>
      <c r="C25" s="9" t="s">
        <v>54</v>
      </c>
      <c r="D25" s="9">
        <v>21</v>
      </c>
      <c r="E25" s="9">
        <v>1.25</v>
      </c>
      <c r="F25" s="9">
        <f>E25*Salario!$A$3</f>
        <v>10</v>
      </c>
      <c r="G25" s="9">
        <f>Salario!$A$11*F25</f>
        <v>7.5</v>
      </c>
      <c r="H25" s="9">
        <f t="shared" si="0"/>
        <v>10</v>
      </c>
      <c r="I25" s="9">
        <f>Salario!$C$11*F25</f>
        <v>15</v>
      </c>
      <c r="J25" s="15">
        <f>H25*Salario!$C$7</f>
        <v>449.22500000000002</v>
      </c>
    </row>
    <row r="26" spans="1:10" ht="32" x14ac:dyDescent="0.2">
      <c r="A26" s="70">
        <v>23</v>
      </c>
      <c r="B26" s="70" t="s">
        <v>31</v>
      </c>
      <c r="C26" s="70" t="s">
        <v>55</v>
      </c>
      <c r="D26" s="9">
        <v>22</v>
      </c>
      <c r="E26" s="9">
        <v>4</v>
      </c>
      <c r="F26" s="9">
        <f>E26*Salario!$A$3</f>
        <v>32</v>
      </c>
      <c r="G26" s="9">
        <f>Salario!$A$11*F26</f>
        <v>24</v>
      </c>
      <c r="H26" s="9">
        <f t="shared" si="0"/>
        <v>32</v>
      </c>
      <c r="I26" s="9">
        <f>Salario!$C$11*F26</f>
        <v>48</v>
      </c>
      <c r="J26" s="15">
        <f>H26*Salario!$C$7</f>
        <v>1437.52</v>
      </c>
    </row>
    <row r="27" spans="1:10" ht="16" x14ac:dyDescent="0.2">
      <c r="A27" s="77"/>
      <c r="B27" s="77"/>
      <c r="C27" s="77"/>
      <c r="D27" s="70" t="s">
        <v>313</v>
      </c>
      <c r="E27" s="70">
        <f>SUM(E4:E26)</f>
        <v>93.75</v>
      </c>
      <c r="F27" s="70">
        <f t="shared" ref="F27:I27" si="1">SUM(F4:F26)</f>
        <v>750</v>
      </c>
      <c r="G27" s="70">
        <f t="shared" si="1"/>
        <v>562.5</v>
      </c>
      <c r="H27" s="70">
        <f t="shared" si="1"/>
        <v>750</v>
      </c>
      <c r="I27" s="70">
        <f t="shared" si="1"/>
        <v>1125</v>
      </c>
      <c r="J27" s="15">
        <f>SUM(J4:J26)</f>
        <v>33691.874999999985</v>
      </c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C29" s="1"/>
      <c r="D29" s="1"/>
      <c r="E29" s="1"/>
      <c r="F29" s="1"/>
      <c r="G29" s="17"/>
      <c r="H29" s="1"/>
      <c r="I29" s="1"/>
      <c r="J29" s="1"/>
    </row>
    <row r="32" spans="1:10" x14ac:dyDescent="0.2">
      <c r="A32" s="82" t="s">
        <v>228</v>
      </c>
      <c r="B32" s="82" t="s">
        <v>229</v>
      </c>
      <c r="C32" s="82" t="s">
        <v>230</v>
      </c>
      <c r="D32" s="82" t="s">
        <v>231</v>
      </c>
      <c r="E32" s="82" t="s">
        <v>233</v>
      </c>
    </row>
    <row r="33" spans="1:5" x14ac:dyDescent="0.2">
      <c r="A33" s="81">
        <v>1</v>
      </c>
      <c r="B33" s="81">
        <f>G27</f>
        <v>562.5</v>
      </c>
      <c r="C33" s="81">
        <f>H27</f>
        <v>750</v>
      </c>
      <c r="D33" s="81">
        <f>I27</f>
        <v>1125</v>
      </c>
      <c r="E33" s="29">
        <f>SUM(F17:F26)</f>
        <v>430</v>
      </c>
    </row>
    <row r="34" spans="1:5" x14ac:dyDescent="0.2">
      <c r="A34" s="83" t="s">
        <v>151</v>
      </c>
      <c r="B34" s="84">
        <f>(B33*C34)/C33</f>
        <v>25268.906249999989</v>
      </c>
      <c r="C34" s="84">
        <f>J27</f>
        <v>33691.874999999985</v>
      </c>
      <c r="D34" s="84">
        <f>(D33*C34)/C33</f>
        <v>50537.812499999978</v>
      </c>
      <c r="E34" s="32">
        <f>SUM(J17:J26)</f>
        <v>19316.674999999999</v>
      </c>
    </row>
    <row r="35" spans="1:5" x14ac:dyDescent="0.2">
      <c r="A35" s="81">
        <v>2</v>
      </c>
      <c r="B35" s="81">
        <f>B33/$A$35</f>
        <v>281.25</v>
      </c>
      <c r="C35" s="81">
        <f t="shared" ref="C35:D35" si="2">C33/$A$35</f>
        <v>375</v>
      </c>
      <c r="D35" s="81">
        <f t="shared" si="2"/>
        <v>562.5</v>
      </c>
      <c r="E35" s="29">
        <f>E33/A35</f>
        <v>215</v>
      </c>
    </row>
    <row r="36" spans="1:5" x14ac:dyDescent="0.2">
      <c r="A36" s="83" t="s">
        <v>151</v>
      </c>
      <c r="B36" s="84">
        <f>B34*$A$35</f>
        <v>50537.812499999978</v>
      </c>
      <c r="C36" s="84">
        <f t="shared" ref="C36:D36" si="3">C34*$A$35</f>
        <v>67383.749999999971</v>
      </c>
      <c r="D36" s="84">
        <f t="shared" si="3"/>
        <v>101075.62499999996</v>
      </c>
      <c r="E36" s="32">
        <f>E34*A35</f>
        <v>38633.35</v>
      </c>
    </row>
    <row r="37" spans="1:5" x14ac:dyDescent="0.2">
      <c r="A37" s="81">
        <v>4</v>
      </c>
      <c r="B37" s="81">
        <f>B33/$A$37</f>
        <v>140.625</v>
      </c>
      <c r="C37" s="81">
        <f t="shared" ref="C37:D37" si="4">C33/$A$37</f>
        <v>187.5</v>
      </c>
      <c r="D37" s="81">
        <f t="shared" si="4"/>
        <v>281.25</v>
      </c>
      <c r="E37" s="29">
        <f>E33/A37</f>
        <v>107.5</v>
      </c>
    </row>
    <row r="38" spans="1:5" x14ac:dyDescent="0.2">
      <c r="A38" s="83" t="s">
        <v>151</v>
      </c>
      <c r="B38" s="84">
        <f>B34*$A$37</f>
        <v>101075.62499999996</v>
      </c>
      <c r="C38" s="84">
        <f t="shared" ref="C38:D38" si="5">C34*$A$37</f>
        <v>134767.49999999994</v>
      </c>
      <c r="D38" s="84">
        <f t="shared" si="5"/>
        <v>202151.24999999991</v>
      </c>
      <c r="E38" s="32">
        <f>E34*A37</f>
        <v>77266.7</v>
      </c>
    </row>
    <row r="41" spans="1:5" x14ac:dyDescent="0.2">
      <c r="A41" s="111" t="s">
        <v>234</v>
      </c>
      <c r="B41" s="111"/>
      <c r="C41" s="111"/>
      <c r="D41" s="111"/>
    </row>
    <row r="42" spans="1:5" x14ac:dyDescent="0.2">
      <c r="A42" s="69" t="s">
        <v>232</v>
      </c>
      <c r="B42" s="12" t="s">
        <v>227</v>
      </c>
      <c r="C42" s="11" t="s">
        <v>67</v>
      </c>
      <c r="D42" s="10" t="s">
        <v>75</v>
      </c>
    </row>
    <row r="43" spans="1:5" x14ac:dyDescent="0.2">
      <c r="A43" s="29">
        <v>1</v>
      </c>
      <c r="B43" s="32">
        <f>C34</f>
        <v>33691.874999999985</v>
      </c>
      <c r="C43" s="29">
        <f>C33</f>
        <v>750</v>
      </c>
      <c r="D43" s="88">
        <f>C43/Salario!$C$3</f>
        <v>4.6875</v>
      </c>
    </row>
    <row r="44" spans="1:5" x14ac:dyDescent="0.2">
      <c r="A44" s="29">
        <v>2</v>
      </c>
      <c r="B44" s="32">
        <f>C36</f>
        <v>67383.749999999971</v>
      </c>
      <c r="C44" s="29">
        <f>C35</f>
        <v>375</v>
      </c>
      <c r="D44" s="88">
        <f>C44/Salario!$C$3</f>
        <v>2.34375</v>
      </c>
    </row>
    <row r="45" spans="1:5" x14ac:dyDescent="0.2">
      <c r="A45" s="29">
        <v>3</v>
      </c>
      <c r="B45" s="32">
        <f>A45*B43</f>
        <v>101075.62499999996</v>
      </c>
      <c r="C45" s="29">
        <f>C43/A45</f>
        <v>250</v>
      </c>
      <c r="D45" s="88">
        <f>C45/Salario!$C$3</f>
        <v>1.5625</v>
      </c>
    </row>
    <row r="46" spans="1:5" x14ac:dyDescent="0.2">
      <c r="A46" s="29">
        <v>4</v>
      </c>
      <c r="B46" s="32">
        <f>C38</f>
        <v>134767.49999999994</v>
      </c>
      <c r="C46" s="29">
        <f>C37</f>
        <v>187.5</v>
      </c>
      <c r="D46" s="88">
        <f>C46/Salario!$C$3</f>
        <v>1.171875</v>
      </c>
    </row>
    <row r="47" spans="1:5" x14ac:dyDescent="0.2">
      <c r="A47" s="112" t="s">
        <v>235</v>
      </c>
      <c r="B47" s="112"/>
      <c r="C47" s="112"/>
      <c r="D47" s="112"/>
    </row>
    <row r="48" spans="1:5" x14ac:dyDescent="0.2">
      <c r="A48" s="29">
        <f>A33</f>
        <v>1</v>
      </c>
      <c r="B48" s="63">
        <f>E34</f>
        <v>19316.674999999999</v>
      </c>
      <c r="C48" s="29">
        <f>E33</f>
        <v>430</v>
      </c>
      <c r="D48" s="88">
        <f>C48/Salario!$C$3</f>
        <v>2.6875</v>
      </c>
      <c r="E48" s="71" t="s">
        <v>272</v>
      </c>
    </row>
    <row r="49" spans="1:5" x14ac:dyDescent="0.2">
      <c r="A49" s="29">
        <f>A35</f>
        <v>2</v>
      </c>
      <c r="B49" s="63">
        <f>E36</f>
        <v>38633.35</v>
      </c>
      <c r="C49" s="29">
        <f>E35</f>
        <v>215</v>
      </c>
      <c r="D49" s="89">
        <f>C49/Salario!$C$3</f>
        <v>1.34375</v>
      </c>
      <c r="E49" s="71" t="s">
        <v>273</v>
      </c>
    </row>
    <row r="50" spans="1:5" x14ac:dyDescent="0.2">
      <c r="A50" s="29">
        <v>3</v>
      </c>
      <c r="B50" s="63">
        <f>B48*A50</f>
        <v>57950.024999999994</v>
      </c>
      <c r="C50" s="88">
        <f>C48/A50</f>
        <v>143.33333333333334</v>
      </c>
      <c r="D50" s="88">
        <f>C50/Salario!$C$3</f>
        <v>0.89583333333333337</v>
      </c>
      <c r="E50" s="71" t="s">
        <v>271</v>
      </c>
    </row>
    <row r="51" spans="1:5" x14ac:dyDescent="0.2">
      <c r="A51" s="29">
        <f>A37</f>
        <v>4</v>
      </c>
      <c r="B51" s="63">
        <f>E38</f>
        <v>77266.7</v>
      </c>
      <c r="C51" s="29">
        <f>E37</f>
        <v>107.5</v>
      </c>
      <c r="D51" s="88">
        <f>C51/Salario!$C$3</f>
        <v>0.671875</v>
      </c>
      <c r="E51" s="71" t="s">
        <v>270</v>
      </c>
    </row>
  </sheetData>
  <mergeCells count="3">
    <mergeCell ref="A41:D41"/>
    <mergeCell ref="A47:D47"/>
    <mergeCell ref="G2:I2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1CBB-A55E-49F7-9E28-2D7964F51510}">
  <dimension ref="A1:E11"/>
  <sheetViews>
    <sheetView workbookViewId="0">
      <selection activeCell="C11" sqref="C11"/>
    </sheetView>
  </sheetViews>
  <sheetFormatPr baseColWidth="10" defaultRowHeight="15" x14ac:dyDescent="0.2"/>
  <cols>
    <col min="1" max="1" width="21.5" customWidth="1"/>
    <col min="2" max="3" width="21.6640625" customWidth="1"/>
    <col min="4" max="4" width="18.6640625" bestFit="1" customWidth="1"/>
    <col min="5" max="5" width="17.5" bestFit="1" customWidth="1"/>
    <col min="7" max="7" width="20.5" customWidth="1"/>
    <col min="8" max="8" width="13.83203125" customWidth="1"/>
    <col min="9" max="9" width="18.6640625" bestFit="1" customWidth="1"/>
  </cols>
  <sheetData>
    <row r="1" spans="1:5" x14ac:dyDescent="0.2">
      <c r="A1" s="116" t="s">
        <v>67</v>
      </c>
      <c r="B1" s="116"/>
      <c r="C1" s="116"/>
      <c r="D1" s="116" t="s">
        <v>68</v>
      </c>
      <c r="E1" s="116"/>
    </row>
    <row r="2" spans="1:5" ht="16" x14ac:dyDescent="0.2">
      <c r="A2" s="8" t="s">
        <v>61</v>
      </c>
      <c r="B2" s="5" t="s">
        <v>62</v>
      </c>
      <c r="C2" s="4" t="s">
        <v>63</v>
      </c>
      <c r="D2" s="117" t="s">
        <v>64</v>
      </c>
      <c r="E2" s="117"/>
    </row>
    <row r="3" spans="1:5" x14ac:dyDescent="0.2">
      <c r="A3" s="70">
        <v>8</v>
      </c>
      <c r="B3" s="70">
        <v>20</v>
      </c>
      <c r="C3" s="70">
        <f>A3*B3</f>
        <v>160</v>
      </c>
      <c r="D3" s="118">
        <v>102.68</v>
      </c>
      <c r="E3" s="118"/>
    </row>
    <row r="5" spans="1:5" x14ac:dyDescent="0.2">
      <c r="A5" s="119" t="s">
        <v>65</v>
      </c>
      <c r="B5" s="120"/>
      <c r="C5" s="120"/>
      <c r="D5" s="120"/>
      <c r="E5" s="120"/>
    </row>
    <row r="6" spans="1:5" ht="32" x14ac:dyDescent="0.2">
      <c r="A6" s="5" t="s">
        <v>69</v>
      </c>
      <c r="B6" s="3" t="s">
        <v>70</v>
      </c>
      <c r="C6" s="4" t="s">
        <v>66</v>
      </c>
      <c r="D6" s="40" t="s">
        <v>217</v>
      </c>
      <c r="E6" s="72" t="s">
        <v>226</v>
      </c>
    </row>
    <row r="7" spans="1:5" x14ac:dyDescent="0.2">
      <c r="A7" s="33">
        <f>B7*D3</f>
        <v>7187.6</v>
      </c>
      <c r="B7" s="33">
        <v>70</v>
      </c>
      <c r="C7" s="33">
        <f>(A7/C3)</f>
        <v>44.922499999999999</v>
      </c>
      <c r="D7" s="29">
        <v>6</v>
      </c>
      <c r="E7" s="29">
        <f>D7*C7</f>
        <v>269.53499999999997</v>
      </c>
    </row>
    <row r="9" spans="1:5" x14ac:dyDescent="0.2">
      <c r="A9" s="113" t="s">
        <v>74</v>
      </c>
      <c r="B9" s="114"/>
      <c r="C9" s="115"/>
    </row>
    <row r="10" spans="1:5" ht="16" x14ac:dyDescent="0.2">
      <c r="A10" s="5" t="s">
        <v>2</v>
      </c>
      <c r="B10" s="3" t="s">
        <v>3</v>
      </c>
      <c r="C10" s="4" t="s">
        <v>4</v>
      </c>
    </row>
    <row r="11" spans="1:5" x14ac:dyDescent="0.2">
      <c r="A11" s="9">
        <v>0.75</v>
      </c>
      <c r="B11" s="9">
        <v>1</v>
      </c>
      <c r="C11" s="9">
        <v>1.5</v>
      </c>
    </row>
  </sheetData>
  <mergeCells count="6">
    <mergeCell ref="A9:C9"/>
    <mergeCell ref="A1:C1"/>
    <mergeCell ref="D1:E1"/>
    <mergeCell ref="D2:E2"/>
    <mergeCell ref="D3:E3"/>
    <mergeCell ref="A5:E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1FA0-330E-46BA-84A4-D857DDE853BC}">
  <dimension ref="A1:BZ72"/>
  <sheetViews>
    <sheetView topLeftCell="B14" zoomScale="106" zoomScaleNormal="100" workbookViewId="0">
      <selection activeCell="L16" sqref="L16"/>
    </sheetView>
  </sheetViews>
  <sheetFormatPr baseColWidth="10" defaultRowHeight="15" x14ac:dyDescent="0.2"/>
  <cols>
    <col min="1" max="1" width="13.6640625" bestFit="1" customWidth="1"/>
    <col min="6" max="6" width="2.6640625" style="20" customWidth="1"/>
    <col min="7" max="7" width="8.6640625" customWidth="1"/>
    <col min="8" max="8" width="3.1640625" bestFit="1" customWidth="1"/>
    <col min="9" max="9" width="10.1640625" bestFit="1" customWidth="1"/>
    <col min="10" max="10" width="4" bestFit="1" customWidth="1"/>
    <col min="11" max="11" width="8.6640625" customWidth="1"/>
    <col min="12" max="12" width="3.1640625" bestFit="1" customWidth="1"/>
    <col min="13" max="13" width="10.1640625" bestFit="1" customWidth="1"/>
    <col min="14" max="14" width="4" bestFit="1" customWidth="1"/>
    <col min="15" max="15" width="8.6640625" customWidth="1"/>
    <col min="16" max="16" width="4.5" bestFit="1" customWidth="1"/>
    <col min="17" max="17" width="10.1640625" bestFit="1" customWidth="1"/>
    <col min="18" max="18" width="4.5" bestFit="1" customWidth="1"/>
    <col min="19" max="19" width="8.6640625" customWidth="1"/>
    <col min="20" max="20" width="4.5" bestFit="1" customWidth="1"/>
    <col min="21" max="21" width="10.1640625" bestFit="1" customWidth="1"/>
    <col min="22" max="22" width="4.5" bestFit="1" customWidth="1"/>
    <col min="23" max="23" width="8.6640625" customWidth="1"/>
    <col min="24" max="24" width="4.5" bestFit="1" customWidth="1"/>
    <col min="25" max="25" width="10.1640625" bestFit="1" customWidth="1"/>
    <col min="26" max="26" width="4.5" bestFit="1" customWidth="1"/>
    <col min="27" max="27" width="8.6640625" customWidth="1"/>
    <col min="28" max="28" width="4.5" bestFit="1" customWidth="1"/>
    <col min="29" max="29" width="10.1640625" bestFit="1" customWidth="1"/>
    <col min="30" max="30" width="4.5" bestFit="1" customWidth="1"/>
    <col min="31" max="31" width="8.6640625" customWidth="1"/>
    <col min="32" max="32" width="4.5" bestFit="1" customWidth="1"/>
    <col min="33" max="33" width="10.1640625" bestFit="1" customWidth="1"/>
    <col min="34" max="34" width="4.5" bestFit="1" customWidth="1"/>
    <col min="35" max="35" width="8.6640625" customWidth="1"/>
    <col min="36" max="36" width="4.5" bestFit="1" customWidth="1"/>
    <col min="37" max="37" width="10.1640625" bestFit="1" customWidth="1"/>
    <col min="38" max="38" width="4.5" bestFit="1" customWidth="1"/>
    <col min="39" max="39" width="8.6640625" customWidth="1"/>
    <col min="40" max="40" width="4.5" bestFit="1" customWidth="1"/>
    <col min="41" max="41" width="10.1640625" bestFit="1" customWidth="1"/>
    <col min="42" max="42" width="5" bestFit="1" customWidth="1"/>
    <col min="43" max="43" width="8.6640625" customWidth="1"/>
    <col min="44" max="44" width="5" bestFit="1" customWidth="1"/>
    <col min="45" max="45" width="10.1640625" bestFit="1" customWidth="1"/>
    <col min="46" max="46" width="4.5" bestFit="1" customWidth="1"/>
    <col min="47" max="47" width="8.6640625" customWidth="1"/>
    <col min="48" max="48" width="4.5" bestFit="1" customWidth="1"/>
    <col min="49" max="49" width="10.1640625" bestFit="1" customWidth="1"/>
    <col min="50" max="50" width="5" bestFit="1" customWidth="1"/>
    <col min="51" max="51" width="8.6640625" customWidth="1"/>
    <col min="52" max="52" width="5" bestFit="1" customWidth="1"/>
    <col min="53" max="53" width="10.1640625" bestFit="1" customWidth="1"/>
    <col min="54" max="54" width="5" bestFit="1" customWidth="1"/>
    <col min="55" max="55" width="8.6640625" customWidth="1"/>
    <col min="56" max="56" width="5" bestFit="1" customWidth="1"/>
    <col min="57" max="57" width="10.1640625" bestFit="1" customWidth="1"/>
    <col min="58" max="58" width="5" bestFit="1" customWidth="1"/>
    <col min="59" max="59" width="8.6640625" customWidth="1"/>
    <col min="60" max="60" width="5" bestFit="1" customWidth="1"/>
    <col min="61" max="61" width="10.1640625" bestFit="1" customWidth="1"/>
    <col min="62" max="62" width="5" bestFit="1" customWidth="1"/>
    <col min="63" max="63" width="8.6640625" customWidth="1"/>
    <col min="64" max="64" width="5" bestFit="1" customWidth="1"/>
    <col min="65" max="65" width="10.1640625" bestFit="1" customWidth="1"/>
    <col min="66" max="66" width="5" bestFit="1" customWidth="1"/>
    <col min="67" max="67" width="8.6640625" customWidth="1"/>
    <col min="68" max="68" width="5" bestFit="1" customWidth="1"/>
    <col min="69" max="69" width="10.1640625" bestFit="1" customWidth="1"/>
    <col min="70" max="70" width="5" bestFit="1" customWidth="1"/>
    <col min="71" max="71" width="8.6640625" customWidth="1"/>
    <col min="72" max="72" width="5" bestFit="1" customWidth="1"/>
    <col min="73" max="73" width="10.1640625" bestFit="1" customWidth="1"/>
    <col min="74" max="74" width="5" bestFit="1" customWidth="1"/>
    <col min="75" max="75" width="8.6640625" customWidth="1"/>
    <col min="76" max="76" width="5" bestFit="1" customWidth="1"/>
    <col min="77" max="77" width="10.1640625" bestFit="1" customWidth="1"/>
    <col min="78" max="78" width="5" bestFit="1" customWidth="1"/>
    <col min="79" max="182" width="8.6640625" customWidth="1"/>
  </cols>
  <sheetData>
    <row r="1" spans="1:34" x14ac:dyDescent="0.2">
      <c r="A1" s="19" t="s">
        <v>88</v>
      </c>
      <c r="B1" s="121" t="s">
        <v>21</v>
      </c>
      <c r="C1" s="121"/>
      <c r="D1" s="121"/>
    </row>
    <row r="2" spans="1:34" ht="16" x14ac:dyDescent="0.2">
      <c r="A2" s="9" t="s">
        <v>77</v>
      </c>
      <c r="B2" s="118" t="s">
        <v>79</v>
      </c>
      <c r="C2" s="118"/>
      <c r="D2" s="118"/>
    </row>
    <row r="3" spans="1:34" ht="16" x14ac:dyDescent="0.2">
      <c r="A3" s="9" t="s">
        <v>4</v>
      </c>
      <c r="B3" s="118" t="s">
        <v>80</v>
      </c>
      <c r="C3" s="118"/>
      <c r="D3" s="118"/>
    </row>
    <row r="4" spans="1:34" ht="16" x14ac:dyDescent="0.2">
      <c r="A4" s="9" t="s">
        <v>78</v>
      </c>
      <c r="B4" s="118" t="s">
        <v>81</v>
      </c>
      <c r="C4" s="118"/>
      <c r="D4" s="118"/>
    </row>
    <row r="5" spans="1:34" ht="16" x14ac:dyDescent="0.2">
      <c r="A5" s="9" t="s">
        <v>82</v>
      </c>
      <c r="B5" s="118" t="s">
        <v>83</v>
      </c>
      <c r="C5" s="118"/>
      <c r="D5" s="118"/>
    </row>
    <row r="6" spans="1:34" ht="16" x14ac:dyDescent="0.2">
      <c r="A6" s="9" t="s">
        <v>7</v>
      </c>
      <c r="B6" s="118" t="s">
        <v>84</v>
      </c>
      <c r="C6" s="118"/>
      <c r="D6" s="118"/>
    </row>
    <row r="7" spans="1:34" ht="16" x14ac:dyDescent="0.2">
      <c r="A7" s="9" t="s">
        <v>8</v>
      </c>
      <c r="B7" s="118" t="s">
        <v>85</v>
      </c>
      <c r="C7" s="118"/>
      <c r="D7" s="118"/>
    </row>
    <row r="8" spans="1:34" ht="16" x14ac:dyDescent="0.2">
      <c r="A8" s="9" t="s">
        <v>86</v>
      </c>
      <c r="B8" s="118" t="s">
        <v>87</v>
      </c>
      <c r="C8" s="118"/>
      <c r="D8" s="118"/>
    </row>
    <row r="16" spans="1:34" ht="16" x14ac:dyDescent="0.2">
      <c r="P16" s="5" t="s">
        <v>77</v>
      </c>
      <c r="Q16" s="6" t="s">
        <v>8</v>
      </c>
      <c r="R16" s="5" t="s">
        <v>4</v>
      </c>
      <c r="AF16" s="5" t="s">
        <v>77</v>
      </c>
      <c r="AG16" s="6" t="s">
        <v>8</v>
      </c>
      <c r="AH16" s="5" t="s">
        <v>4</v>
      </c>
    </row>
    <row r="17" spans="8:78" x14ac:dyDescent="0.2">
      <c r="P17" s="16">
        <f>N27</f>
        <v>40</v>
      </c>
      <c r="Q17" s="16">
        <f>'Inv. y Des.'!F5</f>
        <v>64</v>
      </c>
      <c r="R17" s="16">
        <f>P17+Q17</f>
        <v>104</v>
      </c>
      <c r="AF17" s="16">
        <f>R17</f>
        <v>104</v>
      </c>
      <c r="AG17" s="16">
        <f>'Inv. y Des.'!F11</f>
        <v>8</v>
      </c>
      <c r="AH17" s="16">
        <f>AF17+AG17</f>
        <v>112</v>
      </c>
    </row>
    <row r="18" spans="8:78" ht="16" x14ac:dyDescent="0.2">
      <c r="P18" s="5" t="s">
        <v>78</v>
      </c>
      <c r="Q18" s="13" t="s">
        <v>87</v>
      </c>
      <c r="R18" s="5" t="s">
        <v>82</v>
      </c>
      <c r="AF18" s="5" t="s">
        <v>78</v>
      </c>
      <c r="AG18" s="13" t="s">
        <v>87</v>
      </c>
      <c r="AH18" s="5" t="s">
        <v>82</v>
      </c>
    </row>
    <row r="19" spans="8:78" x14ac:dyDescent="0.2">
      <c r="P19" s="16">
        <f>R19-Q17</f>
        <v>120</v>
      </c>
      <c r="Q19" s="16">
        <v>2</v>
      </c>
      <c r="R19" s="16">
        <f>AF19</f>
        <v>184</v>
      </c>
      <c r="AF19" s="16">
        <f>AH19-AG17</f>
        <v>184</v>
      </c>
      <c r="AG19" s="16">
        <v>8</v>
      </c>
      <c r="AH19" s="16">
        <f>AJ29</f>
        <v>192</v>
      </c>
    </row>
    <row r="20" spans="8:78" ht="16" x14ac:dyDescent="0.2">
      <c r="P20" s="3" t="s">
        <v>7</v>
      </c>
      <c r="Q20" s="118">
        <f>P19-P17</f>
        <v>80</v>
      </c>
      <c r="R20" s="118"/>
      <c r="AF20" s="3" t="s">
        <v>7</v>
      </c>
      <c r="AG20" s="118">
        <f>AF19-AF17</f>
        <v>80</v>
      </c>
      <c r="AH20" s="118"/>
    </row>
    <row r="26" spans="8:78" ht="16" x14ac:dyDescent="0.2">
      <c r="H26" s="5" t="s">
        <v>77</v>
      </c>
      <c r="I26" s="6" t="s">
        <v>8</v>
      </c>
      <c r="J26" s="5" t="s">
        <v>4</v>
      </c>
      <c r="L26" s="5" t="s">
        <v>77</v>
      </c>
      <c r="M26" s="6" t="s">
        <v>8</v>
      </c>
      <c r="N26" s="5" t="s">
        <v>4</v>
      </c>
      <c r="AB26" s="5" t="s">
        <v>77</v>
      </c>
      <c r="AC26" s="6" t="s">
        <v>8</v>
      </c>
      <c r="AD26" s="5" t="s">
        <v>4</v>
      </c>
      <c r="AF26" s="5" t="s">
        <v>77</v>
      </c>
      <c r="AG26" s="6" t="s">
        <v>8</v>
      </c>
      <c r="AH26" s="5" t="s">
        <v>4</v>
      </c>
      <c r="AJ26" s="5" t="s">
        <v>77</v>
      </c>
      <c r="AK26" s="6" t="s">
        <v>8</v>
      </c>
      <c r="AL26" s="5" t="s">
        <v>4</v>
      </c>
      <c r="AN26" s="5" t="s">
        <v>77</v>
      </c>
      <c r="AO26" s="6" t="s">
        <v>8</v>
      </c>
      <c r="AP26" s="5" t="s">
        <v>4</v>
      </c>
      <c r="AR26" s="5" t="s">
        <v>77</v>
      </c>
      <c r="AS26" s="6" t="s">
        <v>8</v>
      </c>
      <c r="AT26" s="5" t="s">
        <v>4</v>
      </c>
      <c r="AV26" s="5" t="s">
        <v>77</v>
      </c>
      <c r="AW26" s="6" t="s">
        <v>8</v>
      </c>
      <c r="AX26" s="5" t="s">
        <v>4</v>
      </c>
      <c r="AZ26" s="5" t="s">
        <v>77</v>
      </c>
      <c r="BA26" s="6" t="s">
        <v>8</v>
      </c>
      <c r="BB26" s="5" t="s">
        <v>4</v>
      </c>
      <c r="BD26" s="5" t="s">
        <v>77</v>
      </c>
      <c r="BE26" s="6" t="s">
        <v>8</v>
      </c>
      <c r="BF26" s="5" t="s">
        <v>4</v>
      </c>
      <c r="BH26" s="5" t="s">
        <v>77</v>
      </c>
      <c r="BI26" s="6" t="s">
        <v>8</v>
      </c>
      <c r="BJ26" s="5" t="s">
        <v>4</v>
      </c>
      <c r="BL26" s="5" t="s">
        <v>77</v>
      </c>
      <c r="BM26" s="6" t="s">
        <v>8</v>
      </c>
      <c r="BN26" s="5" t="s">
        <v>4</v>
      </c>
      <c r="BP26" s="5" t="s">
        <v>77</v>
      </c>
      <c r="BQ26" s="6" t="s">
        <v>8</v>
      </c>
      <c r="BR26" s="5" t="s">
        <v>4</v>
      </c>
      <c r="BT26" s="5" t="s">
        <v>77</v>
      </c>
      <c r="BU26" s="6" t="s">
        <v>8</v>
      </c>
      <c r="BV26" s="5" t="s">
        <v>4</v>
      </c>
      <c r="BX26" s="5" t="s">
        <v>77</v>
      </c>
      <c r="BY26" s="6" t="s">
        <v>8</v>
      </c>
      <c r="BZ26" s="5" t="s">
        <v>4</v>
      </c>
    </row>
    <row r="27" spans="8:78" x14ac:dyDescent="0.2">
      <c r="H27" s="9">
        <v>0</v>
      </c>
      <c r="I27" s="9">
        <v>0</v>
      </c>
      <c r="J27" s="9">
        <v>0</v>
      </c>
      <c r="L27" s="9">
        <f>J27</f>
        <v>0</v>
      </c>
      <c r="M27" s="9">
        <f>'Inv. y Des.'!F4</f>
        <v>40</v>
      </c>
      <c r="N27" s="9">
        <f>L27+M27</f>
        <v>40</v>
      </c>
      <c r="AB27" s="16">
        <f>MAX(Z37,V57,V47,R52,N27)</f>
        <v>144</v>
      </c>
      <c r="AC27" s="16">
        <f>'Inv. y Des.'!F10</f>
        <v>40</v>
      </c>
      <c r="AD27" s="16">
        <f>AB27+AC27</f>
        <v>184</v>
      </c>
      <c r="AF27" s="16">
        <f>AD27</f>
        <v>184</v>
      </c>
      <c r="AG27" s="16">
        <f>'Inv. y Des.'!F15</f>
        <v>8</v>
      </c>
      <c r="AH27" s="16">
        <f>AF27+AG27</f>
        <v>192</v>
      </c>
      <c r="AJ27" s="16">
        <f>MAX(AH17,AH69,AH57,AH47,AH27,AH37)</f>
        <v>192</v>
      </c>
      <c r="AK27" s="16">
        <f>'Inv. y Des.'!F17</f>
        <v>120</v>
      </c>
      <c r="AL27" s="16">
        <f>AJ27+AK27</f>
        <v>312</v>
      </c>
      <c r="AN27" s="16">
        <f>AL27</f>
        <v>312</v>
      </c>
      <c r="AO27" s="16">
        <f>'Inv. y Des.'!F18</f>
        <v>40</v>
      </c>
      <c r="AP27" s="16">
        <f>AN27+AO27</f>
        <v>352</v>
      </c>
      <c r="AR27" s="16">
        <f>AP27</f>
        <v>352</v>
      </c>
      <c r="AS27" s="16">
        <f>'Inv. y Des.'!F19</f>
        <v>160</v>
      </c>
      <c r="AT27" s="16">
        <f>AR27+AS27</f>
        <v>512</v>
      </c>
      <c r="AV27" s="16">
        <f>AT27</f>
        <v>512</v>
      </c>
      <c r="AW27" s="16">
        <f>'Inv. y Des.'!F20</f>
        <v>10</v>
      </c>
      <c r="AX27" s="16">
        <f>AV27+AW27</f>
        <v>522</v>
      </c>
      <c r="AZ27" s="16">
        <f>AX27</f>
        <v>522</v>
      </c>
      <c r="BA27" s="16">
        <f>'Inv. y Des.'!F21</f>
        <v>32</v>
      </c>
      <c r="BB27" s="16">
        <f>AZ27+BA27</f>
        <v>554</v>
      </c>
      <c r="BD27" s="16">
        <f>BB27</f>
        <v>554</v>
      </c>
      <c r="BE27" s="16">
        <f>'Inv. y Des.'!F22</f>
        <v>12</v>
      </c>
      <c r="BF27" s="16">
        <f>BD27+BE27</f>
        <v>566</v>
      </c>
      <c r="BH27" s="16">
        <f>BF27</f>
        <v>566</v>
      </c>
      <c r="BI27" s="16">
        <f>'Inv. y Des.'!F23</f>
        <v>10</v>
      </c>
      <c r="BJ27" s="16">
        <f>BH27+BI27</f>
        <v>576</v>
      </c>
      <c r="BL27" s="16">
        <f>BJ27</f>
        <v>576</v>
      </c>
      <c r="BM27" s="16">
        <f>'Inv. y Des.'!F24</f>
        <v>4</v>
      </c>
      <c r="BN27" s="16">
        <f>BL27+BM27</f>
        <v>580</v>
      </c>
      <c r="BP27" s="16">
        <f>BN27</f>
        <v>580</v>
      </c>
      <c r="BQ27" s="16">
        <f>'Inv. y Des.'!F25</f>
        <v>10</v>
      </c>
      <c r="BR27" s="16">
        <f>BP27+BQ27</f>
        <v>590</v>
      </c>
      <c r="BT27" s="16">
        <f>BR27</f>
        <v>590</v>
      </c>
      <c r="BU27" s="16">
        <f>'Inv. y Des.'!F26</f>
        <v>32</v>
      </c>
      <c r="BV27" s="16">
        <f>BT27+BU27</f>
        <v>622</v>
      </c>
      <c r="BX27" s="16">
        <f>BV27</f>
        <v>622</v>
      </c>
      <c r="BY27" s="16">
        <v>0</v>
      </c>
      <c r="BZ27" s="16">
        <f>BX27-BY27</f>
        <v>622</v>
      </c>
    </row>
    <row r="28" spans="8:78" ht="16" x14ac:dyDescent="0.2">
      <c r="H28" s="5" t="s">
        <v>78</v>
      </c>
      <c r="I28" s="2" t="s">
        <v>87</v>
      </c>
      <c r="J28" s="5" t="s">
        <v>82</v>
      </c>
      <c r="L28" s="5" t="s">
        <v>78</v>
      </c>
      <c r="M28" s="2" t="s">
        <v>87</v>
      </c>
      <c r="N28" s="5" t="s">
        <v>82</v>
      </c>
      <c r="AB28" s="5" t="s">
        <v>78</v>
      </c>
      <c r="AC28" s="13" t="s">
        <v>87</v>
      </c>
      <c r="AD28" s="5" t="s">
        <v>82</v>
      </c>
      <c r="AF28" s="5" t="s">
        <v>78</v>
      </c>
      <c r="AG28" s="13" t="s">
        <v>87</v>
      </c>
      <c r="AH28" s="5" t="s">
        <v>82</v>
      </c>
      <c r="AJ28" s="5" t="s">
        <v>78</v>
      </c>
      <c r="AK28" s="13" t="s">
        <v>87</v>
      </c>
      <c r="AL28" s="5" t="s">
        <v>82</v>
      </c>
      <c r="AN28" s="5" t="s">
        <v>78</v>
      </c>
      <c r="AO28" s="13" t="s">
        <v>87</v>
      </c>
      <c r="AP28" s="5" t="s">
        <v>82</v>
      </c>
      <c r="AR28" s="5" t="s">
        <v>78</v>
      </c>
      <c r="AS28" s="13" t="s">
        <v>87</v>
      </c>
      <c r="AT28" s="5" t="s">
        <v>82</v>
      </c>
      <c r="AV28" s="5" t="s">
        <v>78</v>
      </c>
      <c r="AW28" s="13" t="s">
        <v>87</v>
      </c>
      <c r="AX28" s="5" t="s">
        <v>82</v>
      </c>
      <c r="AZ28" s="5" t="s">
        <v>78</v>
      </c>
      <c r="BA28" s="13" t="s">
        <v>87</v>
      </c>
      <c r="BB28" s="5" t="s">
        <v>82</v>
      </c>
      <c r="BD28" s="5" t="s">
        <v>78</v>
      </c>
      <c r="BE28" s="13" t="s">
        <v>87</v>
      </c>
      <c r="BF28" s="5" t="s">
        <v>82</v>
      </c>
      <c r="BH28" s="5" t="s">
        <v>78</v>
      </c>
      <c r="BI28" s="13" t="s">
        <v>87</v>
      </c>
      <c r="BJ28" s="5" t="s">
        <v>82</v>
      </c>
      <c r="BL28" s="5" t="s">
        <v>78</v>
      </c>
      <c r="BM28" s="13" t="s">
        <v>87</v>
      </c>
      <c r="BN28" s="5" t="s">
        <v>82</v>
      </c>
      <c r="BP28" s="5" t="s">
        <v>78</v>
      </c>
      <c r="BQ28" s="13" t="s">
        <v>87</v>
      </c>
      <c r="BR28" s="5" t="s">
        <v>82</v>
      </c>
      <c r="BT28" s="5" t="s">
        <v>78</v>
      </c>
      <c r="BU28" s="13" t="s">
        <v>87</v>
      </c>
      <c r="BV28" s="5" t="s">
        <v>82</v>
      </c>
      <c r="BX28" s="5" t="s">
        <v>78</v>
      </c>
      <c r="BY28" s="13" t="s">
        <v>87</v>
      </c>
      <c r="BZ28" s="5" t="s">
        <v>82</v>
      </c>
    </row>
    <row r="29" spans="8:78" ht="16" x14ac:dyDescent="0.2">
      <c r="H29" s="9">
        <v>0</v>
      </c>
      <c r="I29" s="9" t="s">
        <v>89</v>
      </c>
      <c r="J29" s="9">
        <f>L29</f>
        <v>0</v>
      </c>
      <c r="L29" s="9">
        <f>N29-M27</f>
        <v>0</v>
      </c>
      <c r="M29" s="9">
        <v>1</v>
      </c>
      <c r="N29" s="9">
        <f>MIN('Ruta Crit.'!P19,'Ruta Crit.'!P54,'Ruta Crit.'!T49,'Ruta Crit.'!X39,AB29)</f>
        <v>40</v>
      </c>
      <c r="AB29" s="16">
        <f>AD29-AC27</f>
        <v>144</v>
      </c>
      <c r="AC29" s="16">
        <v>7</v>
      </c>
      <c r="AD29" s="16">
        <f>AF29</f>
        <v>184</v>
      </c>
      <c r="AF29" s="16">
        <f>AH29-AG27</f>
        <v>184</v>
      </c>
      <c r="AG29" s="16">
        <v>12</v>
      </c>
      <c r="AH29" s="16">
        <f>AJ29</f>
        <v>192</v>
      </c>
      <c r="AJ29" s="16">
        <f>AL29-AK27</f>
        <v>192</v>
      </c>
      <c r="AK29" s="16">
        <v>14</v>
      </c>
      <c r="AL29" s="16">
        <f>AN29</f>
        <v>312</v>
      </c>
      <c r="AN29" s="16">
        <f>AP29-AO27</f>
        <v>312</v>
      </c>
      <c r="AO29" s="16">
        <v>15</v>
      </c>
      <c r="AP29" s="16">
        <f>AR29</f>
        <v>352</v>
      </c>
      <c r="AR29" s="16">
        <f>AT29-AS27</f>
        <v>352</v>
      </c>
      <c r="AS29" s="16">
        <v>16</v>
      </c>
      <c r="AT29" s="16">
        <f>AV29</f>
        <v>512</v>
      </c>
      <c r="AV29" s="16">
        <f>AX29-AW27</f>
        <v>512</v>
      </c>
      <c r="AW29" s="16">
        <v>17</v>
      </c>
      <c r="AX29" s="16">
        <f>AZ29</f>
        <v>522</v>
      </c>
      <c r="AZ29" s="16">
        <f>BB29-BA27</f>
        <v>522</v>
      </c>
      <c r="BA29" s="16">
        <v>18</v>
      </c>
      <c r="BB29" s="16">
        <f>BD29</f>
        <v>554</v>
      </c>
      <c r="BD29" s="16">
        <f>BF29-BE27</f>
        <v>554</v>
      </c>
      <c r="BE29" s="16">
        <v>19</v>
      </c>
      <c r="BF29" s="16">
        <f>BH29</f>
        <v>566</v>
      </c>
      <c r="BH29" s="16">
        <f>BJ29-BI27</f>
        <v>566</v>
      </c>
      <c r="BI29" s="16">
        <v>20</v>
      </c>
      <c r="BJ29" s="16">
        <f>BL29</f>
        <v>576</v>
      </c>
      <c r="BL29" s="16">
        <f>BN29-BM27</f>
        <v>576</v>
      </c>
      <c r="BM29" s="16">
        <v>21</v>
      </c>
      <c r="BN29" s="16">
        <f>BP29</f>
        <v>580</v>
      </c>
      <c r="BP29" s="16">
        <f>BR29-BQ27</f>
        <v>580</v>
      </c>
      <c r="BQ29" s="16">
        <v>22</v>
      </c>
      <c r="BR29" s="16">
        <f>BT29</f>
        <v>590</v>
      </c>
      <c r="BT29" s="16">
        <f>BV29-BU27</f>
        <v>590</v>
      </c>
      <c r="BU29" s="16">
        <v>23</v>
      </c>
      <c r="BV29" s="16">
        <f>BX29</f>
        <v>622</v>
      </c>
      <c r="BX29" s="16">
        <f>BZ27</f>
        <v>622</v>
      </c>
      <c r="BY29" s="16" t="s">
        <v>90</v>
      </c>
      <c r="BZ29" s="16">
        <v>0</v>
      </c>
    </row>
    <row r="30" spans="8:78" ht="16" x14ac:dyDescent="0.2">
      <c r="H30" s="3" t="s">
        <v>7</v>
      </c>
      <c r="I30" s="118">
        <v>0</v>
      </c>
      <c r="J30" s="118"/>
      <c r="L30" s="3" t="s">
        <v>7</v>
      </c>
      <c r="M30" s="118">
        <f>L29-L27</f>
        <v>0</v>
      </c>
      <c r="N30" s="118"/>
      <c r="AB30" s="3" t="s">
        <v>7</v>
      </c>
      <c r="AC30" s="118">
        <f>AB29-AB27</f>
        <v>0</v>
      </c>
      <c r="AD30" s="118"/>
      <c r="AF30" s="3" t="s">
        <v>7</v>
      </c>
      <c r="AG30" s="118">
        <f>AF29-AF27</f>
        <v>0</v>
      </c>
      <c r="AH30" s="118"/>
      <c r="AJ30" s="3" t="s">
        <v>7</v>
      </c>
      <c r="AK30" s="118">
        <f>AJ29-AJ27</f>
        <v>0</v>
      </c>
      <c r="AL30" s="118"/>
      <c r="AN30" s="3" t="s">
        <v>7</v>
      </c>
      <c r="AO30" s="118">
        <f>AN29-AN27</f>
        <v>0</v>
      </c>
      <c r="AP30" s="118"/>
      <c r="AR30" s="3" t="s">
        <v>7</v>
      </c>
      <c r="AS30" s="118">
        <f>AR29-AR27</f>
        <v>0</v>
      </c>
      <c r="AT30" s="118"/>
      <c r="AV30" s="3" t="s">
        <v>7</v>
      </c>
      <c r="AW30" s="118">
        <f>AV29-AV27</f>
        <v>0</v>
      </c>
      <c r="AX30" s="118"/>
      <c r="AZ30" s="3" t="s">
        <v>7</v>
      </c>
      <c r="BA30" s="118">
        <f>AZ29-AZ27</f>
        <v>0</v>
      </c>
      <c r="BB30" s="118"/>
      <c r="BD30" s="3" t="s">
        <v>7</v>
      </c>
      <c r="BE30" s="118">
        <f>BD29-BD27</f>
        <v>0</v>
      </c>
      <c r="BF30" s="118"/>
      <c r="BH30" s="3" t="s">
        <v>7</v>
      </c>
      <c r="BI30" s="118">
        <f>BH29-BH27</f>
        <v>0</v>
      </c>
      <c r="BJ30" s="118"/>
      <c r="BL30" s="3" t="s">
        <v>7</v>
      </c>
      <c r="BM30" s="118">
        <f>BL29-BL27</f>
        <v>0</v>
      </c>
      <c r="BN30" s="118"/>
      <c r="BP30" s="3" t="s">
        <v>7</v>
      </c>
      <c r="BQ30" s="118">
        <f>BP29-BP27</f>
        <v>0</v>
      </c>
      <c r="BR30" s="118"/>
      <c r="BT30" s="3" t="s">
        <v>7</v>
      </c>
      <c r="BU30" s="118">
        <f>BT29-BT27</f>
        <v>0</v>
      </c>
      <c r="BV30" s="118"/>
      <c r="BX30" s="3" t="s">
        <v>7</v>
      </c>
      <c r="BY30" s="118">
        <f>BX29-BX27</f>
        <v>0</v>
      </c>
      <c r="BZ30" s="118"/>
    </row>
    <row r="36" spans="20:34" ht="16" x14ac:dyDescent="0.2">
      <c r="X36" s="5" t="s">
        <v>77</v>
      </c>
      <c r="Y36" s="6" t="s">
        <v>8</v>
      </c>
      <c r="Z36" s="5" t="s">
        <v>4</v>
      </c>
      <c r="AF36" s="5" t="s">
        <v>77</v>
      </c>
      <c r="AG36" s="6" t="s">
        <v>8</v>
      </c>
      <c r="AH36" s="5" t="s">
        <v>4</v>
      </c>
    </row>
    <row r="37" spans="20:34" x14ac:dyDescent="0.2">
      <c r="X37" s="16">
        <f>MAX(N27,'Ruta Crit.'!R52,'Ruta Crit.'!V57,'Ruta Crit.'!V47)</f>
        <v>104</v>
      </c>
      <c r="Y37" s="16">
        <f>'Inv. y Des.'!F9</f>
        <v>40</v>
      </c>
      <c r="Z37" s="16">
        <f>X37+Y37</f>
        <v>144</v>
      </c>
      <c r="AF37" s="16">
        <f>Z37</f>
        <v>144</v>
      </c>
      <c r="AG37" s="16">
        <f>'Inv. y Des.'!F16</f>
        <v>8</v>
      </c>
      <c r="AH37" s="16">
        <f>AF37+AG37</f>
        <v>152</v>
      </c>
    </row>
    <row r="38" spans="20:34" ht="16" x14ac:dyDescent="0.2">
      <c r="X38" s="5" t="s">
        <v>78</v>
      </c>
      <c r="Y38" s="13" t="s">
        <v>87</v>
      </c>
      <c r="Z38" s="5" t="s">
        <v>82</v>
      </c>
      <c r="AF38" s="5" t="s">
        <v>78</v>
      </c>
      <c r="AG38" s="13" t="s">
        <v>87</v>
      </c>
      <c r="AH38" s="5" t="s">
        <v>82</v>
      </c>
    </row>
    <row r="39" spans="20:34" x14ac:dyDescent="0.2">
      <c r="X39" s="16">
        <f>Z39-Y37</f>
        <v>104</v>
      </c>
      <c r="Y39" s="16">
        <v>6</v>
      </c>
      <c r="Z39" s="16">
        <f>MIN(AB29,AF39)</f>
        <v>144</v>
      </c>
      <c r="AF39" s="16">
        <f>AH39-AG37</f>
        <v>184</v>
      </c>
      <c r="AG39" s="16">
        <v>13</v>
      </c>
      <c r="AH39" s="16">
        <f>AJ29</f>
        <v>192</v>
      </c>
    </row>
    <row r="40" spans="20:34" ht="16" x14ac:dyDescent="0.2">
      <c r="X40" s="3" t="s">
        <v>7</v>
      </c>
      <c r="Y40" s="118">
        <f>X39-X37</f>
        <v>0</v>
      </c>
      <c r="Z40" s="118"/>
      <c r="AF40" s="3" t="s">
        <v>7</v>
      </c>
      <c r="AG40" s="118">
        <f>AF39-AF37</f>
        <v>40</v>
      </c>
      <c r="AH40" s="118"/>
    </row>
    <row r="45" spans="20:34" ht="29.25" customHeight="1" x14ac:dyDescent="0.2"/>
    <row r="46" spans="20:34" ht="16" x14ac:dyDescent="0.2">
      <c r="T46" s="5" t="s">
        <v>77</v>
      </c>
      <c r="U46" s="6" t="s">
        <v>8</v>
      </c>
      <c r="V46" s="5" t="s">
        <v>4</v>
      </c>
      <c r="AF46" s="5" t="s">
        <v>77</v>
      </c>
      <c r="AG46" s="6" t="s">
        <v>8</v>
      </c>
      <c r="AH46" s="5" t="s">
        <v>4</v>
      </c>
    </row>
    <row r="47" spans="20:34" x14ac:dyDescent="0.2">
      <c r="T47" s="16">
        <f>R52</f>
        <v>64</v>
      </c>
      <c r="U47" s="16">
        <f>'Inv. y Des.'!F8</f>
        <v>40</v>
      </c>
      <c r="V47" s="16">
        <f>T47+U47</f>
        <v>104</v>
      </c>
      <c r="AF47" s="16">
        <f>V47</f>
        <v>104</v>
      </c>
      <c r="AG47" s="16">
        <f>'Inv. y Des.'!F14</f>
        <v>8</v>
      </c>
      <c r="AH47" s="16">
        <f>AF47+AG47</f>
        <v>112</v>
      </c>
    </row>
    <row r="48" spans="20:34" ht="16" x14ac:dyDescent="0.2">
      <c r="T48" s="5" t="s">
        <v>78</v>
      </c>
      <c r="U48" s="13" t="s">
        <v>87</v>
      </c>
      <c r="V48" s="5" t="s">
        <v>82</v>
      </c>
      <c r="AF48" s="5" t="s">
        <v>78</v>
      </c>
      <c r="AG48" s="13" t="s">
        <v>87</v>
      </c>
      <c r="AH48" s="5" t="s">
        <v>82</v>
      </c>
    </row>
    <row r="49" spans="16:34" x14ac:dyDescent="0.2">
      <c r="T49" s="16">
        <f>V49-U47</f>
        <v>64</v>
      </c>
      <c r="U49" s="16">
        <v>5</v>
      </c>
      <c r="V49" s="16">
        <f>MIN(X39,AB29,AF49)</f>
        <v>104</v>
      </c>
      <c r="AF49" s="16">
        <f>AH49-AG47</f>
        <v>184</v>
      </c>
      <c r="AG49" s="16">
        <v>11</v>
      </c>
      <c r="AH49" s="16">
        <f>AJ29</f>
        <v>192</v>
      </c>
    </row>
    <row r="50" spans="16:34" ht="16" x14ac:dyDescent="0.2">
      <c r="T50" s="3" t="s">
        <v>7</v>
      </c>
      <c r="U50" s="118">
        <f>T49-T47</f>
        <v>0</v>
      </c>
      <c r="V50" s="118"/>
      <c r="AF50" s="3" t="s">
        <v>7</v>
      </c>
      <c r="AG50" s="118">
        <f>AF49-AF47</f>
        <v>80</v>
      </c>
      <c r="AH50" s="118"/>
    </row>
    <row r="51" spans="16:34" ht="16" x14ac:dyDescent="0.2">
      <c r="P51" s="5" t="s">
        <v>77</v>
      </c>
      <c r="Q51" s="6" t="s">
        <v>8</v>
      </c>
      <c r="R51" s="5" t="s">
        <v>4</v>
      </c>
    </row>
    <row r="52" spans="16:34" x14ac:dyDescent="0.2">
      <c r="P52" s="16">
        <f>N27</f>
        <v>40</v>
      </c>
      <c r="Q52" s="16">
        <f>'Inv. y Des.'!F6</f>
        <v>24</v>
      </c>
      <c r="R52" s="16">
        <f>P52+Q52</f>
        <v>64</v>
      </c>
    </row>
    <row r="53" spans="16:34" ht="16" x14ac:dyDescent="0.2">
      <c r="P53" s="5" t="s">
        <v>78</v>
      </c>
      <c r="Q53" s="13" t="s">
        <v>87</v>
      </c>
      <c r="R53" s="5" t="s">
        <v>82</v>
      </c>
    </row>
    <row r="54" spans="16:34" x14ac:dyDescent="0.2">
      <c r="P54" s="16">
        <f>R54-Q52</f>
        <v>40</v>
      </c>
      <c r="Q54" s="16">
        <v>3</v>
      </c>
      <c r="R54" s="16">
        <f>MIN('Ruta Crit.'!T49,'Ruta Crit.'!X39,'Ruta Crit.'!AB29,AF71)</f>
        <v>64</v>
      </c>
    </row>
    <row r="55" spans="16:34" ht="16" x14ac:dyDescent="0.2">
      <c r="P55" s="3" t="s">
        <v>7</v>
      </c>
      <c r="Q55" s="118">
        <f>P54-P52</f>
        <v>0</v>
      </c>
      <c r="R55" s="118"/>
    </row>
    <row r="56" spans="16:34" ht="16" x14ac:dyDescent="0.2">
      <c r="T56" s="5" t="s">
        <v>77</v>
      </c>
      <c r="U56" s="6" t="s">
        <v>8</v>
      </c>
      <c r="V56" s="5" t="s">
        <v>4</v>
      </c>
      <c r="AF56" s="5" t="s">
        <v>77</v>
      </c>
      <c r="AG56" s="6" t="s">
        <v>8</v>
      </c>
      <c r="AH56" s="5" t="s">
        <v>4</v>
      </c>
    </row>
    <row r="57" spans="16:34" x14ac:dyDescent="0.2">
      <c r="T57" s="16">
        <f>R52</f>
        <v>64</v>
      </c>
      <c r="U57" s="16">
        <f>'Inv. y Des.'!F7</f>
        <v>24</v>
      </c>
      <c r="V57" s="16">
        <f>T57+U57</f>
        <v>88</v>
      </c>
      <c r="AF57" s="16">
        <f>V57</f>
        <v>88</v>
      </c>
      <c r="AG57" s="16">
        <f>'Inv. y Des.'!F13</f>
        <v>8</v>
      </c>
      <c r="AH57" s="16">
        <f>AF57+AG57</f>
        <v>96</v>
      </c>
    </row>
    <row r="58" spans="16:34" ht="16" x14ac:dyDescent="0.2">
      <c r="T58" s="5" t="s">
        <v>78</v>
      </c>
      <c r="U58" s="13" t="s">
        <v>87</v>
      </c>
      <c r="V58" s="5" t="s">
        <v>82</v>
      </c>
      <c r="AF58" s="5" t="s">
        <v>78</v>
      </c>
      <c r="AG58" s="13" t="s">
        <v>87</v>
      </c>
      <c r="AH58" s="5" t="s">
        <v>82</v>
      </c>
    </row>
    <row r="59" spans="16:34" x14ac:dyDescent="0.2">
      <c r="T59" s="16">
        <f>V59-U57</f>
        <v>80</v>
      </c>
      <c r="U59" s="16">
        <v>4</v>
      </c>
      <c r="V59" s="16">
        <f>MIN(X39,AB29,AF59)</f>
        <v>104</v>
      </c>
      <c r="AF59" s="16">
        <f>AH59-AG57</f>
        <v>184</v>
      </c>
      <c r="AG59" s="16">
        <v>10</v>
      </c>
      <c r="AH59" s="16">
        <f>AJ29</f>
        <v>192</v>
      </c>
    </row>
    <row r="60" spans="16:34" ht="16" x14ac:dyDescent="0.2">
      <c r="T60" s="3" t="s">
        <v>7</v>
      </c>
      <c r="U60" s="118">
        <f>T59-T57</f>
        <v>16</v>
      </c>
      <c r="V60" s="118"/>
      <c r="AF60" s="3" t="s">
        <v>7</v>
      </c>
      <c r="AG60" s="118">
        <f>AF59-AF57</f>
        <v>96</v>
      </c>
      <c r="AH60" s="118"/>
    </row>
    <row r="68" spans="32:34" ht="16" x14ac:dyDescent="0.2">
      <c r="AF68" s="5" t="s">
        <v>77</v>
      </c>
      <c r="AG68" s="6" t="s">
        <v>8</v>
      </c>
      <c r="AH68" s="5" t="s">
        <v>4</v>
      </c>
    </row>
    <row r="69" spans="32:34" x14ac:dyDescent="0.2">
      <c r="AF69" s="16">
        <f>R52</f>
        <v>64</v>
      </c>
      <c r="AG69" s="16">
        <f>'Inv. y Des.'!F12</f>
        <v>8</v>
      </c>
      <c r="AH69" s="16">
        <f>AF69+AG69</f>
        <v>72</v>
      </c>
    </row>
    <row r="70" spans="32:34" ht="16" x14ac:dyDescent="0.2">
      <c r="AF70" s="5" t="s">
        <v>78</v>
      </c>
      <c r="AG70" s="13" t="s">
        <v>87</v>
      </c>
      <c r="AH70" s="5" t="s">
        <v>82</v>
      </c>
    </row>
    <row r="71" spans="32:34" x14ac:dyDescent="0.2">
      <c r="AF71" s="16">
        <f>AH71-AG69</f>
        <v>184</v>
      </c>
      <c r="AG71" s="16">
        <v>9</v>
      </c>
      <c r="AH71" s="16">
        <f>AJ29</f>
        <v>192</v>
      </c>
    </row>
    <row r="72" spans="32:34" ht="16" x14ac:dyDescent="0.2">
      <c r="AF72" s="3" t="s">
        <v>7</v>
      </c>
      <c r="AG72" s="118">
        <f>AF71-AF69</f>
        <v>120</v>
      </c>
      <c r="AH72" s="118"/>
    </row>
  </sheetData>
  <mergeCells count="33">
    <mergeCell ref="B8:D8"/>
    <mergeCell ref="B1:D1"/>
    <mergeCell ref="I30:J30"/>
    <mergeCell ref="M30:N30"/>
    <mergeCell ref="B2:D2"/>
    <mergeCell ref="B3:D3"/>
    <mergeCell ref="B4:D4"/>
    <mergeCell ref="B5:D5"/>
    <mergeCell ref="B6:D6"/>
    <mergeCell ref="B7:D7"/>
    <mergeCell ref="Q20:R20"/>
    <mergeCell ref="Q55:R55"/>
    <mergeCell ref="U60:V60"/>
    <mergeCell ref="U50:V50"/>
    <mergeCell ref="Y40:Z40"/>
    <mergeCell ref="AC30:AD30"/>
    <mergeCell ref="AG20:AH20"/>
    <mergeCell ref="AG72:AH72"/>
    <mergeCell ref="AG60:AH60"/>
    <mergeCell ref="AG50:AH50"/>
    <mergeCell ref="AG30:AH30"/>
    <mergeCell ref="AG40:AH40"/>
    <mergeCell ref="AK30:AL30"/>
    <mergeCell ref="AO30:AP30"/>
    <mergeCell ref="AS30:AT30"/>
    <mergeCell ref="BQ30:BR30"/>
    <mergeCell ref="BU30:BV30"/>
    <mergeCell ref="BY30:BZ30"/>
    <mergeCell ref="AW30:AX30"/>
    <mergeCell ref="BA30:BB30"/>
    <mergeCell ref="BE30:BF30"/>
    <mergeCell ref="BI30:BJ30"/>
    <mergeCell ref="BM30:BN30"/>
  </mergeCells>
  <conditionalFormatting sqref="M30:N30 Q20:R20 Q55:R55 AG20:AH20 U60:V60 U50:V50 AG60:AH60 Y40:Z40 AC30:AD30 AG40:AH40 AG30:AH30 AK30:AL30 AO30:AP30 AS30:AT30 AW30:AX30 BA30:BB30 BE30:BF30 BI30:BJ30 BM30:BN30 BQ30:BR30 BU30:BV30">
    <cfRule type="cellIs" dxfId="3" priority="1" operator="equal">
      <formula>0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B0EF-3A72-43C1-BB14-E61055579C0E}">
  <dimension ref="A1"/>
  <sheetViews>
    <sheetView workbookViewId="0">
      <selection activeCell="AB17" sqref="AB1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</vt:i4>
      </vt:variant>
    </vt:vector>
  </HeadingPairs>
  <TitlesOfParts>
    <vt:vector size="16" baseType="lpstr">
      <vt:lpstr>EDT</vt:lpstr>
      <vt:lpstr>Direccion</vt:lpstr>
      <vt:lpstr>Pub. y Merca</vt:lpstr>
      <vt:lpstr>Redes y Soporte</vt:lpstr>
      <vt:lpstr>Admon. y R. H.</vt:lpstr>
      <vt:lpstr>Inv. y Des.</vt:lpstr>
      <vt:lpstr>Salario</vt:lpstr>
      <vt:lpstr>Ruta Crit.</vt:lpstr>
      <vt:lpstr>PERT CMP</vt:lpstr>
      <vt:lpstr>Balance General</vt:lpstr>
      <vt:lpstr>Activos</vt:lpstr>
      <vt:lpstr>Pasivos y Patrimonio</vt:lpstr>
      <vt:lpstr>Gastos Generales</vt:lpstr>
      <vt:lpstr>Modulos</vt:lpstr>
      <vt:lpstr>Inversion</vt:lpstr>
      <vt:lpstr>Gráfica de proyeccion a futuro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Granados</dc:creator>
  <cp:lastModifiedBy>Microsoft Office User</cp:lastModifiedBy>
  <dcterms:created xsi:type="dcterms:W3CDTF">2019-10-30T00:35:12Z</dcterms:created>
  <dcterms:modified xsi:type="dcterms:W3CDTF">2019-12-05T09:18:42Z</dcterms:modified>
</cp:coreProperties>
</file>